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comments8.xml" ContentType="application/vnd.openxmlformats-officedocument.spreadsheetml.comments+xml"/>
  <Override PartName="/xl/comments41.xml" ContentType="application/vnd.openxmlformats-officedocument.spreadsheetml.comments+xml"/>
  <Override PartName="/xl/pivotTables/_rels/pivotTable1.xml.rels" ContentType="application/vnd.openxmlformats-package.relationships+xml"/>
  <Override PartName="/xl/pivotTables/pivotTable1.xml" ContentType="application/vnd.openxmlformats-officedocument.spreadsheetml.pivotTable+xml"/>
  <Override PartName="/xl/drawings/_rels/drawing11.xml.rels" ContentType="application/vnd.openxmlformats-package.relationships+xml"/>
  <Override PartName="/xl/drawings/_rels/drawing14.xml.rels" ContentType="application/vnd.openxmlformats-package.relationships+xml"/>
  <Override PartName="/xl/drawings/_rels/drawing12.xml.rels" ContentType="application/vnd.openxmlformats-package.relationships+xml"/>
  <Override PartName="/xl/drawings/_rels/drawing18.xml.rels" ContentType="application/vnd.openxmlformats-package.relationships+xml"/>
  <Override PartName="/xl/drawings/_rels/drawing13.xml.rels" ContentType="application/vnd.openxmlformats-package.relationships+xml"/>
  <Override PartName="/xl/drawings/_rels/drawing19.xml.rels" ContentType="application/vnd.openxmlformats-package.relationships+xml"/>
  <Override PartName="/xl/drawings/_rels/drawing15.xml.rels" ContentType="application/vnd.openxmlformats-package.relationships+xml"/>
  <Override PartName="/xl/drawings/_rels/drawing16.xml.rels" ContentType="application/vnd.openxmlformats-package.relationships+xml"/>
  <Override PartName="/xl/drawings/_rels/drawing17.xml.rels" ContentType="application/vnd.openxmlformats-package.relationships+xml"/>
  <Override PartName="/xl/drawings/drawing19.xml" ContentType="application/vnd.openxmlformats-officedocument.drawing+xml"/>
  <Override PartName="/xl/drawings/vmlDrawing2.vml" ContentType="application/vnd.openxmlformats-officedocument.vmlDrawing"/>
  <Override PartName="/xl/drawings/drawing20.xml" ContentType="application/vnd.openxmlformats-officedocument.drawing+xml"/>
  <Override PartName="/xl/drawings/vmlDrawing3.vml" ContentType="application/vnd.openxmlformats-officedocument.vmlDrawing"/>
  <Override PartName="/xl/drawings/drawing2.xml" ContentType="application/vnd.openxmlformats-officedocument.drawing+xml"/>
  <Override PartName="/xl/drawings/vmlDrawing7.vml" ContentType="application/vnd.openxmlformats-officedocument.vmlDrawing"/>
  <Override PartName="/xl/drawings/vmlDrawing4.vml" ContentType="application/vnd.openxmlformats-officedocument.vmlDrawing"/>
  <Override PartName="/xl/drawings/drawing3.xml" ContentType="application/vnd.openxmlformats-officedocument.drawing+xml"/>
  <Override PartName="/xl/drawings/vmlDrawing8.vml" ContentType="application/vnd.openxmlformats-officedocument.vmlDrawing"/>
  <Override PartName="/xl/drawings/drawing4.xml" ContentType="application/vnd.openxmlformats-officedocument.drawing+xml"/>
  <Override PartName="/xl/drawings/vmlDrawing5.vml" ContentType="application/vnd.openxmlformats-officedocument.vmlDrawing"/>
  <Override PartName="/xl/drawings/drawing21.xml" ContentType="application/vnd.openxmlformats-officedocument.drawing+xml"/>
  <Override PartName="/xl/drawings/vmlDrawing10.vml" ContentType="application/vnd.openxmlformats-officedocument.vmlDrawing"/>
  <Override PartName="/xl/drawings/drawing6.xml" ContentType="application/vnd.openxmlformats-officedocument.drawing+xml"/>
  <Override PartName="/xl/drawings/drawing11.xml" ContentType="application/vnd.openxmlformats-officedocument.drawing+xml"/>
  <Override PartName="/xl/drawings/drawing22.xml" ContentType="application/vnd.openxmlformats-officedocument.drawing+xml"/>
  <Override PartName="/xl/drawings/vmlDrawing6.vml" ContentType="application/vnd.openxmlformats-officedocument.vmlDrawing"/>
  <Override PartName="/xl/drawings/vmlDrawing11.vml" ContentType="application/vnd.openxmlformats-officedocument.vmlDrawing"/>
  <Override PartName="/xl/drawings/drawing7.xml" ContentType="application/vnd.openxmlformats-officedocument.drawing+xml"/>
  <Override PartName="/xl/drawings/drawing12.xml" ContentType="application/vnd.openxmlformats-officedocument.drawing+xml"/>
  <Override PartName="/xl/drawings/drawing1.xml" ContentType="application/vnd.openxmlformats-officedocument.drawing+xml"/>
  <Override PartName="/xl/drawings/vmlDrawing9.vml" ContentType="application/vnd.openxmlformats-officedocument.vmlDrawing"/>
  <Override PartName="/xl/drawings/drawing5.xml" ContentType="application/vnd.openxmlformats-officedocument.drawing+xml"/>
  <Override PartName="/xl/drawings/drawing10.xml" ContentType="application/vnd.openxmlformats-officedocument.drawing+xml"/>
  <Override PartName="/xl/drawings/drawing8.xml" ContentType="application/vnd.openxmlformats-officedocument.drawing+xml"/>
  <Override PartName="/xl/drawings/drawing13.xml" ContentType="application/vnd.openxmlformats-officedocument.drawing+xml"/>
  <Override PartName="/xl/drawings/drawing9.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vmlDrawing1.vml" ContentType="application/vnd.openxmlformats-officedocument.vmlDrawing"/>
  <Override PartName="/xl/comments7.xml" ContentType="application/vnd.openxmlformats-officedocument.spreadsheetml.comments+xml"/>
  <Override PartName="/xl/comments40.xml" ContentType="application/vnd.openxmlformats-officedocument.spreadsheetml.comments+xml"/>
  <Override PartName="/xl/comments1.xml" ContentType="application/vnd.openxmlformats-officedocument.spreadsheetml.comments+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charts/chart61.xml" ContentType="application/vnd.openxmlformats-officedocument.drawingml.chart+xml"/>
  <Override PartName="/xl/charts/chart59.xml" ContentType="application/vnd.openxmlformats-officedocument.drawingml.chart+xml"/>
  <Override PartName="/xl/charts/chart58.xml" ContentType="application/vnd.openxmlformats-officedocument.drawingml.chart+xml"/>
  <Override PartName="/xl/charts/chart60.xml" ContentType="application/vnd.openxmlformats-officedocument.drawingml.chart+xml"/>
  <Override PartName="/xl/charts/chart57.xml" ContentType="application/vnd.openxmlformats-officedocument.drawingml.chart+xml"/>
  <Override PartName="/xl/charts/chart56.xml" ContentType="application/vnd.openxmlformats-officedocument.drawingml.chart+xml"/>
  <Override PartName="/xl/charts/chart55.xml" ContentType="application/vnd.openxmlformats-officedocument.drawingml.chart+xml"/>
  <Override PartName="/xl/charts/chart68.xml" ContentType="application/vnd.openxmlformats-officedocument.drawingml.chart+xml"/>
  <Override PartName="/xl/charts/chart67.xml" ContentType="application/vnd.openxmlformats-officedocument.drawingml.chart+xml"/>
  <Override PartName="/xl/charts/chart66.xml" ContentType="application/vnd.openxmlformats-officedocument.drawingml.chart+xml"/>
  <Override PartName="/xl/charts/chart54.xml" ContentType="application/vnd.openxmlformats-officedocument.drawingml.chart+xml"/>
  <Override PartName="/xl/charts/chart65.xml" ContentType="application/vnd.openxmlformats-officedocument.drawingml.chart+xml"/>
  <Override PartName="/xl/charts/chart53.xml" ContentType="application/vnd.openxmlformats-officedocument.drawingml.chart+xml"/>
  <Override PartName="/xl/charts/chart64.xml" ContentType="application/vnd.openxmlformats-officedocument.drawingml.chart+xml"/>
  <Override PartName="/xl/charts/chart52.xml" ContentType="application/vnd.openxmlformats-officedocument.drawingml.chart+xml"/>
  <Override PartName="/xl/charts/chart63.xml" ContentType="application/vnd.openxmlformats-officedocument.drawingml.chart+xml"/>
  <Override PartName="/xl/charts/chart62.xml" ContentType="application/vnd.openxmlformats-officedocument.drawingml.chart+xml"/>
  <Override PartName="/xl/charts/chart50.xml" ContentType="application/vnd.openxmlformats-officedocument.drawingml.chart+xml"/>
  <Override PartName="/xl/charts/chart51.xml" ContentType="application/vnd.openxmlformats-officedocument.drawingml.chart+xml"/>
  <Override PartName="/xl/charts/chart49.xml" ContentType="application/vnd.openxmlformats-officedocument.drawingml.chart+xml"/>
  <Override PartName="/xl/sharedStrings.xml" ContentType="application/vnd.openxmlformats-officedocument.spreadsheetml.sharedStrings+xml"/>
  <Override PartName="/xl/comments5.xml" ContentType="application/vnd.openxmlformats-officedocument.spreadsheetml.comments+xml"/>
  <Override PartName="/xl/comments17.xml" ContentType="application/vnd.openxmlformats-officedocument.spreadsheetml.comments+xml"/>
  <Override PartName="/xl/externalLinks/externalLink3.xml" ContentType="application/vnd.openxmlformats-officedocument.spreadsheetml.externalLink+xml"/>
  <Override PartName="/xl/externalLinks/externalLink2.xml" ContentType="application/vnd.openxmlformats-officedocument.spreadsheetml.externalLink+xml"/>
  <Override PartName="/xl/externalLinks/externalLink1.xml" ContentType="application/vnd.openxmlformats-officedocument.spreadsheetml.externalLink+xml"/>
  <Override PartName="/xl/externalLinks/externalLink4.xml" ContentType="application/vnd.openxmlformats-officedocument.spreadsheetml.externalLink+xml"/>
  <Override PartName="/xl/externalLinks/_rels/externalLink9.xml.rels" ContentType="application/vnd.openxmlformats-package.relationships+xml"/>
  <Override PartName="/xl/externalLinks/_rels/externalLink8.xml.rels" ContentType="application/vnd.openxmlformats-package.relationships+xml"/>
  <Override PartName="/xl/externalLinks/_rels/externalLink7.xml.rels" ContentType="application/vnd.openxmlformats-package.relationships+xml"/>
  <Override PartName="/xl/externalLinks/_rels/externalLink4.xml.rels" ContentType="application/vnd.openxmlformats-package.relationships+xml"/>
  <Override PartName="/xl/externalLinks/_rels/externalLink6.xml.rels" ContentType="application/vnd.openxmlformats-package.relationships+xml"/>
  <Override PartName="/xl/externalLinks/_rels/externalLink3.xml.rels" ContentType="application/vnd.openxmlformats-package.relationships+xml"/>
  <Override PartName="/xl/externalLinks/_rels/externalLink5.xml.rels" ContentType="application/vnd.openxmlformats-package.relationships+xml"/>
  <Override PartName="/xl/externalLinks/_rels/externalLink2.xml.rels" ContentType="application/vnd.openxmlformats-package.relationships+xml"/>
  <Override PartName="/xl/externalLinks/_rels/externalLink1.xml.rels" ContentType="application/vnd.openxmlformats-package.relationships+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comments10.xml" ContentType="application/vnd.openxmlformats-officedocument.spreadsheetml.comments+xml"/>
  <Override PartName="/xl/comments44.xml" ContentType="application/vnd.openxmlformats-officedocument.spreadsheetml.comments+xml"/>
  <Override PartName="/xl/workbook.xml" ContentType="application/vnd.openxmlformats-officedocument.spreadsheetml.sheet.main+xml"/>
  <Override PartName="/xl/_rels/workbook.xml.rels" ContentType="application/vnd.openxmlformats-package.relationships+xml"/>
  <Override PartName="/xl/comments6.xml" ContentType="application/vnd.openxmlformats-officedocument.spreadsheetml.comments+xml"/>
  <Override PartName="/xl/styles.xml" ContentType="application/vnd.openxmlformats-officedocument.spreadsheetml.styles+xml"/>
  <Override PartName="/xl/comments4.xml" ContentType="application/vnd.openxmlformats-officedocument.spreadsheetml.comment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24.xml.rels" ContentType="application/vnd.openxmlformats-package.relationships+xml"/>
  <Override PartName="/xl/worksheets/_rels/sheet31.xml.rels" ContentType="application/vnd.openxmlformats-package.relationships+xml"/>
  <Override PartName="/xl/worksheets/_rels/sheet4.xml.rels" ContentType="application/vnd.openxmlformats-package.relationships+xml"/>
  <Override PartName="/xl/worksheets/_rels/sheet20.xml.rels" ContentType="application/vnd.openxmlformats-package.relationships+xml"/>
  <Override PartName="/xl/worksheets/_rels/sheet35.xml.rels" ContentType="application/vnd.openxmlformats-package.relationships+xml"/>
  <Override PartName="/xl/worksheets/_rels/sheet8.xml.rels" ContentType="application/vnd.openxmlformats-package.relationships+xml"/>
  <Override PartName="/xl/worksheets/_rels/sheet2.xml.rels" ContentType="application/vnd.openxmlformats-package.relationships+xml"/>
  <Override PartName="/xl/worksheets/_rels/sheet40.xml.rels" ContentType="application/vnd.openxmlformats-package.relationships+xml"/>
  <Override PartName="/xl/worksheets/_rels/sheet33.xml.rels" ContentType="application/vnd.openxmlformats-package.relationships+xml"/>
  <Override PartName="/xl/worksheets/_rels/sheet6.xml.rels" ContentType="application/vnd.openxmlformats-package.relationships+xml"/>
  <Override PartName="/xl/worksheets/_rels/sheet16.xml.rels" ContentType="application/vnd.openxmlformats-package.relationships+xml"/>
  <Override PartName="/xl/worksheets/_rels/sheet32.xml.rels" ContentType="application/vnd.openxmlformats-package.relationships+xml"/>
  <Override PartName="/xl/worksheets/_rels/sheet25.xml.rels" ContentType="application/vnd.openxmlformats-package.relationships+xml"/>
  <Override PartName="/xl/worksheets/_rels/sheet10.xml.rels" ContentType="application/vnd.openxmlformats-package.relationships+xml"/>
  <Override PartName="/xl/worksheets/_rels/sheet34.xml.rels" ContentType="application/vnd.openxmlformats-package.relationships+xml"/>
  <Override PartName="/xl/worksheets/_rels/sheet41.xml.rels" ContentType="application/vnd.openxmlformats-package.relationships+xml"/>
  <Override PartName="/xl/worksheets/_rels/sheet7.xml.rels" ContentType="application/vnd.openxmlformats-package.relationships+xml"/>
  <Override PartName="/xl/worksheets/_rels/sheet5.xml.rels" ContentType="application/vnd.openxmlformats-package.relationships+xml"/>
  <Override PartName="/xl/worksheets/_rels/sheet11.xml.rels" ContentType="application/vnd.openxmlformats-package.relationships+xml"/>
  <Override PartName="/xl/worksheets/_rels/sheet26.xml.rels" ContentType="application/vnd.openxmlformats-package.relationships+xml"/>
  <Override PartName="/xl/worksheets/_rels/sheet17.xml.rels" ContentType="application/vnd.openxmlformats-package.relationships+xml"/>
  <Override PartName="/xl/worksheets/_rels/sheet43.xml.rels" ContentType="application/vnd.openxmlformats-package.relationships+xml"/>
  <Override PartName="/xl/worksheets/_rels/sheet27.xml.rels" ContentType="application/vnd.openxmlformats-package.relationships+xml"/>
  <Override PartName="/xl/worksheets/_rels/sheet1.xml.rels" ContentType="application/vnd.openxmlformats-package.relationships+xml"/>
  <Override PartName="/xl/worksheets/_rels/sheet21.xml.rels" ContentType="application/vnd.openxmlformats-package.relationships+xml"/>
  <Override PartName="/xl/worksheets/_rels/sheet28.xml.rels" ContentType="application/vnd.openxmlformats-package.relationships+xml"/>
  <Override PartName="/xl/worksheets/_rels/sheet44.xml.rels" ContentType="application/vnd.openxmlformats-package.relationships+xml"/>
  <Override PartName="/xl/worksheets/_rels/sheet22.xml.rels" ContentType="application/vnd.openxmlformats-package.relationships+xml"/>
  <Override PartName="/xl/worksheets/_rels/sheet29.xml.rels" ContentType="application/vnd.openxmlformats-package.relationships+xml"/>
  <Override PartName="/xl/worksheets/_rels/sheet30.xml.rels" ContentType="application/vnd.openxmlformats-package.relationships+xml"/>
  <Override PartName="/xl/worksheets/_rels/sheet23.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34.xml" ContentType="application/vnd.openxmlformats-officedocument.spreadsheetml.worksheet+xml"/>
  <Override PartName="/xl/worksheets/sheet1.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33.xml" ContentType="application/vnd.openxmlformats-officedocument.spreadsheetml.worksheet+xml"/>
  <Override PartName="/xl/worksheets/sheet45.xml" ContentType="application/vnd.openxmlformats-officedocument.spreadsheetml.worksheet+xml"/>
  <Override PartName="/xl/worksheets/sheet10.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t loading" sheetId="1" state="visible" r:id="rId2"/>
    <sheet name="WIP - Modelling Worksheet" sheetId="2" state="visible" r:id="rId3"/>
    <sheet name="Plant Loading Property Report" sheetId="3" state="visible" r:id="rId4"/>
    <sheet name="Inverter Loading" sheetId="4" state="visible" r:id="rId5"/>
    <sheet name="NFV" sheetId="5" state="visible" r:id="rId6"/>
    <sheet name="Cab Floorspace-Archived" sheetId="6" state="visible" r:id="rId7"/>
    <sheet name="Building Capability" sheetId="7" state="visible" r:id="rId8"/>
    <sheet name="Battery Log" sheetId="8" state="visible" r:id="rId9"/>
    <sheet name="Power figures" sheetId="9" state="visible" r:id="rId10"/>
    <sheet name="Floorspace Calc" sheetId="10" state="hidden" r:id="rId11"/>
    <sheet name="Graphs" sheetId="11" state="visible" r:id="rId12"/>
    <sheet name="12 Monthly Graph" sheetId="12" state="visible" r:id="rId13"/>
    <sheet name="Exec Graphs (2)" sheetId="13" state="visible" r:id="rId14"/>
    <sheet name=" AirCon Apr 21" sheetId="14" state="visible" r:id="rId15"/>
    <sheet name="Dual Running Anaylsis" sheetId="15" state="hidden" r:id="rId16"/>
    <sheet name="Dual Running" sheetId="16" state="hidden" r:id="rId17"/>
    <sheet name="Rolling Figs" sheetId="17" state="hidden" r:id="rId18"/>
    <sheet name="ECO Mode" sheetId="18" state="hidden" r:id="rId19"/>
    <sheet name="Rectifier Reduction" sheetId="19" state="hidden" r:id="rId20"/>
    <sheet name="Title Page" sheetId="20" state="hidden" r:id="rId21"/>
    <sheet name="Info" sheetId="21" state="hidden" r:id="rId22"/>
    <sheet name="DC_9" sheetId="22" state="hidden" r:id="rId23"/>
    <sheet name="CHE Pwr" sheetId="23" state="hidden" r:id="rId24"/>
    <sheet name="Non-CHE Pwr" sheetId="24" state="hidden" r:id="rId25"/>
    <sheet name="Strat 12Mth DC" sheetId="25" state="hidden" r:id="rId26"/>
    <sheet name="StratSpace" sheetId="26" state="hidden" r:id="rId27"/>
    <sheet name="NS DC" sheetId="27" state="hidden" r:id="rId28"/>
    <sheet name="NS AC_DC" sheetId="28" state="hidden" r:id="rId29"/>
    <sheet name="NS12 Mth DC" sheetId="29" state="hidden" r:id="rId30"/>
    <sheet name="NS Space" sheetId="30" state="hidden" r:id="rId31"/>
    <sheet name="Bldg Pwr Type A+B" sheetId="31" state="hidden" r:id="rId32"/>
    <sheet name="Bldg Pwr Type A+B (2)" sheetId="32" state="hidden" r:id="rId33"/>
    <sheet name="PUE" sheetId="33" state="hidden" r:id="rId34"/>
    <sheet name="NW Agg Pwr" sheetId="34" state="hidden" r:id="rId35"/>
    <sheet name="Assumption" sheetId="35" state="hidden" r:id="rId36"/>
    <sheet name="XLD TSI Plant " sheetId="36" state="hidden" r:id="rId37"/>
    <sheet name="XGL TSI Plant" sheetId="37" state="hidden" r:id="rId38"/>
    <sheet name="XMS TSI Plant" sheetId="38" state="hidden" r:id="rId39"/>
    <sheet name="XBE TSI Plant" sheetId="39" state="hidden" r:id="rId40"/>
    <sheet name="PUE Values" sheetId="40" state="hidden" r:id="rId41"/>
    <sheet name="AirCon Sep 24" sheetId="41" state="visible" r:id="rId42"/>
    <sheet name="&lt;90% plants and sites" sheetId="42" state="visible" r:id="rId43"/>
    <sheet name="Inverter Numbering" sheetId="43" state="visible" r:id="rId44"/>
    <sheet name="BKLN06 &amp; XGL001 power_Capacity" sheetId="44" state="visible" r:id="rId45"/>
    <sheet name="DPCache_Plant loading" sheetId="45" state="hidden" r:id="rId46"/>
  </sheets>
  <externalReferences>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function="false" hidden="true" localSheetId="40" name="_xlnm._FilterDatabase" vbProcedure="false">'AirCon Sep 24'!$G$1:$J$240</definedName>
    <definedName function="false" hidden="true" localSheetId="7" name="_xlnm._FilterDatabase" vbProcedure="false">'Battery Log'!$X$1:$X$231</definedName>
    <definedName function="false" hidden="false" localSheetId="22" name="_xlnm.Print_Area" vbProcedure="false">'CHE Pwr'!$A$1:$AF$84</definedName>
    <definedName function="false" hidden="false" localSheetId="21" name="_xlnm.Print_Area" vbProcedure="false">DC_9!$A$1:$Z$74</definedName>
    <definedName function="false" hidden="true" localSheetId="42" name="_xlnm._FilterDatabase" vbProcedure="false">'Inverter Numbering'!$A$1:$C$845</definedName>
    <definedName function="false" hidden="false" localSheetId="28" name="_xlnm.Print_Area" vbProcedure="false">'NS12 Mth DC'!$A$1:$AB$74</definedName>
    <definedName function="false" hidden="false" localSheetId="33" name="_xlnm.Print_Area" vbProcedure="false">'NW Agg Pwr'!$A$1:$Z$71</definedName>
    <definedName function="false" hidden="false" localSheetId="0" name="_xlnm.Print_Area" vbProcedure="false">'Plant loading'!$A$2:$Z$16</definedName>
    <definedName function="false" hidden="false" localSheetId="32" name="_xlnm.Print_Area" vbProcedure="false">PUE!$A$1:$AC$80</definedName>
    <definedName function="false" hidden="false" localSheetId="24" name="_xlnm.Print_Area" vbProcedure="false">'Strat 12Mth DC'!$A$1:$AA$73</definedName>
    <definedName function="false" hidden="false" name="aaaa" vbProcedure="false">#REF!</definedName>
    <definedName function="false" hidden="false" name="Agg_sites_12mth" vbProcedure="false">#REF!</definedName>
    <definedName function="false" hidden="false" name="bluerec" vbProcedure="false">#REF!</definedName>
    <definedName function="false" hidden="false" name="fenixrec" vbProcedure="false">#REF!</definedName>
    <definedName function="false" hidden="false" name="k3newrec" vbProcedure="false">#REF!</definedName>
    <definedName function="false" hidden="false" name="k3oldrec" vbProcedure="false">#REF!</definedName>
    <definedName function="false" hidden="false" name="k86rec" vbProcedure="false">#REF!</definedName>
    <definedName function="false" hidden="false" name="l" vbProcedure="false">#REF!</definedName>
    <definedName function="false" hidden="false" name="PowerElementType" vbProcedure="false">'Plant loading'!$A$126:$A$129</definedName>
    <definedName function="false" hidden="false" name="robustrec" vbProcedure="false">#REF!</definedName>
    <definedName function="false" hidden="false" name="test" vbProcedure="false">#REF!</definedName>
    <definedName function="false" hidden="false" localSheetId="0" name="bluerec" vbProcedure="false">'plant loading'!#ref!</definedName>
    <definedName function="false" hidden="false" localSheetId="0" name="fenixrec" vbProcedure="false">'plant loading'!#ref!</definedName>
    <definedName function="false" hidden="false" localSheetId="0" name="k3newrec" vbProcedure="false">'plant loading'!#ref!</definedName>
    <definedName function="false" hidden="false" localSheetId="0" name="k3oldrec" vbProcedure="false">'plant loading'!#ref!</definedName>
    <definedName function="false" hidden="false" localSheetId="0" name="k86rec" vbProcedure="false">'plant loading'!#ref!</definedName>
    <definedName function="false" hidden="false" localSheetId="0" name="robustrec" vbProcedure="false">'plant loading'!#ref!</definedName>
    <definedName function="false" hidden="false" localSheetId="0" name="Z_759D43B0_06FA_4A69_BB8B_D0E660486465_.wvu.FilterData" vbProcedure="false">'Plant loading'!$A$3:$L$118</definedName>
    <definedName function="false" hidden="false" localSheetId="0" name="Z_759D43B0_06FA_4A69_BB8B_D0E660486465_.wvu.PrintArea" vbProcedure="false">'Plant loading'!$A$2:$AA$93</definedName>
    <definedName function="false" hidden="false" localSheetId="0" name="_xlnm._FilterDatabase" vbProcedure="false">'Plant loading'!$A$3:$Z$118</definedName>
    <definedName function="false" hidden="false" localSheetId="2" name="aaaa" vbProcedure="false">#REF!</definedName>
    <definedName function="false" hidden="false" localSheetId="2" name="Agg_sites_12mth" vbProcedure="false">#REF!</definedName>
    <definedName function="false" hidden="false" localSheetId="2" name="bluerec" vbProcedure="false">#REF!</definedName>
    <definedName function="false" hidden="false" localSheetId="2" name="fenixrec" vbProcedure="false">#REF!</definedName>
    <definedName function="false" hidden="false" localSheetId="2" name="k3newrec" vbProcedure="false">#REF!</definedName>
    <definedName function="false" hidden="false" localSheetId="2" name="k3oldrec" vbProcedure="false">#REF!</definedName>
    <definedName function="false" hidden="false" localSheetId="2" name="k86rec" vbProcedure="false">#REF!</definedName>
    <definedName function="false" hidden="false" localSheetId="2" name="l" vbProcedure="false">#REF!</definedName>
    <definedName function="false" hidden="false" localSheetId="2" name="PowerElementType" vbProcedure="false">'[3]Plant loading'!$A$157:$A$158</definedName>
    <definedName function="false" hidden="false" localSheetId="2" name="robustrec" vbProcedure="false">#REF!</definedName>
    <definedName function="false" hidden="false" localSheetId="2" name="test" vbProcedure="false">#REF!</definedName>
    <definedName function="false" hidden="false" localSheetId="12" name="aaaa" vbProcedure="false">#REF!</definedName>
    <definedName function="false" hidden="false" localSheetId="12" name="Agg_sites_12mth" vbProcedure="false">#REF!</definedName>
    <definedName function="false" hidden="false" localSheetId="12" name="bluerec" vbProcedure="false">#REF!</definedName>
    <definedName function="false" hidden="false" localSheetId="12" name="fenixrec" vbProcedure="false">#REF!</definedName>
    <definedName function="false" hidden="false" localSheetId="12" name="k3newrec" vbProcedure="false">#REF!</definedName>
    <definedName function="false" hidden="false" localSheetId="12" name="k3oldrec" vbProcedure="false">#REF!</definedName>
    <definedName function="false" hidden="false" localSheetId="12" name="k86rec" vbProcedure="false">#REF!</definedName>
    <definedName function="false" hidden="false" localSheetId="12" name="l" vbProcedure="false">#REF!</definedName>
    <definedName function="false" hidden="false" localSheetId="12" name="PowerElementType" vbProcedure="false">'[2]Plant loading'!$A$124:$A$125</definedName>
    <definedName function="false" hidden="false" localSheetId="12" name="robustrec" vbProcedure="false">#REF!</definedName>
    <definedName function="false" hidden="false" localSheetId="12" name="test" vbProcedure="false">#REF!</definedName>
    <definedName function="false" hidden="false" localSheetId="13" name="_xlnm._FilterDatabase" vbProcedure="false">' AirCon Apr 21'!$A$1:$wvs$293</definedName>
    <definedName function="false" hidden="false" localSheetId="14" name="PowerElementType" vbProcedure="false">'[1]Plant loading'!$A$123:$A$124</definedName>
    <definedName function="false" hidden="false" localSheetId="16" name="bluerec" vbProcedure="false">#REF!</definedName>
    <definedName function="false" hidden="false" localSheetId="16" name="fenixrec" vbProcedure="false">#REF!</definedName>
    <definedName function="false" hidden="false" localSheetId="16" name="k3newrec" vbProcedure="false">#REF!</definedName>
    <definedName function="false" hidden="false" localSheetId="16" name="k3oldrec" vbProcedure="false">#REF!</definedName>
    <definedName function="false" hidden="false" localSheetId="16" name="k86rec" vbProcedure="false">#REF!</definedName>
    <definedName function="false" hidden="false" localSheetId="16" name="robustrec" vbProcedure="false">#REF!</definedName>
    <definedName function="false" hidden="false" localSheetId="21" name="aaaa" vbProcedure="false">#REF!</definedName>
    <definedName function="false" hidden="false" localSheetId="21" name="Agg_sites_12mth" vbProcedure="false">#REF!</definedName>
    <definedName function="false" hidden="false" localSheetId="21" name="bluerec" vbProcedure="false">#REF!</definedName>
    <definedName function="false" hidden="false" localSheetId="21" name="fenixrec" vbProcedure="false">#REF!</definedName>
    <definedName function="false" hidden="false" localSheetId="21" name="k3newrec" vbProcedure="false">#REF!</definedName>
    <definedName function="false" hidden="false" localSheetId="21" name="k3oldrec" vbProcedure="false">#REF!</definedName>
    <definedName function="false" hidden="false" localSheetId="21" name="k86rec" vbProcedure="false">#REF!</definedName>
    <definedName function="false" hidden="false" localSheetId="21" name="robustrec" vbProcedure="false">#REF!</definedName>
    <definedName function="false" hidden="false" localSheetId="22" name="bluerec" vbProcedure="false">#REF!</definedName>
    <definedName function="false" hidden="false" localSheetId="22" name="fenixrec" vbProcedure="false">#REF!</definedName>
    <definedName function="false" hidden="false" localSheetId="22" name="k3newrec" vbProcedure="false">#REF!</definedName>
    <definedName function="false" hidden="false" localSheetId="22" name="k3oldrec" vbProcedure="false">#REF!</definedName>
    <definedName function="false" hidden="false" localSheetId="22" name="k86rec" vbProcedure="false">#REF!</definedName>
    <definedName function="false" hidden="false" localSheetId="22" name="robustrec" vbProcedure="false">#REF!</definedName>
    <definedName function="false" hidden="false" localSheetId="24" name="bluerec" vbProcedure="false">#REF!</definedName>
    <definedName function="false" hidden="false" localSheetId="24" name="fenixrec" vbProcedure="false">#REF!</definedName>
    <definedName function="false" hidden="false" localSheetId="24" name="k3newrec" vbProcedure="false">#REF!</definedName>
    <definedName function="false" hidden="false" localSheetId="24" name="k3oldrec" vbProcedure="false">#REF!</definedName>
    <definedName function="false" hidden="false" localSheetId="24" name="k86rec" vbProcedure="false">#REF!</definedName>
    <definedName function="false" hidden="false" localSheetId="24" name="robustrec" vbProcedure="false">#REF!</definedName>
    <definedName function="false" hidden="false" localSheetId="25" name="aaaa" vbProcedure="false">#REF!</definedName>
    <definedName function="false" hidden="false" localSheetId="25" name="Agg_sites_12mth" vbProcedure="false">#REF!</definedName>
    <definedName function="false" hidden="false" localSheetId="25" name="bluerec" vbProcedure="false">#REF!</definedName>
    <definedName function="false" hidden="false" localSheetId="25" name="fenixrec" vbProcedure="false">#REF!</definedName>
    <definedName function="false" hidden="false" localSheetId="25" name="k3newrec" vbProcedure="false">#REF!</definedName>
    <definedName function="false" hidden="false" localSheetId="25" name="k3oldrec" vbProcedure="false">#REF!</definedName>
    <definedName function="false" hidden="false" localSheetId="25" name="k86rec" vbProcedure="false">#REF!</definedName>
    <definedName function="false" hidden="false" localSheetId="25" name="robustrec" vbProcedure="false">#REF!</definedName>
    <definedName function="false" hidden="false" localSheetId="27" name="bluerec" vbProcedure="false">#REF!</definedName>
    <definedName function="false" hidden="false" localSheetId="27" name="fenixrec" vbProcedure="false">#REF!</definedName>
    <definedName function="false" hidden="false" localSheetId="27" name="k3newrec" vbProcedure="false">#REF!</definedName>
    <definedName function="false" hidden="false" localSheetId="27" name="k3oldrec" vbProcedure="false">#REF!</definedName>
    <definedName function="false" hidden="false" localSheetId="27" name="k86rec" vbProcedure="false">#REF!</definedName>
    <definedName function="false" hidden="false" localSheetId="27" name="robustrec" vbProcedure="false">#REF!</definedName>
    <definedName function="false" hidden="false" localSheetId="28" name="bluerec" vbProcedure="false">#REF!</definedName>
    <definedName function="false" hidden="false" localSheetId="28" name="fenixrec" vbProcedure="false">#REF!</definedName>
    <definedName function="false" hidden="false" localSheetId="28" name="k3newrec" vbProcedure="false">#REF!</definedName>
    <definedName function="false" hidden="false" localSheetId="28" name="k3oldrec" vbProcedure="false">#REF!</definedName>
    <definedName function="false" hidden="false" localSheetId="28" name="k86rec" vbProcedure="false">#REF!</definedName>
    <definedName function="false" hidden="false" localSheetId="28" name="robustrec" vbProcedure="false">#REF!</definedName>
    <definedName function="false" hidden="false" localSheetId="29" name="aaaa" vbProcedure="false">#REF!</definedName>
    <definedName function="false" hidden="false" localSheetId="29" name="Agg_sites_12mth" vbProcedure="false">#REF!</definedName>
    <definedName function="false" hidden="false" localSheetId="29" name="bluerec" vbProcedure="false">#REF!</definedName>
    <definedName function="false" hidden="false" localSheetId="29" name="fenixrec" vbProcedure="false">#REF!</definedName>
    <definedName function="false" hidden="false" localSheetId="29" name="k3newrec" vbProcedure="false">#REF!</definedName>
    <definedName function="false" hidden="false" localSheetId="29" name="k3oldrec" vbProcedure="false">#REF!</definedName>
    <definedName function="false" hidden="false" localSheetId="29" name="k86rec" vbProcedure="false">#REF!</definedName>
    <definedName function="false" hidden="false" localSheetId="29" name="robustrec" vbProcedure="false">#REF!</definedName>
    <definedName function="false" hidden="false" localSheetId="30" name="bluerec" vbProcedure="false">#REF!</definedName>
    <definedName function="false" hidden="false" localSheetId="30" name="fenixrec" vbProcedure="false">#REF!</definedName>
    <definedName function="false" hidden="false" localSheetId="30" name="k3newrec" vbProcedure="false">#REF!</definedName>
    <definedName function="false" hidden="false" localSheetId="30" name="k3oldrec" vbProcedure="false">#REF!</definedName>
    <definedName function="false" hidden="false" localSheetId="30" name="k86rec" vbProcedure="false">#REF!</definedName>
    <definedName function="false" hidden="false" localSheetId="30" name="robustrec" vbProcedure="false">#REF!</definedName>
    <definedName function="false" hidden="false" localSheetId="31" name="aaaa" vbProcedure="false">#REF!</definedName>
    <definedName function="false" hidden="false" localSheetId="31" name="Agg_sites_12mth" vbProcedure="false">#REF!</definedName>
    <definedName function="false" hidden="false" localSheetId="31" name="bluerec" vbProcedure="false">#REF!</definedName>
    <definedName function="false" hidden="false" localSheetId="31" name="fenixrec" vbProcedure="false">#REF!</definedName>
    <definedName function="false" hidden="false" localSheetId="31" name="k3newrec" vbProcedure="false">#REF!</definedName>
    <definedName function="false" hidden="false" localSheetId="31" name="k3oldrec" vbProcedure="false">#REF!</definedName>
    <definedName function="false" hidden="false" localSheetId="31" name="k86rec" vbProcedure="false">#REF!</definedName>
    <definedName function="false" hidden="false" localSheetId="31" name="robustrec" vbProcedure="false">#REF!</definedName>
    <definedName function="false" hidden="false" localSheetId="31" name="test" vbProcedure="false">#REF!</definedName>
    <definedName function="false" hidden="false" localSheetId="32" name="bluerec" vbProcedure="false">#REF!</definedName>
    <definedName function="false" hidden="false" localSheetId="32" name="fenixrec" vbProcedure="false">#REF!</definedName>
    <definedName function="false" hidden="false" localSheetId="32" name="k3newrec" vbProcedure="false">#REF!</definedName>
    <definedName function="false" hidden="false" localSheetId="32" name="k3oldrec" vbProcedure="false">#REF!</definedName>
    <definedName function="false" hidden="false" localSheetId="32" name="k86rec" vbProcedure="false">#REF!</definedName>
    <definedName function="false" hidden="false" localSheetId="32" name="robustrec" vbProcedure="false">#REF!</definedName>
    <definedName function="false" hidden="false" localSheetId="34" name="aaaa" vbProcedure="false">#REF!</definedName>
    <definedName function="false" hidden="false" localSheetId="34" name="Agg_sites_12mth" vbProcedure="false">#REF!</definedName>
    <definedName function="false" hidden="false" localSheetId="34" name="bluerec" vbProcedure="false">#REF!</definedName>
    <definedName function="false" hidden="false" localSheetId="34" name="fenixrec" vbProcedure="false">#REF!</definedName>
    <definedName function="false" hidden="false" localSheetId="34" name="k3newrec" vbProcedure="false">#REF!</definedName>
    <definedName function="false" hidden="false" localSheetId="34" name="k3oldrec" vbProcedure="false">#REF!</definedName>
    <definedName function="false" hidden="false" localSheetId="34" name="k86rec" vbProcedure="false">#REF!</definedName>
    <definedName function="false" hidden="false" localSheetId="34" name="robustrec" vbProcedure="false">#REF!</definedName>
    <definedName function="false" hidden="false" localSheetId="36" name="aaaa" vbProcedure="false">#REF!</definedName>
    <definedName function="false" hidden="false" localSheetId="36" name="Agg_sites_12mth" vbProcedure="false">#REF!</definedName>
    <definedName function="false" hidden="false" localSheetId="36" name="bluerec" vbProcedure="false">#REF!</definedName>
    <definedName function="false" hidden="false" localSheetId="36" name="fenixrec" vbProcedure="false">#REF!</definedName>
    <definedName function="false" hidden="false" localSheetId="36" name="k3newrec" vbProcedure="false">#REF!</definedName>
    <definedName function="false" hidden="false" localSheetId="36" name="k3oldrec" vbProcedure="false">#REF!</definedName>
    <definedName function="false" hidden="false" localSheetId="36" name="k86rec" vbProcedure="false">#REF!</definedName>
    <definedName function="false" hidden="false" localSheetId="36" name="robustrec" vbProcedure="false">#REF!</definedName>
    <definedName function="false" hidden="false" localSheetId="36" name="test" vbProcedure="false">#REF!</definedName>
    <definedName function="false" hidden="false" localSheetId="37" name="aaaa" vbProcedure="false">#REF!</definedName>
    <definedName function="false" hidden="false" localSheetId="37" name="Agg_sites_12mth" vbProcedure="false">#REF!</definedName>
    <definedName function="false" hidden="false" localSheetId="37" name="bluerec" vbProcedure="false">#REF!</definedName>
    <definedName function="false" hidden="false" localSheetId="37" name="fenixrec" vbProcedure="false">#REF!</definedName>
    <definedName function="false" hidden="false" localSheetId="37" name="k3newrec" vbProcedure="false">#REF!</definedName>
    <definedName function="false" hidden="false" localSheetId="37" name="k3oldrec" vbProcedure="false">#REF!</definedName>
    <definedName function="false" hidden="false" localSheetId="37" name="k86rec" vbProcedure="false">#REF!</definedName>
    <definedName function="false" hidden="false" localSheetId="37" name="robustrec" vbProcedure="false">#REF!</definedName>
    <definedName function="false" hidden="false" localSheetId="37" name="test" vbProcedure="false">#REF!</definedName>
    <definedName function="false" hidden="false" localSheetId="38" name="aaaa" vbProcedure="false">#REF!</definedName>
    <definedName function="false" hidden="false" localSheetId="38" name="Agg_sites_12mth" vbProcedure="false">#REF!</definedName>
    <definedName function="false" hidden="false" localSheetId="38" name="bluerec" vbProcedure="false">#REF!</definedName>
    <definedName function="false" hidden="false" localSheetId="38" name="fenixrec" vbProcedure="false">#REF!</definedName>
    <definedName function="false" hidden="false" localSheetId="38" name="k3newrec" vbProcedure="false">#REF!</definedName>
    <definedName function="false" hidden="false" localSheetId="38" name="k3oldrec" vbProcedure="false">#REF!</definedName>
    <definedName function="false" hidden="false" localSheetId="38" name="k86rec" vbProcedure="false">#REF!</definedName>
    <definedName function="false" hidden="false" localSheetId="38" name="robustrec" vbProcedure="false">#REF!</definedName>
    <definedName function="false" hidden="false" localSheetId="38" name="test" vbProcedure="false">#REF!</definedName>
  </definedNames>
  <calcPr iterateCount="100" refMode="A1" iterate="false" iterateDelta="0.0001"/>
  <pivotCaches>
    <pivotCache cacheId="1" r:id="rId57"/>
  </pivotCaches>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37"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t>
        </r>
      </text>
    </comment>
    <comment ref="B38"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t>
        </r>
      </text>
    </comment>
    <comment ref="B13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XCY currently manually added as 42
</t>
        </r>
      </text>
    </comment>
    <comment ref="D37"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Load figure is the total load for AC and DC </t>
        </r>
      </text>
    </comment>
    <comment ref="D38"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Load figure is the total load for AC and DC </t>
        </r>
      </text>
    </comment>
    <comment ref="D10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Total load= sw rm 3 use (plus conversion DC-AC, remainder sw rm 1)
Reply:
    Last load reading date 23/9/24. Possible controller failure 19/9/24</t>
        </r>
      </text>
    </comment>
    <comment ref="D11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Last load reading 22/7/24</t>
        </r>
      </text>
    </comment>
    <comment ref="E1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Last load reading date 22/12/24</t>
        </r>
      </text>
    </comment>
    <comment ref="E37"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Load figure is the total load for AC and DC </t>
        </r>
      </text>
    </comment>
    <comment ref="E38"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Load figure is the total load for AC and DC </t>
        </r>
      </text>
    </comment>
    <comment ref="E10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Total load= sw rm 3 use (plus conversion DC-AC, remainder sw rm 1)
Reply:
    Last load reading date 23/9/24. Possible controller failure 19/9/24</t>
        </r>
      </text>
    </comment>
    <comment ref="E11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Last load reading 01/12/24</t>
        </r>
      </text>
    </comment>
    <comment ref="E11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Last load reading 06/12/24. Has caused an increase on PEM and PENWN</t>
        </r>
      </text>
    </comment>
    <comment ref="H5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07/01/21 x6 removed for use at XEH</t>
        </r>
      </text>
    </comment>
    <comment ref="H5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07/01/21 x6 removed for use at XEH</t>
        </r>
      </text>
    </comment>
    <comment ref="H55"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07/01/21 x24 removed for use at XEH</t>
        </r>
      </text>
    </comment>
    <comment ref="H75"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Number of modules reduced to 28 to  move capacity onto DCSYS07a &amp; b 
Reply:
    Following Eaton Upgrade revised rectifier count is 34</t>
        </r>
      </text>
    </comment>
    <comment ref="L37"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
Reply:
    Useable DC capacity is 59 without reducing AC capacity
Reply:
    Added the 16kW AC capacity into the DC figures. Only 59kW useable
Reply:
    Cells highlighted to show includes Inverter capacity </t>
        </r>
      </text>
    </comment>
    <comment ref="L38"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
Reply:
    Useable DC capacity is 59 without reducing AC capacity
Reply:
    Added the 16kW AC capacity into the DC figures. Only 59kW useable
Reply:
    Cells highlighted to show includes Inverter capacity </t>
        </r>
      </text>
    </comment>
    <comment ref="V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Red text =&lt;20%</t>
        </r>
      </text>
    </comment>
    <comment ref="V5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20kW reduction to align with bldg capability (480kW reduced to 460kW)</t>
        </r>
      </text>
    </comment>
    <comment ref="V5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Max usable tech load fig used as this is lower than the deployed capability</t>
        </r>
      </text>
    </comment>
    <comment ref="W78"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Pending expansion of x5 rectifiers 
Reply:
    upgrade completed</t>
        </r>
      </text>
    </comment>
    <comment ref="W7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Pending expansion of x5 rectifiers </t>
        </r>
      </text>
    </comment>
    <comment ref="X3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DCSYS06a &amp; b 28.8kW of the 75kW capacity is reserved for the AC system</t>
        </r>
      </text>
    </comment>
    <comment ref="X5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Max tech load fig used (460kW) as lower than deployed usable capability (480kW)</t>
        </r>
      </text>
    </comment>
    <comment ref="Z3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DCSYS06a &amp; b 28.8kW of the 75kW capacity is reserved for the AC system</t>
        </r>
      </text>
    </comment>
    <comment ref="AB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Note to comment
Based on recorded readings as per forecasting spreadsheet
Reply:
    NFV Loads reviewed 20/04/2022
Reply:
    NFV reserved loads updated on 26/07/2022
Reply:
    NFV reserved loads updated on 23/12/2022
Reply:
    NFV reserved loads updated on 27/02/2023
Reply:
    NFV reserved loads updated on 25/07/2023
Reply:
    NFV reserved loads updated on 12/12/23
Reply:
    NFV reserved loads updated on 09/10/2024</t>
        </r>
      </text>
    </comment>
    <comment ref="AB2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26/07/2022
Reply:
    NFV reserved loads updated on 3/10/2022
Reply:
    NFV reserved loads updated on 23/12/2022
Reply:
    NFV reserved loads updated on 25/07/23
Reply:
    NFV reserved loads updated on 25/08/2023 
Reply:
    NFV reserved loads updated on 11/10/2023
Reply:
    NFV reserved loads updated on 10/06/2024
Reply:
    NFV reserved loads updated on 13/06/2024
Reply:
    NFV reserved loads updated for PECEH, PEDEH, PEEEH, PEFEH &amp; PEHEH on 23/08/24
Reply:
    NFV reserved loads updated on 9/10/2024
Reply:
    NFV reserved loads updated on 18/11/2024</t>
        </r>
      </text>
    </comment>
    <comment ref="AB3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New NFV Live and reserved loads added 14/06/2022
Reply:
    NFV reserved loads updated on 26/08/2022 Synergy Frames capacity reduced from 7.5kW to 6kW 
Reply:
    NFV Live load readings taken 10/10/2022 reserved updated 
Reply:
    NFV reserved loads updated on 29/12/2022 
Reply:
    NFV reserved loads reviewed 
Reply:
    NFV reserved loads updated 26/09/2023
Reply:
    NFV reserved loads reviewed 02/11/23
Reply:
    NFV reserved loads updated on 13th Dec 23
Reply:
    NFV reserved loads updated on 21st Dec 
Reply:
    NFV reserved loads updated on 20th Feb 
Reply:
    NFV reserved figures updated for C7000 chassis 3.5kW and Synergy Frames 5kW.  Live and reserved figures updated 
Reply:
    NFV reserved loads updated on 18th July 24.  Add POD 301 - 303 
Reply:
    NFV reserved loads updated on 04/11/2024</t>
        </r>
      </text>
    </comment>
    <comment ref="AB3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NFV reserved loads updated &amp; Synergy frames  capacity reduce from 7.5kW to 6kW on 26/08/2022
Reply:
    NFV Load review undertook on 19th Dec 22
Reply:
    NFV Load review undertook on 20th Feb-23 
Reply:
    NFV Load review undertaken 
Reply:
    NFV loads review undertaken 
Reply:
    NFV reserved loads updated 11/12/23
Reply:
    NFV reserved loads updated on 11/9/24</t>
        </r>
      </text>
    </comment>
    <comment ref="AB5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26/7/2022
Reply:
    NFV Load review undertook on 19th Dec 
Reply:
    NFV load review undertaken on 27/02/2023
Reply:
    NFV Load review undertaken 
Reply:
    NFV reserved load reading undertaken 25/07/2023
Reply:
    NFV reserved load review undertaken 
Reply:
    NFV Load review undertaken 11/12/23
Reply:
    NFV Load review undertaken 08/10/2024
</t>
        </r>
      </text>
    </comment>
    <comment ref="AB6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26/07/2022
Reply:
    NFV reserved loads updated on 23/12/2022
Reply:
    NFV reserved loads updated on 23/12/2023
Reply:
    NFV reserved load figures updated on 23/08/2023.   DCSYS07a &amp; b include the TSR reserved figures 
Reply:
    NFV reserved load figures updated on 15/10/2024</t>
        </r>
      </text>
    </comment>
    <comment ref="AB7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NFV reserved loads updated &amp; Synergy frames capacity reduced from 7.5kW to 6kW on 26/08/2022 
Reply:
    NFV reserved loads updated 29/12/2022 
Reply:
    NFV reserved loads updated 
Reply:
    NFV Load updated on 29th July 23
Reply:
    NFV live &amp; reserved loads updated 30/08/2023
Reply:
    NFV reserved loads updated 12/12/23
Reply:
    NFV reserved loads updated </t>
        </r>
      </text>
    </comment>
    <comment ref="AC2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20A removed from PEEEH reserved load for ISNG probes (23027) as for NFV probing</t>
        </r>
      </text>
    </comment>
    <comment ref="AC25"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20A removed from PEFEH reserved load for ISNG probes (23027) as for NFV probing</t>
        </r>
      </text>
    </comment>
    <comment ref="AC27"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HGW Due to move onto NFV will reduce the load by 5kW</t>
        </r>
      </text>
    </comment>
    <comment ref="AD8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No kit in cabs yet</t>
        </r>
      </text>
    </comment>
    <comment ref="AD87"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No kit in cabs yet</t>
        </r>
      </text>
    </comment>
    <comment ref="AD11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No kit in cabs yet</t>
        </r>
      </text>
    </comment>
    <comment ref="AD11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No kit in cabs yet</t>
        </r>
      </text>
    </comment>
    <comment ref="AE1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21/05/24 174A allocation reduced due to live reading of 48A</t>
        </r>
      </text>
    </comment>
    <comment ref="AE1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21/05/24 126A allocation reduced due to live reading of 57A</t>
        </r>
      </text>
    </comment>
    <comment ref="AE3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45A allocated</t>
        </r>
      </text>
    </comment>
    <comment ref="AE4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45A allocated</t>
        </r>
      </text>
    </comment>
    <comment ref="AE6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05/6/24 97A allocation reduced due to live reading of 41A</t>
        </r>
      </text>
    </comment>
    <comment ref="AE65"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05/6/24 158A allocation reduced due to live reading of 90A</t>
        </r>
      </text>
    </comment>
    <comment ref="AE6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05/6/24 184A allocation reduced due to live reading of 81A</t>
        </r>
      </text>
    </comment>
    <comment ref="AE67"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05/6/24 22A 34A allocation reduced due to live reading of 22A</t>
        </r>
      </text>
    </comment>
    <comment ref="AE68"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05/6/24 69A allocation reduced due to live reading of 32A</t>
        </r>
      </text>
    </comment>
    <comment ref="AE6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05/6/24 87A allocation reduced due to live reading of 49A</t>
        </r>
      </text>
    </comment>
    <comment ref="AE77"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138A allocated (1.5kW per cab on day one, could go to 5kW)
Reply:
    AP Reduced to 4 kW to be in line for the Network sites</t>
        </r>
      </text>
    </comment>
    <comment ref="AE8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70A allocated. 28/5/24 29A increase</t>
        </r>
      </text>
    </comment>
    <comment ref="AE8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70A allocated. 28/5/24 38A increase</t>
        </r>
      </text>
    </comment>
    <comment ref="AG1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21/05/24 104A allocation reduced due to live reading of 31A</t>
        </r>
      </text>
    </comment>
    <comment ref="AG1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21/05/24 103A allocation reduced due to live reading of 71A</t>
        </r>
      </text>
    </comment>
    <comment ref="AG15"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21/05/24 87A allocation reduced due to live reading of 46A</t>
        </r>
      </text>
    </comment>
    <comment ref="AG1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21/05/24 126A allocation reduced due to live reading of 69A</t>
        </r>
      </text>
    </comment>
    <comment ref="AG7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138A allocated (1.5kW per cab on day one, could go to 5kW)
Reply:
    AP Reduced to 4 kW to be in line for the Network sites</t>
        </r>
      </text>
    </comment>
    <comment ref="AG9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1.5kW per cab on day one, could go to 5kW
Reply:
    AP Reduced to 4 kW to be in line for the Network sites</t>
        </r>
      </text>
    </comment>
    <comment ref="AG10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1.5kW per cab on day one, could go to 5kW
Reply:
    AP Reduced to 4 kW to be in line for the Network sites</t>
        </r>
      </text>
    </comment>
    <comment ref="AH8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Ciena 6500 14slot planned in existing Cab with New Power install - ORMT_SAP_241210_6_Y856995 </t>
        </r>
      </text>
    </comment>
    <comment ref="AH8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Ciena 6500 14slot planned in existing Cab with New Power install - ORMT_SAP_241210_6_Y856995 </t>
        </r>
      </text>
    </comment>
  </commentList>
</comments>
</file>

<file path=xl/comments4.xml><?xml version="1.0" encoding="utf-8"?>
<comments xmlns="http://schemas.openxmlformats.org/spreadsheetml/2006/main" xmlns:xdr="http://schemas.openxmlformats.org/drawingml/2006/spreadsheetDrawing">
  <authors>
    <author> </author>
  </authors>
  <commentList>
    <comment ref="B2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a and b side to be viewed as single system</t>
        </r>
      </text>
    </comment>
    <comment ref="B2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a and b side to be viewed as single system</t>
        </r>
      </text>
    </comment>
    <comment ref="B5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Max load on PDU 75kW/ 94kVA, max 130A per phase,</t>
        </r>
      </text>
    </comment>
    <comment ref="C6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Security cage has max allocatoin of 20kW. 
11/12/17 Cage has 16kW remaining</t>
        </r>
      </text>
    </comment>
    <comment ref="D2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Inc from 12 to 14 Jan 21</t>
        </r>
      </text>
    </comment>
    <comment ref="D2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Inc from 12 to 14 Jan 21</t>
        </r>
      </text>
    </comment>
    <comment ref="D3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x3 more connected not used</t>
        </r>
      </text>
    </comment>
    <comment ref="D3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x3 more connected not used</t>
        </r>
      </text>
    </comment>
    <comment ref="D5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Figures for GIS migration only</t>
        </r>
      </text>
    </comment>
    <comment ref="D11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(130A per phase) Max 75kW on PDU
https://axscada.ad.plc.cwintra.com/login pmc</t>
        </r>
      </text>
    </comment>
    <comment ref="E5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Figures for GIS migration only</t>
        </r>
      </text>
    </comment>
    <comment ref="F5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Figures for GIS migration only</t>
        </r>
      </text>
    </comment>
    <comment ref="K28"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Load from AxScada</t>
        </r>
      </text>
    </comment>
    <comment ref="K2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Load from AxScada</t>
        </r>
      </text>
    </comment>
    <comment ref="M5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Refer to AxScada
</t>
        </r>
      </text>
    </comment>
    <comment ref="P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Security Cage</t>
        </r>
      </text>
    </comment>
    <comment ref="X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Value (W)/54.5/No of plants feeding AC plant then add 10% for losses</t>
        </r>
      </text>
    </comment>
  </commentList>
</comments>
</file>

<file path=xl/comments5.xml><?xml version="1.0" encoding="utf-8"?>
<comments xmlns="http://schemas.openxmlformats.org/spreadsheetml/2006/main" xmlns:xdr="http://schemas.openxmlformats.org/drawingml/2006/spreadsheetDrawing">
  <authors>
    <author> </author>
  </authors>
  <commentList>
    <comment ref="D13" authorId="0">
      <text>
        <r>
          <rPr>
            <sz val="8"/>
            <rFont val="Arial"/>
            <family val="2"/>
            <charset val="1"/>
          </rPr>
          <t xml:space="preserve">Lee, Richard.X, Vodafone:
Combined AC &amp; DC total
DC = 190kW (80% of N)
AC = 310kW
AP 
AC only figures 345kW
</t>
        </r>
      </text>
    </comment>
    <comment ref="F10" authorId="0">
      <text>
        <r>
          <rPr>
            <sz val="8"/>
            <rFont val="Arial"/>
            <family val="0"/>
            <charset val="1"/>
          </rPr>
          <t xml:space="preserve">Lee, Rich:
</t>
        </r>
        <r>
          <rPr>
            <sz val="9"/>
            <color rgb="FF000000"/>
            <rFont val="Tahoma"/>
            <family val="2"/>
            <charset val="1"/>
          </rPr>
          <t xml:space="preserve">Use 6% figure to ensure total adds to 100% as current utilisation is 94%
</t>
        </r>
      </text>
    </comment>
    <comment ref="G1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Note this figure taken from iPDU sheets not true running loads but are forecast loads . 160 running load is the 221kW less 61kW Reserved </t>
        </r>
      </text>
    </comment>
    <comment ref="H1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The Reserved figures is based on the live figures from the NFV Ops team </t>
        </r>
      </text>
    </comment>
    <comment ref="K10" authorId="0">
      <text>
        <r>
          <rPr>
            <sz val="8"/>
            <rFont val="Arial"/>
            <family val="0"/>
            <charset val="1"/>
          </rPr>
          <t xml:space="preserve">Lee, Rich:
</t>
        </r>
        <r>
          <rPr>
            <sz val="9"/>
            <color rgb="FF000000"/>
            <rFont val="Tahoma"/>
            <family val="2"/>
            <charset val="1"/>
          </rPr>
          <t xml:space="preserve">This is remaining capacity based on 94% utilisation as we have exceeded 90% capacity management limit</t>
        </r>
      </text>
    </comment>
    <comment ref="R1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Should this not be 90% for the AC in BKLN05? </t>
        </r>
      </text>
    </comment>
  </commentList>
</comments>
</file>

<file path=xl/comments6.xml><?xml version="1.0" encoding="utf-8"?>
<comments xmlns="http://schemas.openxmlformats.org/spreadsheetml/2006/main" xmlns:xdr="http://schemas.openxmlformats.org/drawingml/2006/spreadsheetDrawing">
  <authors>
    <author> </author>
  </authors>
  <commentList>
    <comment ref="B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This is the TOTAL area, NOT usable area</t>
        </r>
      </text>
    </comment>
    <comment ref="B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Vax Rm= 9m²</t>
        </r>
      </text>
    </comment>
    <comment ref="B8"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Sw Rm 2= 450m²</t>
        </r>
      </text>
    </comment>
    <comment ref="B1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Sw Rm 2= 598m²</t>
        </r>
      </text>
    </comment>
    <comment ref="B5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This is the TOTAL area, NOT usable area</t>
        </r>
      </text>
    </comment>
    <comment ref="B5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Sw Rm 2=59m², Sw Rm 3=152m², Sw Rm 4=145m², Sw Rm 5= 18m²</t>
        </r>
      </text>
    </comment>
    <comment ref="B5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Sw Rm2= 445m²</t>
        </r>
      </text>
    </comment>
    <comment ref="B5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Comms Rm= 22m²</t>
        </r>
      </text>
    </comment>
    <comment ref="B5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Comms Rm=26m²</t>
        </r>
      </text>
    </comment>
    <comment ref="B55"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Sw Rm 2= 16m²</t>
        </r>
      </text>
    </comment>
    <comment ref="B5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Sw Rm 2= 181m²</t>
        </r>
      </text>
    </comment>
    <comment ref="B57"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Sw Rm 3= 328m²</t>
        </r>
      </text>
    </comment>
    <comment ref="B5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Sw Rm 2= 159m²</t>
        </r>
      </text>
    </comment>
    <comment ref="B6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Sw Rm B= 150m²</t>
        </r>
      </text>
    </comment>
    <comment ref="B95"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F=20
H=0</t>
        </r>
      </text>
    </comment>
    <comment ref="B9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F=10
H=8
</t>
        </r>
      </text>
    </comment>
    <comment ref="B97"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F=5
H=7</t>
        </r>
      </text>
    </comment>
    <comment ref="B98"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F=16
H=1</t>
        </r>
      </text>
    </comment>
    <comment ref="B9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Average suit line area 8.5m2</t>
        </r>
      </text>
    </comment>
    <comment ref="B10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Average suit line area 8.5m2</t>
        </r>
      </text>
    </comment>
    <comment ref="C9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Average suit line area 8.5m2</t>
        </r>
      </text>
    </comment>
    <comment ref="D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Inc HAC</t>
        </r>
      </text>
    </comment>
    <comment ref="D9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r>
      </text>
    </comment>
    <comment ref="D10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r>
      </text>
    </comment>
    <comment ref="E9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number of cabs multiplied by average 0.8m2 per cab</t>
        </r>
      </text>
    </comment>
    <comment ref="E9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Taken as max site can support if we fit-out unused areas</t>
        </r>
      </text>
    </comment>
    <comment ref="F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Inc HAC</t>
        </r>
      </text>
    </comment>
    <comment ref="G9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r>
      </text>
    </comment>
    <comment ref="H9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Taken as max site can support if we fit-out unused areas.  To be done for April report</t>
        </r>
      </text>
    </comment>
    <comment ref="J2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allowing for front/back space</t>
        </r>
      </text>
    </comment>
    <comment ref="J3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allowing for front/back space</t>
        </r>
      </text>
    </comment>
    <comment ref="M37"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Basement figs omitted</t>
        </r>
      </text>
    </comment>
  </commentList>
</comments>
</file>

<file path=xl/comments7.xml><?xml version="1.0" encoding="utf-8"?>
<comments xmlns="http://schemas.openxmlformats.org/spreadsheetml/2006/main" xmlns:xdr="http://schemas.openxmlformats.org/drawingml/2006/spreadsheetDrawing">
  <authors>
    <author> </author>
  </authors>
  <commentList>
    <comment ref="D11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Adjusted to match Air Con capacity</t>
        </r>
      </text>
    </comment>
    <comment ref="E11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As confirmed by James McGurk</t>
        </r>
      </text>
    </comment>
    <comment ref="E118"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Includes rooms XNE001 and XNE002</t>
        </r>
      </text>
    </comment>
    <comment ref="E11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Ground floor only</t>
        </r>
      </text>
    </comment>
    <comment ref="E12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Updated to 50kW each in Concept</t>
        </r>
      </text>
    </comment>
    <comment ref="F8"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update to 465 from 300 after tactical upgrade</t>
        </r>
      </text>
    </comment>
    <comment ref="F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Increased from 450 kW Dec 2021
Reply:
    Updated from 480 to 462 to reflect actual capacity post upgrade</t>
        </r>
      </text>
    </comment>
    <comment ref="F1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Reduced for 478kW to 460kW based on revised tactical figures</t>
        </r>
      </text>
    </comment>
    <comment ref="F1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Increased from 407kW May 21
Reply:
    Updated to 481kW to 480kW</t>
        </r>
      </text>
    </comment>
    <comment ref="F1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Increased from 450 kW Dec 2021
Reply:
    Updated from 473 to 468 to reflect actual capacity post upgrade</t>
        </r>
      </text>
    </comment>
  </commentList>
</comments>
</file>

<file path=xl/comments8.xml><?xml version="1.0" encoding="utf-8"?>
<comments xmlns="http://schemas.openxmlformats.org/spreadsheetml/2006/main" xmlns:xdr="http://schemas.openxmlformats.org/drawingml/2006/spreadsheetDrawing">
  <authors>
    <author> </author>
  </authors>
  <commentList>
    <comment ref="B3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4 stud SBS390
</t>
        </r>
      </text>
    </comment>
    <comment ref="B12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4 stud Youassa battery</t>
        </r>
      </text>
    </comment>
    <comment ref="B14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VPC price April-14
AMD - updated Nov 15 for budget forecast FY16/17
AMD updated Oct 28 for budget forecast 18/19
AMD -  updatedt for HT batts and connection kit
AMD - VPC price  16/8/2021 for LRP forcasting</t>
        </r>
      </text>
    </comment>
    <comment ref="B14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String price plus connection kit 16/08/2021</t>
        </r>
      </text>
    </comment>
    <comment ref="E8"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1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1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1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2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2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2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2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25"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2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t>
        </r>
      </text>
    </comment>
    <comment ref="E27"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28"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2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3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3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3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3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3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35"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4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7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77"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8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9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9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9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11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E117"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XL170-FT Deployed 
</t>
        </r>
      </text>
    </comment>
    <comment ref="I4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Only 2 strings</t>
        </r>
      </text>
    </comment>
    <comment ref="I4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Only 2 strings</t>
        </r>
      </text>
    </comment>
    <comment ref="I4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Only 2 strings</t>
        </r>
      </text>
    </comment>
    <comment ref="I5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Only 2 strings</t>
        </r>
      </text>
    </comment>
    <comment ref="I6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Only 2 strings</t>
        </r>
      </text>
    </comment>
    <comment ref="I67"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Only 2 strings</t>
        </r>
      </text>
    </comment>
    <comment ref="I7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Only 2 strings</t>
        </r>
      </text>
    </comment>
    <comment ref="I75"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Only 2 strings</t>
        </r>
      </text>
    </comment>
    <comment ref="I8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Only 2 strings</t>
        </r>
      </text>
    </comment>
    <comment ref="I8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Only 2 strings</t>
        </r>
      </text>
    </comment>
    <comment ref="P7"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SBS XL 170F-FT = High Temp
6V165/6 = Standard</t>
        </r>
      </text>
    </comment>
    <comment ref="X3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picked up M as majority of cells are lower year 2012 (front cab is 2013)
</t>
        </r>
      </text>
    </comment>
  </commentList>
</comments>
</file>

<file path=xl/comments10.xml><?xml version="1.0" encoding="utf-8"?>
<comments xmlns="http://schemas.openxmlformats.org/spreadsheetml/2006/main" xmlns:xdr="http://schemas.openxmlformats.org/drawingml/2006/spreadsheetDrawing">
  <authors>
    <author> </author>
  </authors>
  <commentList>
    <comment ref="B108"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12 cabs used, space inc for x15= 50% either side of suite line</t>
        </r>
      </text>
    </comment>
    <comment ref="H2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x10 MiO cabs are 600 wide, so calculated space as x8 800mm cabs</t>
        </r>
      </text>
    </comment>
    <comment ref="H2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x11 MiO cabs are 600 wide</t>
        </r>
      </text>
    </comment>
  </commentList>
</comments>
</file>

<file path=xl/comments17.xml><?xml version="1.0" encoding="utf-8"?>
<comments xmlns="http://schemas.openxmlformats.org/spreadsheetml/2006/main" xmlns:xdr="http://schemas.openxmlformats.org/drawingml/2006/spreadsheetDrawing">
  <authors>
    <author> </author>
  </authors>
  <commentList>
    <comment ref="B2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(System Load)</t>
        </r>
      </text>
    </comment>
    <comment ref="C1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Oct 16 Decreases inc Voicemail MTA, SMS-C,  MCA and ACF cabs (11kW), then gradual decreases since</t>
        </r>
      </text>
    </comment>
    <comment ref="D4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Multiply by 10% for load on DC plants</t>
        </r>
      </text>
    </comment>
  </commentList>
</comments>
</file>

<file path=xl/comments40.xml><?xml version="1.0" encoding="utf-8"?>
<comments xmlns="http://schemas.openxmlformats.org/spreadsheetml/2006/main" xmlns:xdr="http://schemas.openxmlformats.org/drawingml/2006/spreadsheetDrawing">
  <authors>
    <author> </author>
  </authors>
  <commentList>
    <comment ref="B58"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Tech load from BMS= 294kW (add TSi kW fig).
BMS PUE figs inc TSis from Jan onwards</t>
        </r>
      </text>
    </comment>
    <comment ref="B5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Tech load from BMS= 231kW (add TSi kW fig).
BMS PUE figs inc TSis from Jan onwards</t>
        </r>
      </text>
    </comment>
    <comment ref="B7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Tech load from BMS= 294kW (add TSi kW fig).
BMS PUE figs inc TSis from Jan onwards</t>
        </r>
      </text>
    </comment>
    <comment ref="B75"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Tech load from BMS= 231kW (add TSi kW fig).
BMS PUE figs inc TSis from Jan onwards</t>
        </r>
      </text>
    </comment>
    <comment ref="D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r>
      </text>
    </comment>
    <comment ref="D4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r>
      </text>
    </comment>
    <comment ref="D5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r>
      </text>
    </comment>
    <comment ref="D7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r>
      </text>
    </comment>
    <comment ref="D9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r>
      </text>
    </comment>
    <comment ref="G15"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Not reporting</t>
        </r>
      </text>
    </comment>
    <comment ref="H4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Reading of 1.15. Didn’t record for a few days as BEMS systems was upgraded</t>
        </r>
      </text>
    </comment>
    <comment ref="H4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Actual value of 0.52. Didn’t record for a few days as BEMS systems was upgraded</t>
        </r>
      </text>
    </comment>
    <comment ref="I43"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Didn't report for first 3 days of March due to BEMS upgrades</t>
        </r>
      </text>
    </comment>
    <comment ref="I4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Didn't report for first 3 days of March due to BEMS upgrades</t>
        </r>
      </text>
    </comment>
    <comment ref="I62"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This is an approx fig as between 10-21 Mar the value was -0.04 resulting in an average of 0.93</t>
        </r>
      </text>
    </comment>
    <comment ref="L44"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Actual fig of 0.97, BMS did not report 20-29 June</t>
        </r>
      </text>
    </comment>
    <comment ref="O8"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Inconsistent readings</t>
        </r>
      </text>
    </comment>
    <comment ref="O1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Not reporting from 21/09-25/09</t>
        </r>
      </text>
    </comment>
    <comment ref="Y39"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Cell equation is =(400*L4*1.73)/1000</t>
        </r>
      </text>
    </comment>
    <comment ref="Y4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cell equation is =(400*L5*1.73)/1000</t>
        </r>
      </text>
    </comment>
  </commentList>
</comments>
</file>

<file path=xl/comments41.xml><?xml version="1.0" encoding="utf-8"?>
<comments xmlns="http://schemas.openxmlformats.org/spreadsheetml/2006/main" xmlns:xdr="http://schemas.openxmlformats.org/drawingml/2006/spreadsheetDrawing">
  <authors>
    <author> </author>
  </authors>
  <commentList>
    <comment ref="G191"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For XOM, check Concept. x9 78kW ACUs and  x1 18kW ACU</t>
        </r>
      </text>
    </comment>
  </commentList>
</comments>
</file>

<file path=xl/comments44.xml><?xml version="1.0" encoding="utf-8"?>
<comments xmlns="http://schemas.openxmlformats.org/spreadsheetml/2006/main" xmlns:xdr="http://schemas.openxmlformats.org/drawingml/2006/spreadsheetDrawing">
  <authors>
    <author> </author>
  </authors>
  <commentList>
    <comment ref="C26"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Figures adjust to match 346kw limit</t>
        </r>
      </text>
    </comment>
    <comment ref="C60" authorId="0">
      <text>
        <r>
          <rPr>
            <sz val="8"/>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Figures adjust to match 346kw limit</t>
        </r>
      </text>
    </comment>
  </commentList>
</comments>
</file>

<file path=xl/sharedStrings.xml><?xml version="1.0" encoding="utf-8"?>
<sst xmlns="http://schemas.openxmlformats.org/spreadsheetml/2006/main" count="9338" uniqueCount="2004">
  <si>
    <t xml:space="preserve">Key </t>
  </si>
  <si>
    <t xml:space="preserve">Not
reporting</t>
  </si>
  <si>
    <t xml:space="preserve">&lt;70</t>
  </si>
  <si>
    <t xml:space="preserve">70-80%</t>
  </si>
  <si>
    <t xml:space="preserve">80 - 90 %</t>
  </si>
  <si>
    <t xml:space="preserve">&gt;90%</t>
  </si>
  <si>
    <t xml:space="preserve">Highlight's cells with non-standard formula </t>
  </si>
  <si>
    <t xml:space="preserve">Test</t>
  </si>
  <si>
    <t xml:space="preserve">MTX</t>
  </si>
  <si>
    <t xml:space="preserve">Power Element Name</t>
  </si>
  <si>
    <t xml:space="preserve">Power Element Type</t>
  </si>
  <si>
    <t xml:space="preserve">Element Load (A) Dec 24</t>
  </si>
  <si>
    <t xml:space="preserve">Element Load (A) 19/01/25</t>
  </si>
  <si>
    <t xml:space="preserve">Running % load</t>
  </si>
  <si>
    <t xml:space="preserve">Total Running Site Load (kW)/(%)</t>
  </si>
  <si>
    <t xml:space="preserve">Number of Modules</t>
  </si>
  <si>
    <t xml:space="preserve">Module Capacity (kW)</t>
  </si>
  <si>
    <t xml:space="preserve">Power Element Capability (kW)</t>
  </si>
  <si>
    <t xml:space="preserve">Number of Redundant Modules</t>
  </si>
  <si>
    <t xml:space="preserve">Available Capability (kW)</t>
  </si>
  <si>
    <t xml:space="preserve">Available Capability (A)</t>
  </si>
  <si>
    <t xml:space="preserve">Reserved (A)</t>
  </si>
  <si>
    <t xml:space="preserve">Running Load + Reserved (%)</t>
  </si>
  <si>
    <t xml:space="preserve">Total Reserved  (kW)/(%)</t>
  </si>
  <si>
    <t xml:space="preserve">Forecast (A)</t>
  </si>
  <si>
    <t xml:space="preserve">Total Forecast  (kW)/(%)</t>
  </si>
  <si>
    <t xml:space="preserve">Running Load + Reserved+  Forecast (A)</t>
  </si>
  <si>
    <t xml:space="preserve">Running Load + Reserved+  Forecast (kW)/(%)</t>
  </si>
  <si>
    <t xml:space="preserve">Remaining Element Capability (A)</t>
  </si>
  <si>
    <t xml:space="preserve">Remaining Element Capability (kW)/(%)</t>
  </si>
  <si>
    <t xml:space="preserve">Total Power Element
  RAG (% used)</t>
  </si>
  <si>
    <t xml:space="preserve">Deployed Usable Capability (% used)</t>
  </si>
  <si>
    <t xml:space="preserve">RAG value (for graphing)</t>
  </si>
  <si>
    <t xml:space="preserve">Max Technology Load RAG (% used)</t>
  </si>
  <si>
    <t xml:space="preserve">Following Power Expansion</t>
  </si>
  <si>
    <t xml:space="preserve">Element Reference
(S&amp;P Ref/element name/planned deployment date/requestor) (AC =AC load on DC plant)</t>
  </si>
  <si>
    <r>
      <rPr>
        <sz val="10"/>
        <rFont val="Vodafone Rg"/>
        <family val="2"/>
        <charset val="1"/>
      </rPr>
      <t xml:space="preserve">Text below in </t>
    </r>
    <r>
      <rPr>
        <sz val="10"/>
        <color rgb="FFFF0000"/>
        <rFont val="Vodafone Rg"/>
        <family val="2"/>
        <charset val="1"/>
      </rPr>
      <t xml:space="preserve">RED</t>
    </r>
    <r>
      <rPr>
        <sz val="10"/>
        <rFont val="Vodafone Rg"/>
        <family val="2"/>
        <charset val="1"/>
      </rPr>
      <t xml:space="preserve"> is for cabs that have been installed but are not yet powered up. </t>
    </r>
    <r>
      <rPr>
        <sz val="10"/>
        <color rgb="FF0070C0"/>
        <rFont val="Vodafone Rg"/>
        <family val="2"/>
        <charset val="1"/>
      </rPr>
      <t xml:space="preserve">BLUE</t>
    </r>
    <r>
      <rPr>
        <sz val="10"/>
        <rFont val="Vodafone Rg"/>
        <family val="2"/>
        <charset val="1"/>
      </rPr>
      <t xml:space="preserve"> for cabs powered up, not yet fully loaded</t>
    </r>
  </si>
  <si>
    <t xml:space="preserve">Acton</t>
  </si>
  <si>
    <t xml:space="preserve">PEAAN</t>
  </si>
  <si>
    <t xml:space="preserve">eSure</t>
  </si>
  <si>
    <t xml:space="preserve">15033/Cage/Feb16/AM</t>
  </si>
  <si>
    <t xml:space="preserve">RAG Status</t>
  </si>
  <si>
    <t xml:space="preserve">PEBAN</t>
  </si>
  <si>
    <t xml:space="preserve">Plant % Used</t>
  </si>
  <si>
    <t xml:space="preserve">Site % Remaining</t>
  </si>
  <si>
    <t xml:space="preserve">PECAN</t>
  </si>
  <si>
    <t xml:space="preserve">&lt;=70</t>
  </si>
  <si>
    <t xml:space="preserve">PEFAN</t>
  </si>
  <si>
    <t xml:space="preserve">70-80</t>
  </si>
  <si>
    <t xml:space="preserve">PEGAN</t>
  </si>
  <si>
    <t xml:space="preserve">80-90</t>
  </si>
  <si>
    <t xml:space="preserve">Basingstoke</t>
  </si>
  <si>
    <t xml:space="preserve">PEABE</t>
  </si>
  <si>
    <t xml:space="preserve">Total res'd for NFV</t>
  </si>
  <si>
    <t xml:space="preserve">23018/Security TSR/AP</t>
  </si>
  <si>
    <t xml:space="preserve">240008/Geoprobe INSG FY/24/AP</t>
  </si>
  <si>
    <t xml:space="preserve">240xx/Geoprobe INSG x3 FY/24/AP</t>
  </si>
  <si>
    <t xml:space="preserve">2400x/AACUR Servers/AP</t>
  </si>
  <si>
    <t xml:space="preserve">240xx/Geoprobe EX48200/AP</t>
  </si>
  <si>
    <t xml:space="preserve">&gt;90</t>
  </si>
  <si>
    <t xml:space="preserve">PEBBE</t>
  </si>
  <si>
    <t xml:space="preserve">23018/NFV TSR/AP</t>
  </si>
  <si>
    <t xml:space="preserve">PECBE</t>
  </si>
  <si>
    <t xml:space="preserve">240xx/GVS-HC3A2/AP</t>
  </si>
  <si>
    <t xml:space="preserve">PEEBE</t>
  </si>
  <si>
    <t xml:space="preserve">PEFBE</t>
  </si>
  <si>
    <t xml:space="preserve">PEGBE</t>
  </si>
  <si>
    <t xml:space="preserve">PEHBE</t>
  </si>
  <si>
    <t xml:space="preserve">PEIBE</t>
  </si>
  <si>
    <t xml:space="preserve">Crawley</t>
  </si>
  <si>
    <t xml:space="preserve">PEACY</t>
  </si>
  <si>
    <t xml:space="preserve">PEBCY</t>
  </si>
  <si>
    <t xml:space="preserve">24008/Geoprobe INSG FY/24/AP</t>
  </si>
  <si>
    <t xml:space="preserve">PECCY</t>
  </si>
  <si>
    <t xml:space="preserve">PEDCY</t>
  </si>
  <si>
    <t xml:space="preserve">20029/RedstreamEvo/RL(SP)</t>
  </si>
  <si>
    <t xml:space="preserve">PEECY</t>
  </si>
  <si>
    <t xml:space="preserve">Edinburgh</t>
  </si>
  <si>
    <t xml:space="preserve">PECEH</t>
  </si>
  <si>
    <t xml:space="preserve">NFV reserved loads updated</t>
  </si>
  <si>
    <t xml:space="preserve">Geoprobe 4/ISNG/Dec 25/AP</t>
  </si>
  <si>
    <t xml:space="preserve">PEDEH</t>
  </si>
  <si>
    <t xml:space="preserve">PEEEH</t>
  </si>
  <si>
    <t xml:space="preserve">PEFEH</t>
  </si>
  <si>
    <t xml:space="preserve">PEGEH</t>
  </si>
  <si>
    <t xml:space="preserve">PEHEH</t>
  </si>
  <si>
    <t xml:space="preserve">Esher</t>
  </si>
  <si>
    <t xml:space="preserve">PEDER</t>
  </si>
  <si>
    <t xml:space="preserve">PEEER</t>
  </si>
  <si>
    <t xml:space="preserve">ORMT179117 </t>
  </si>
  <si>
    <t xml:space="preserve">PEFER</t>
  </si>
  <si>
    <t xml:space="preserve">ORMT179115</t>
  </si>
  <si>
    <t xml:space="preserve">PEGER</t>
  </si>
  <si>
    <t xml:space="preserve">Gloucester</t>
  </si>
  <si>
    <t xml:space="preserve">PEAGR</t>
  </si>
  <si>
    <t xml:space="preserve">2400x/Geoprobe INSG FY/24/AP</t>
  </si>
  <si>
    <t xml:space="preserve">ORMT_SAP_241010_7_10334046/Waverserver/AP</t>
  </si>
  <si>
    <t xml:space="preserve">240XX/Geoprobe Keysight/AP</t>
  </si>
  <si>
    <t xml:space="preserve">PEBGR</t>
  </si>
  <si>
    <t xml:space="preserve"> </t>
  </si>
  <si>
    <t xml:space="preserve">PECGR</t>
  </si>
  <si>
    <t xml:space="preserve"> 24008/Geoprobe INSG FY/24/AP</t>
  </si>
  <si>
    <t xml:space="preserve">PEDGR</t>
  </si>
  <si>
    <t xml:space="preserve">PEEGR</t>
  </si>
  <si>
    <t xml:space="preserve">GCRMTX-DCSYS06a</t>
  </si>
  <si>
    <t xml:space="preserve">NPR48-ES</t>
  </si>
  <si>
    <t xml:space="preserve">GCRMTX-DCSYS06b</t>
  </si>
  <si>
    <t xml:space="preserve">Gravelly Hill</t>
  </si>
  <si>
    <t xml:space="preserve">BMGMTX-DCSYS01</t>
  </si>
  <si>
    <t xml:space="preserve">HDR48-ES</t>
  </si>
  <si>
    <t xml:space="preserve">20049/RSE/RL(SP)</t>
  </si>
  <si>
    <t xml:space="preserve">AC Util 03 168*05/LP/Jan 25 (AC)</t>
  </si>
  <si>
    <t xml:space="preserve">240xx/Geoprobe Keysight/AP</t>
  </si>
  <si>
    <t xml:space="preserve">BMGMTX-DCSYS02</t>
  </si>
  <si>
    <t xml:space="preserve">24003/AC Util 03/LP (AC)</t>
  </si>
  <si>
    <t xml:space="preserve">BMGMTX-DCSYS03</t>
  </si>
  <si>
    <t xml:space="preserve">BMGMTX-DCSYS04</t>
  </si>
  <si>
    <t xml:space="preserve">BMGMTX-DCSYS05</t>
  </si>
  <si>
    <t xml:space="preserve">BMGMTX-DCSYS06</t>
  </si>
  <si>
    <t xml:space="preserve">BMGMTX-DCSYS07a</t>
  </si>
  <si>
    <t xml:space="preserve"> Total res'd for NFV</t>
  </si>
  <si>
    <t xml:space="preserve">BMGMTX-DCSYS07b</t>
  </si>
  <si>
    <t xml:space="preserve">Kings Cross</t>
  </si>
  <si>
    <t xml:space="preserve">PEAKS</t>
  </si>
  <si>
    <t xml:space="preserve">PEBKS</t>
  </si>
  <si>
    <t xml:space="preserve">PEEKS</t>
  </si>
  <si>
    <t xml:space="preserve">PEIKS</t>
  </si>
  <si>
    <t xml:space="preserve">PEJKS</t>
  </si>
  <si>
    <t xml:space="preserve">PEKKS</t>
  </si>
  <si>
    <t xml:space="preserve">PELKS</t>
  </si>
  <si>
    <t xml:space="preserve">PEMKS</t>
  </si>
  <si>
    <t xml:space="preserve">PENKS</t>
  </si>
  <si>
    <t xml:space="preserve">Leyland</t>
  </si>
  <si>
    <t xml:space="preserve">LLDMTX-DCSYS01</t>
  </si>
  <si>
    <t xml:space="preserve">24002/RLS-Ciena cab3/GD</t>
  </si>
  <si>
    <t xml:space="preserve">24000/ISNG Probe/LP</t>
  </si>
  <si>
    <t xml:space="preserve">LLDMTX-DCSYS02</t>
  </si>
  <si>
    <t xml:space="preserve">LLDMTX-DCSYS03</t>
  </si>
  <si>
    <t xml:space="preserve">LLDMTX-DCSYS04</t>
  </si>
  <si>
    <t xml:space="preserve">LLDMTX-DCSYS05</t>
  </si>
  <si>
    <t xml:space="preserve">LLDMTX-DCSYS06</t>
  </si>
  <si>
    <t xml:space="preserve">LLDMTX-DCSYS07a</t>
  </si>
  <si>
    <t xml:space="preserve"> 24008/Geoprobe INSG FY/24/AP</t>
  </si>
  <si>
    <t xml:space="preserve">LLDMTX-DCSYS07b</t>
  </si>
  <si>
    <t xml:space="preserve">Milton Keynes</t>
  </si>
  <si>
    <t xml:space="preserve">PEAMS</t>
  </si>
  <si>
    <t xml:space="preserve">PEBMS</t>
  </si>
  <si>
    <t xml:space="preserve">PECMS</t>
  </si>
  <si>
    <t xml:space="preserve">PEDMS</t>
  </si>
  <si>
    <t xml:space="preserve">PEEMS</t>
  </si>
  <si>
    <t xml:space="preserve">PEFMS</t>
  </si>
  <si>
    <t xml:space="preserve"> </t>
  </si>
  <si>
    <t xml:space="preserve">MKSMTX-DCSYS07a</t>
  </si>
  <si>
    <t xml:space="preserve">MKSMTX-DCSYS07b</t>
  </si>
  <si>
    <t xml:space="preserve">Oldham</t>
  </si>
  <si>
    <t xml:space="preserve">OLDMTX-DCSYS01</t>
  </si>
  <si>
    <t xml:space="preserve">OLDMTX-DCSYS02</t>
  </si>
  <si>
    <t xml:space="preserve">OLDMTX-DCSYS03</t>
  </si>
  <si>
    <t xml:space="preserve">OLDMTX-DCSYS04</t>
  </si>
  <si>
    <t xml:space="preserve">OLDMTX-DCSYS05</t>
  </si>
  <si>
    <t xml:space="preserve">20042&amp;22022/OptExpress x3 cabs/Nov20/RL(SP)</t>
  </si>
  <si>
    <t xml:space="preserve">OLDMTX-DCSYS06</t>
  </si>
  <si>
    <t xml:space="preserve">OLDMTX-DCSYS07a</t>
  </si>
  <si>
    <t xml:space="preserve">OLDMTX-DCSYS07b</t>
  </si>
  <si>
    <t xml:space="preserve">Rotherham</t>
  </si>
  <si>
    <t xml:space="preserve">PEARM</t>
  </si>
  <si>
    <t xml:space="preserve">20011/OpenRAN/Apr20/AP</t>
  </si>
  <si>
    <t xml:space="preserve"> 240xx/Geoprobe INSG FY/24/AP</t>
  </si>
  <si>
    <t xml:space="preserve">PEBRM</t>
  </si>
  <si>
    <t xml:space="preserve">PECRM</t>
  </si>
  <si>
    <t xml:space="preserve">Ciena 6500 14Slot 182/183*2/NA/Dec 24</t>
  </si>
  <si>
    <t xml:space="preserve">PEDRM</t>
  </si>
  <si>
    <t xml:space="preserve">PEERM</t>
  </si>
  <si>
    <t xml:space="preserve">Southampton</t>
  </si>
  <si>
    <t xml:space="preserve">PEASN</t>
  </si>
  <si>
    <t xml:space="preserve">PEBSN</t>
  </si>
  <si>
    <t xml:space="preserve">20035/AMITIE/Sept20/RL</t>
  </si>
  <si>
    <t xml:space="preserve">PECSN</t>
  </si>
  <si>
    <t xml:space="preserve">PEESN</t>
  </si>
  <si>
    <t xml:space="preserve">Swanley</t>
  </si>
  <si>
    <t xml:space="preserve">PEASY</t>
  </si>
  <si>
    <t xml:space="preserve">PEBSY</t>
  </si>
  <si>
    <t xml:space="preserve">PECSY</t>
  </si>
  <si>
    <t xml:space="preserve">PEDSY</t>
  </si>
  <si>
    <t xml:space="preserve">PEESY</t>
  </si>
  <si>
    <t xml:space="preserve">Bristol</t>
  </si>
  <si>
    <t xml:space="preserve">PEFBL</t>
  </si>
  <si>
    <t xml:space="preserve">NetSure</t>
  </si>
  <si>
    <t xml:space="preserve">PEHBL</t>
  </si>
  <si>
    <t xml:space="preserve">Cardiff</t>
  </si>
  <si>
    <t xml:space="preserve">PECCF</t>
  </si>
  <si>
    <t xml:space="preserve">20029/RedstreamEvo/AP(SP)</t>
  </si>
  <si>
    <t xml:space="preserve">PEDCF</t>
  </si>
  <si>
    <t xml:space="preserve">PEECF</t>
  </si>
  <si>
    <t xml:space="preserve">Carlisle</t>
  </si>
  <si>
    <t xml:space="preserve">PEACE</t>
  </si>
  <si>
    <t xml:space="preserve">20041/OptExpress x3 cabs/Nov20/AP(SP)</t>
  </si>
  <si>
    <t xml:space="preserve">PEBCE</t>
  </si>
  <si>
    <t xml:space="preserve">Croydon</t>
  </si>
  <si>
    <t xml:space="preserve">PEFCN</t>
  </si>
  <si>
    <t xml:space="preserve">PEGCN</t>
  </si>
  <si>
    <t xml:space="preserve">Glasgow TXO</t>
  </si>
  <si>
    <t xml:space="preserve">PEJGW</t>
  </si>
  <si>
    <t xml:space="preserve">PEKGW</t>
  </si>
  <si>
    <t xml:space="preserve">Leicester</t>
  </si>
  <si>
    <t xml:space="preserve">PEFLR</t>
  </si>
  <si>
    <t xml:space="preserve">PEGLR</t>
  </si>
  <si>
    <t xml:space="preserve">Newbury</t>
  </si>
  <si>
    <t xml:space="preserve">PEGNY</t>
  </si>
  <si>
    <t xml:space="preserve">PEHNY</t>
  </si>
  <si>
    <t xml:space="preserve">Newcastle</t>
  </si>
  <si>
    <t xml:space="preserve">PEENE</t>
  </si>
  <si>
    <t xml:space="preserve">PEFNE</t>
  </si>
  <si>
    <t xml:space="preserve">PEGNE</t>
  </si>
  <si>
    <t xml:space="preserve">Oxford</t>
  </si>
  <si>
    <t xml:space="preserve">PECOD</t>
  </si>
  <si>
    <t xml:space="preserve">PEFOD</t>
  </si>
  <si>
    <t xml:space="preserve">Stafford</t>
  </si>
  <si>
    <t xml:space="preserve">PEESD</t>
  </si>
  <si>
    <t xml:space="preserve">PEGSD</t>
  </si>
  <si>
    <t xml:space="preserve">Warrington TXO</t>
  </si>
  <si>
    <t xml:space="preserve">PELWN</t>
  </si>
  <si>
    <t xml:space="preserve">PEMWN</t>
  </si>
  <si>
    <t xml:space="preserve">PENWN</t>
  </si>
  <si>
    <t xml:space="preserve">Total VF-UK Network</t>
  </si>
  <si>
    <t xml:space="preserve">VF-UK Type A Sites</t>
  </si>
  <si>
    <t xml:space="preserve">Number of Elements</t>
  </si>
  <si>
    <t xml:space="preserve">Module Count</t>
  </si>
  <si>
    <t xml:space="preserve">Total Capacity</t>
  </si>
  <si>
    <t xml:space="preserve">Number of Plants</t>
  </si>
  <si>
    <t xml:space="preserve">Rectifier Count</t>
  </si>
  <si>
    <t xml:space="preserve">(kW)</t>
  </si>
  <si>
    <t xml:space="preserve">(MW)</t>
  </si>
  <si>
    <t xml:space="preserve">Total DC Capacity (Type A) (MW)</t>
  </si>
  <si>
    <t xml:space="preserve">Total eSure Capacity (Type A) as % of Total DC</t>
  </si>
  <si>
    <t xml:space="preserve">Total Battery Capaicty (Type A) (Ah)</t>
  </si>
  <si>
    <t xml:space="preserve">Total AC (inverter) Capacity (Type A) (kVA)</t>
  </si>
  <si>
    <t xml:space="preserve">Total Bravo Capacity (type A) as % of Total AC</t>
  </si>
  <si>
    <t xml:space="preserve">Data</t>
  </si>
  <si>
    <t xml:space="preserve">Sum of Element Load (A) Jan 21</t>
  </si>
  <si>
    <t xml:space="preserve">Sum of Running % load</t>
  </si>
  <si>
    <t xml:space="preserve">Sum of Reserved (A)</t>
  </si>
  <si>
    <t xml:space="preserve">Sum of Running Load + Reserved (%)</t>
  </si>
  <si>
    <t xml:space="preserve">Sum of Forcast (A)</t>
  </si>
  <si>
    <t xml:space="preserve">Sum of Total Forecast  (kW)</t>
  </si>
  <si>
    <t xml:space="preserve">Sum of Running Load + Reserved+  Forecast (A)</t>
  </si>
  <si>
    <t xml:space="preserve">Sum of Total Power Element
  RAG (% used)</t>
  </si>
  <si>
    <t xml:space="preserve">DC Power Plant Usage Report</t>
  </si>
  <si>
    <t xml:space="preserve">Type A Sites</t>
  </si>
  <si>
    <t xml:space="preserve">Technology Load for the site (kW)</t>
  </si>
  <si>
    <t xml:space="preserve">Reserved+Forecast for the site (kW)</t>
  </si>
  <si>
    <t xml:space="preserve">Deployed DC Capability (kW)</t>
  </si>
  <si>
    <t xml:space="preserve">Max Technology Load (kW)</t>
  </si>
  <si>
    <t xml:space="preserve">XAN</t>
  </si>
  <si>
    <t xml:space="preserve">XBE</t>
  </si>
  <si>
    <t xml:space="preserve">Kings Cross Breakdown</t>
  </si>
  <si>
    <t xml:space="preserve">XCY</t>
  </si>
  <si>
    <t xml:space="preserve">DC Load for the site (kW)</t>
  </si>
  <si>
    <t xml:space="preserve">Forecast for the site (kW)</t>
  </si>
  <si>
    <t xml:space="preserve">XEH</t>
  </si>
  <si>
    <t xml:space="preserve">XKS - 1st Floor</t>
  </si>
  <si>
    <t xml:space="preserve">XER</t>
  </si>
  <si>
    <t xml:space="preserve">XKS - 2nd Floor</t>
  </si>
  <si>
    <t xml:space="preserve">XGR</t>
  </si>
  <si>
    <t xml:space="preserve">XKS - 3rd Floor</t>
  </si>
  <si>
    <t xml:space="preserve">XGL</t>
  </si>
  <si>
    <t xml:space="preserve">XKS</t>
  </si>
  <si>
    <t xml:space="preserve">XLD</t>
  </si>
  <si>
    <t xml:space="preserve">XMS</t>
  </si>
  <si>
    <t xml:space="preserve">XOM</t>
  </si>
  <si>
    <t xml:space="preserve">XRM</t>
  </si>
  <si>
    <t xml:space="preserve">XSN</t>
  </si>
  <si>
    <t xml:space="preserve">XSY</t>
  </si>
  <si>
    <t xml:space="preserve">Type B Sites</t>
  </si>
  <si>
    <t xml:space="preserve">XBL</t>
  </si>
  <si>
    <t xml:space="preserve">N/A</t>
  </si>
  <si>
    <t xml:space="preserve">XCF</t>
  </si>
  <si>
    <t xml:space="preserve">XCE</t>
  </si>
  <si>
    <t xml:space="preserve">XCN</t>
  </si>
  <si>
    <t xml:space="preserve">TGW</t>
  </si>
  <si>
    <t xml:space="preserve">XLR</t>
  </si>
  <si>
    <t xml:space="preserve">XNY</t>
  </si>
  <si>
    <t xml:space="preserve">XNE</t>
  </si>
  <si>
    <t xml:space="preserve">XOD</t>
  </si>
  <si>
    <t xml:space="preserve">XSD</t>
  </si>
  <si>
    <t xml:space="preserve">TWN</t>
  </si>
  <si>
    <t xml:space="preserve">Power Plant Load (kW)</t>
  </si>
  <si>
    <t xml:space="preserve">Reserved+Forecast (kW)</t>
  </si>
  <si>
    <t xml:space="preserve">Useable Power Capacity (kW)</t>
  </si>
  <si>
    <t xml:space="preserve">Total Power Plant Capacity (kW)</t>
  </si>
  <si>
    <t xml:space="preserve">DCSYS07A</t>
  </si>
  <si>
    <t xml:space="preserve">DCSYS07B</t>
  </si>
  <si>
    <t xml:space="preserve">Power Element Type </t>
  </si>
  <si>
    <t xml:space="preserve">Total Number of Inverters</t>
  </si>
  <si>
    <t xml:space="preserve">Redundant inverters</t>
  </si>
  <si>
    <t xml:space="preserve">Inverter Module Capacity (kW)</t>
  </si>
  <si>
    <t xml:space="preserve">Deployed Capacity (kW)</t>
  </si>
  <si>
    <t xml:space="preserve">Deployed Capacity (A)</t>
  </si>
  <si>
    <t xml:space="preserve">Expansion Capability (kW)</t>
  </si>
  <si>
    <t xml:space="preserve">Element Load (A)</t>
  </si>
  <si>
    <t xml:space="preserve">Load Reading
Date</t>
  </si>
  <si>
    <t xml:space="preserve">Element Load (kW)</t>
  </si>
  <si>
    <t xml:space="preserve">Total Load on DC power plants (A)</t>
  </si>
  <si>
    <t xml:space="preserve">Total Load on DC power plants (kW)</t>
  </si>
  <si>
    <t xml:space="preserve">Inverter Reserved Load (A)</t>
  </si>
  <si>
    <t xml:space="preserve">Inverter Reserved Load (kW)</t>
  </si>
  <si>
    <t xml:space="preserve">Forecast Load (A)</t>
  </si>
  <si>
    <t xml:space="preserve">Forecast Load (kW)</t>
  </si>
  <si>
    <t xml:space="preserve">Element Load+Reserved+Forecast (A)</t>
  </si>
  <si>
    <t xml:space="preserve">Power Element Remaining (RAG)</t>
  </si>
  <si>
    <t xml:space="preserve">Forecasted elements (A)</t>
  </si>
  <si>
    <t xml:space="preserve">Value (A) to be added to DC Power Plants</t>
  </si>
  <si>
    <t xml:space="preserve">DC Plants Supplying Inverter System</t>
  </si>
  <si>
    <t xml:space="preserve">IC30aAN</t>
  </si>
  <si>
    <t xml:space="preserve">ECI</t>
  </si>
  <si>
    <t xml:space="preserve">SecureNet (2.5A)</t>
  </si>
  <si>
    <t xml:space="preserve">Originally 63A for cage.</t>
  </si>
  <si>
    <t xml:space="preserve">PEAAN, PEBAN, PECAN</t>
  </si>
  <si>
    <t xml:space="preserve">IC30bAN</t>
  </si>
  <si>
    <t xml:space="preserve">PEFAN, PEGAN</t>
  </si>
  <si>
    <t xml:space="preserve">IC30aBE</t>
  </si>
  <si>
    <t xml:space="preserve">GVS-HC3A2 (3A)</t>
  </si>
  <si>
    <t xml:space="preserve">GVS-HC3A2 (9.2)</t>
  </si>
  <si>
    <t xml:space="preserve">PECBE, PEEBE, PEFBE</t>
  </si>
  <si>
    <t xml:space="preserve">IC30bBE</t>
  </si>
  <si>
    <t xml:space="preserve">PEGBE, PEHBE, PEIBE</t>
  </si>
  <si>
    <t xml:space="preserve">IC31aBE</t>
  </si>
  <si>
    <t xml:space="preserve">AACUR (1.5)</t>
  </si>
  <si>
    <t xml:space="preserve">AACUR (2.5)</t>
  </si>
  <si>
    <t xml:space="preserve">PECBE, PEEBE PEFBE </t>
  </si>
  <si>
    <t xml:space="preserve">IC31bBE</t>
  </si>
  <si>
    <t xml:space="preserve">PEABE, PEBBE, PECBE </t>
  </si>
  <si>
    <t xml:space="preserve">IC32aBE</t>
  </si>
  <si>
    <t xml:space="preserve">IC32bBE</t>
  </si>
  <si>
    <t xml:space="preserve">IC30aCY</t>
  </si>
  <si>
    <t xml:space="preserve">IC30bCY</t>
  </si>
  <si>
    <t xml:space="preserve">IC30aEH</t>
  </si>
  <si>
    <t xml:space="preserve">IC30bEH</t>
  </si>
  <si>
    <t xml:space="preserve">IC30aER</t>
  </si>
  <si>
    <t xml:space="preserve">IC30bER</t>
  </si>
  <si>
    <t xml:space="preserve">IC30aGL</t>
  </si>
  <si>
    <t xml:space="preserve">Util AC03 (6) Keysight (3)</t>
  </si>
  <si>
    <t xml:space="preserve">Util AC03 (10) Keysight (9.35)</t>
  </si>
  <si>
    <t xml:space="preserve">PEBGL, PECGL, PEDGL</t>
  </si>
  <si>
    <t xml:space="preserve">IC30bGL</t>
  </si>
  <si>
    <t xml:space="preserve">PEAGL, PEEGL, PEFGL</t>
  </si>
  <si>
    <t xml:space="preserve">IC31aGL</t>
  </si>
  <si>
    <t xml:space="preserve">SecureNet 11A</t>
  </si>
  <si>
    <t xml:space="preserve">IC31bGL</t>
  </si>
  <si>
    <t xml:space="preserve">IC30aGR</t>
  </si>
  <si>
    <t xml:space="preserve">GVS-HC3A2 (6) Keysight (3)</t>
  </si>
  <si>
    <t xml:space="preserve">GVS-HC3A2 (13.9) keysight (7)</t>
  </si>
  <si>
    <t xml:space="preserve">PEAGR, PEBGR</t>
  </si>
  <si>
    <t xml:space="preserve">IC30bGR</t>
  </si>
  <si>
    <t xml:space="preserve">PECGR, PEDGR</t>
  </si>
  <si>
    <t xml:space="preserve">GCRMTX-INV02a</t>
  </si>
  <si>
    <t xml:space="preserve">GCRMTX-INV02b</t>
  </si>
  <si>
    <t xml:space="preserve">IC30aKS</t>
  </si>
  <si>
    <t xml:space="preserve">IC30bKS</t>
  </si>
  <si>
    <t xml:space="preserve">IC30aLD</t>
  </si>
  <si>
    <t xml:space="preserve">GVS-HC3A2 (4.7)</t>
  </si>
  <si>
    <t xml:space="preserve">PEBLD, PECLD, PEDLD</t>
  </si>
  <si>
    <t xml:space="preserve">IC30bLD</t>
  </si>
  <si>
    <t xml:space="preserve">PEALD, PEELD, PEFLD</t>
  </si>
  <si>
    <t xml:space="preserve">IC20aMS</t>
  </si>
  <si>
    <t xml:space="preserve">TSI</t>
  </si>
  <si>
    <t xml:space="preserve">IC20bMS</t>
  </si>
  <si>
    <t xml:space="preserve">IC30aMS</t>
  </si>
  <si>
    <t xml:space="preserve">PEBMS, PECMS, PEDMS </t>
  </si>
  <si>
    <t xml:space="preserve">IC30bMS</t>
  </si>
  <si>
    <t xml:space="preserve">PEAMS, PEEMS, PEFMS</t>
  </si>
  <si>
    <t xml:space="preserve">IC31aMS</t>
  </si>
  <si>
    <t xml:space="preserve">IC31bMS</t>
  </si>
  <si>
    <t xml:space="preserve">IC30aOM</t>
  </si>
  <si>
    <t xml:space="preserve">(Hawk 4.8)</t>
  </si>
  <si>
    <t xml:space="preserve">Hawk (21A)</t>
  </si>
  <si>
    <t xml:space="preserve">IC30bOM</t>
  </si>
  <si>
    <t xml:space="preserve">IC30aRM</t>
  </si>
  <si>
    <t xml:space="preserve">IC30bRM</t>
  </si>
  <si>
    <t xml:space="preserve">IC30aSN</t>
  </si>
  <si>
    <t xml:space="preserve">IC30bSN</t>
  </si>
  <si>
    <t xml:space="preserve">IC30aSY</t>
  </si>
  <si>
    <t xml:space="preserve">IC30bSY</t>
  </si>
  <si>
    <t xml:space="preserve">Note- the inverter systems readings are greater than the PDU readings, this is due to the CT (current transformers) used for circuit monitoring. The inverter system reading is used for Dulux.</t>
  </si>
  <si>
    <t xml:space="preserve">Name</t>
  </si>
  <si>
    <t xml:space="preserve">Type </t>
  </si>
  <si>
    <t xml:space="preserve">Reserved Load (kW)</t>
  </si>
  <si>
    <t xml:space="preserve">Forecasted elements</t>
  </si>
  <si>
    <t xml:space="preserve">Value (A) to be added to each DC Power Plant</t>
  </si>
  <si>
    <t xml:space="preserve">IC2BL</t>
  </si>
  <si>
    <t xml:space="preserve">IC2CF</t>
  </si>
  <si>
    <t xml:space="preserve">RDI</t>
  </si>
  <si>
    <t xml:space="preserve">TBC</t>
  </si>
  <si>
    <t xml:space="preserve">IC2CE</t>
  </si>
  <si>
    <t xml:space="preserve">IC3CN</t>
  </si>
  <si>
    <t xml:space="preserve">IC1GW</t>
  </si>
  <si>
    <t xml:space="preserve">IC3LR</t>
  </si>
  <si>
    <t xml:space="preserve">IC3NE</t>
  </si>
  <si>
    <t xml:space="preserve">IC4NY</t>
  </si>
  <si>
    <t xml:space="preserve">Canal House UPS</t>
  </si>
  <si>
    <t xml:space="preserve">UPS</t>
  </si>
  <si>
    <t xml:space="preserve">IC2OD</t>
  </si>
  <si>
    <t xml:space="preserve">IC3SD</t>
  </si>
  <si>
    <t xml:space="preserve">IC3WN</t>
  </si>
  <si>
    <t xml:space="preserve">IC2ER</t>
  </si>
  <si>
    <t xml:space="preserve">Type A - Reporting Data</t>
  </si>
  <si>
    <t xml:space="preserve">System Load (kW)</t>
  </si>
  <si>
    <t xml:space="preserve">Reserved (kW)</t>
  </si>
  <si>
    <t xml:space="preserve">Forecast (kW)</t>
  </si>
  <si>
    <t xml:space="preserve">Power Capability (kW)</t>
  </si>
  <si>
    <t xml:space="preserve">Power Element RAG (% remaining)</t>
  </si>
  <si>
    <t xml:space="preserve">IC30AN</t>
  </si>
  <si>
    <t xml:space="preserve">IC30BE</t>
  </si>
  <si>
    <t xml:space="preserve">IC31BE</t>
  </si>
  <si>
    <t xml:space="preserve">IC30CY</t>
  </si>
  <si>
    <t xml:space="preserve">IC13GL</t>
  </si>
  <si>
    <t xml:space="preserve">IC14GL</t>
  </si>
  <si>
    <t xml:space="preserve">IC30GL</t>
  </si>
  <si>
    <t xml:space="preserve">IC31GL</t>
  </si>
  <si>
    <t xml:space="preserve">IC30GR</t>
  </si>
  <si>
    <t xml:space="preserve">IC30KS</t>
  </si>
  <si>
    <t xml:space="preserve">IC12LD</t>
  </si>
  <si>
    <t xml:space="preserve">IC13LD</t>
  </si>
  <si>
    <t xml:space="preserve">IC30LD</t>
  </si>
  <si>
    <t xml:space="preserve">IC20MS</t>
  </si>
  <si>
    <t xml:space="preserve">IC30MS</t>
  </si>
  <si>
    <t xml:space="preserve">IC31MS</t>
  </si>
  <si>
    <t xml:space="preserve">IC30OM</t>
  </si>
  <si>
    <t xml:space="preserve">IC30RM</t>
  </si>
  <si>
    <t xml:space="preserve">IC30SY</t>
  </si>
  <si>
    <t xml:space="preserve">Core Graphing data</t>
  </si>
  <si>
    <t xml:space="preserve">ICxBE</t>
  </si>
  <si>
    <t xml:space="preserve">ICxGL</t>
  </si>
  <si>
    <t xml:space="preserve">ICxLD</t>
  </si>
  <si>
    <t xml:space="preserve">ICxMS</t>
  </si>
  <si>
    <t xml:space="preserve">Type B Graphing data</t>
  </si>
  <si>
    <t xml:space="preserve">IC3LS</t>
  </si>
  <si>
    <t xml:space="preserve">IC1WY</t>
  </si>
  <si>
    <t xml:space="preserve">CH PDU</t>
  </si>
  <si>
    <t xml:space="preserve">System Load (A)</t>
  </si>
  <si>
    <t xml:space="preserve">Remaining Capacity (A)</t>
  </si>
  <si>
    <t xml:space="preserve">CH PDU Forecasted  Elements</t>
  </si>
  <si>
    <t xml:space="preserve">Phase L1</t>
  </si>
  <si>
    <t xml:space="preserve">2A (VFPTSP 22015)</t>
  </si>
  <si>
    <t xml:space="preserve">Phase L2</t>
  </si>
  <si>
    <t xml:space="preserve">Phase L3</t>
  </si>
  <si>
    <t xml:space="preserve">Total (A)</t>
  </si>
  <si>
    <t xml:space="preserve">Total(kW)</t>
  </si>
  <si>
    <t xml:space="preserve">Max load on PDU 75kW (130A per phase limit)</t>
  </si>
  <si>
    <t xml:space="preserve"> (to 90% Capacity Mgmt Limit)</t>
  </si>
  <si>
    <t xml:space="preserve">Site</t>
  </si>
  <si>
    <t xml:space="preserve">100% Capacity kW</t>
  </si>
  <si>
    <t xml:space="preserve">90% Maximum Capacity Management Limit</t>
  </si>
  <si>
    <t xml:space="preserve">10% Cap Mgmt Limit</t>
  </si>
  <si>
    <t xml:space="preserve">Running Load kW</t>
  </si>
  <si>
    <t xml:space="preserve">NFV Reserved kW</t>
  </si>
  <si>
    <t xml:space="preserve">Forecast kW</t>
  </si>
  <si>
    <t xml:space="preserve">Run Load + Fore +Res</t>
  </si>
  <si>
    <t xml:space="preserve">Remaining Capacity kW</t>
  </si>
  <si>
    <t xml:space="preserve">Remaining kW 
including NFV Reserve</t>
  </si>
  <si>
    <t xml:space="preserve">Maximum NFV Require FY22-23
kW</t>
  </si>
  <si>
    <t xml:space="preserve">Typical  NFV Require FY22-23 kW</t>
  </si>
  <si>
    <t xml:space="preserve">Remaining kW
 (to 100% Capacity)</t>
  </si>
  <si>
    <t xml:space="preserve">Original Forecast
kW</t>
  </si>
  <si>
    <t xml:space="preserve">85% Figure</t>
  </si>
  <si>
    <t xml:space="preserve">Remaining Cap kW to 85%</t>
  </si>
  <si>
    <t xml:space="preserve">Typical/Max Demand</t>
  </si>
  <si>
    <t xml:space="preserve">Hardware Name</t>
  </si>
  <si>
    <t xml:space="preserve">OEM Requested Max (kW)</t>
  </si>
  <si>
    <t xml:space="preserve">NDI Reserve (kW)</t>
  </si>
  <si>
    <t xml:space="preserve">NDI Reserve/OEM Requested</t>
  </si>
  <si>
    <t xml:space="preserve">Gen 9 HP</t>
  </si>
  <si>
    <t xml:space="preserve">Gen 10 HPC</t>
  </si>
  <si>
    <t xml:space="preserve">Dell M1000e</t>
  </si>
  <si>
    <t xml:space="preserve">Synergy AC</t>
  </si>
  <si>
    <t xml:space="preserve">Synergy DC</t>
  </si>
  <si>
    <t xml:space="preserve">BKL</t>
  </si>
  <si>
    <t xml:space="preserve">RMS Cab type  </t>
  </si>
  <si>
    <t xml:space="preserve"> OEM Max Value (KW)</t>
  </si>
  <si>
    <t xml:space="preserve">OEM Typical Values (KW)</t>
  </si>
  <si>
    <t xml:space="preserve">Storage Cab Live ( 4 x Powerstore 500T, 2 x 5448 Storage Leaf Switches, 2 x 9432 Storage Spine Switches)</t>
  </si>
  <si>
    <r>
      <rPr>
        <sz val="11"/>
        <color rgb="FF000000"/>
        <rFont val="Calibri"/>
        <family val="2"/>
        <charset val="1"/>
      </rPr>
      <t xml:space="preserve">8 X RMS Host and </t>
    </r>
    <r>
      <rPr>
        <sz val="11"/>
        <color rgb="FFFF0000"/>
        <rFont val="Calibri"/>
        <family val="2"/>
        <charset val="1"/>
      </rPr>
      <t xml:space="preserve">High Performance</t>
    </r>
    <r>
      <rPr>
        <sz val="11"/>
        <color rgb="FF000000"/>
        <rFont val="Calibri"/>
        <family val="2"/>
        <charset val="1"/>
      </rPr>
      <t xml:space="preserve"> Networking ( 2 x 5448 Service TOR , 1 x 5448 Storage TOR , 1 x 5248 Mgmt TOR)</t>
    </r>
  </si>
  <si>
    <r>
      <rPr>
        <sz val="11"/>
        <color rgb="FF000000"/>
        <rFont val="Calibri"/>
        <family val="2"/>
        <charset val="1"/>
      </rPr>
      <t xml:space="preserve">8 X RMS Host and </t>
    </r>
    <r>
      <rPr>
        <sz val="11"/>
        <color rgb="FFFF0000"/>
        <rFont val="Calibri"/>
        <family val="2"/>
        <charset val="1"/>
      </rPr>
      <t xml:space="preserve">STD Performance</t>
    </r>
    <r>
      <rPr>
        <sz val="11"/>
        <color rgb="FF000000"/>
        <rFont val="Calibri"/>
        <family val="2"/>
        <charset val="1"/>
      </rPr>
      <t xml:space="preserve"> Networking ( 1 x 5448 Service TOR , 1 x 5448 Storage TOR , 1 x 5248 Mgmt TOR)</t>
    </r>
  </si>
  <si>
    <t xml:space="preserve">11 x RMS and 1 x 2248 OOB switch</t>
  </si>
  <si>
    <t xml:space="preserve">10 x RMS cab</t>
  </si>
  <si>
    <t xml:space="preserve">Hi Perf POD Power Loads per POD Kw</t>
  </si>
  <si>
    <t xml:space="preserve">Storage Kw</t>
  </si>
  <si>
    <t xml:space="preserve">Site Totals </t>
  </si>
  <si>
    <t xml:space="preserve">POD with x38 RMS </t>
  </si>
  <si>
    <t xml:space="preserve">STD Perf POD Power Loads per POD Kw</t>
  </si>
  <si>
    <t xml:space="preserve">Site Requirements </t>
  </si>
  <si>
    <t xml:space="preserve">Power Requirement </t>
  </si>
  <si>
    <t xml:space="preserve">Remaining CAP kW to 85%</t>
  </si>
  <si>
    <t xml:space="preserve">XGR x1 Store, x2 High Perf RMS &amp; x1 STD Perf RMS</t>
  </si>
  <si>
    <t xml:space="preserve">x2 PODs &amp; Storage cabinets 90kW</t>
  </si>
  <si>
    <t xml:space="preserve">XGL x1 Store, x2 High Perf RMS &amp; x2 STD Perf RMS</t>
  </si>
  <si>
    <t xml:space="preserve">Needs new room </t>
  </si>
  <si>
    <t xml:space="preserve">DC capacity can be used for CISCO 9912 </t>
  </si>
  <si>
    <t xml:space="preserve">XOM x1 Store, x2 High Perf RMS &amp; x2 STD Perf RMS</t>
  </si>
  <si>
    <t xml:space="preserve">x2 PODs &amp; Storage cabinets 90kW or 83kW second POD with last cabinet empty so -10 RMS </t>
  </si>
  <si>
    <t xml:space="preserve">BKLN05 x1 Store, x1 High Perf RMS &amp; x1 STD Perf RMS</t>
  </si>
  <si>
    <t xml:space="preserve">If to 90% of UPS then can go into BKLN05 ext </t>
  </si>
  <si>
    <r>
      <rPr>
        <sz val="11.5"/>
        <color rgb="FF000000"/>
        <rFont val="Calibri"/>
        <family val="2"/>
        <charset val="1"/>
      </rPr>
      <t xml:space="preserve">Infra Ready - NDI [Cables &amp; Cabs]</t>
    </r>
    <r>
      <rPr>
        <sz val="11"/>
        <color rgb="FF000000"/>
        <rFont val="Calibri"/>
        <family val="2"/>
        <charset val="1"/>
      </rPr>
      <t xml:space="preserve">134 daysTue 27/09/22Fri 31/03/23   </t>
    </r>
  </si>
  <si>
    <r>
      <rPr>
        <sz val="11.5"/>
        <color rgb="FF000000"/>
        <rFont val="Calibri"/>
        <family val="2"/>
        <charset val="1"/>
      </rPr>
      <t xml:space="preserve">XOM [19]</t>
    </r>
    <r>
      <rPr>
        <sz val="11"/>
        <color rgb="FF000000"/>
        <rFont val="Calibri"/>
        <family val="2"/>
        <charset val="1"/>
      </rPr>
      <t xml:space="preserve">   Thu 26/01/23  </t>
    </r>
  </si>
  <si>
    <r>
      <rPr>
        <sz val="11.5"/>
        <color rgb="FF000000"/>
        <rFont val="Calibri"/>
        <family val="2"/>
        <charset val="1"/>
      </rPr>
      <t xml:space="preserve">XGL [28] [AC Room]   Fri 31/03/23</t>
    </r>
    <r>
      <rPr>
        <sz val="11"/>
        <color rgb="FF000000"/>
        <rFont val="Calibri"/>
        <family val="2"/>
        <charset val="1"/>
      </rPr>
      <t xml:space="preserve"> Cabinet on site with power to undertake build </t>
    </r>
  </si>
  <si>
    <r>
      <rPr>
        <sz val="11.5"/>
        <color rgb="FF000000"/>
        <rFont val="Calibri"/>
        <family val="2"/>
        <charset val="1"/>
      </rPr>
      <t xml:space="preserve">BKNL [21]</t>
    </r>
    <r>
      <rPr>
        <sz val="11"/>
        <color rgb="FF000000"/>
        <rFont val="Calibri"/>
        <family val="2"/>
        <charset val="1"/>
      </rPr>
      <t xml:space="preserve">  Wed 30/11/22</t>
    </r>
  </si>
  <si>
    <r>
      <rPr>
        <sz val="11.5"/>
        <color rgb="FF000000"/>
        <rFont val="Calibri"/>
        <family val="2"/>
        <charset val="1"/>
      </rPr>
      <t xml:space="preserve">XGR [15]</t>
    </r>
    <r>
      <rPr>
        <sz val="11"/>
        <color rgb="FF000000"/>
        <rFont val="Calibri"/>
        <family val="2"/>
        <charset val="1"/>
      </rPr>
      <t xml:space="preserve">    Thu 26/01/23   </t>
    </r>
  </si>
  <si>
    <t xml:space="preserve">Do not use- refer to DCM</t>
  </si>
  <si>
    <t xml:space="preserve">Site Name </t>
  </si>
  <si>
    <t xml:space="preserve">Total Eqpt Rm 
Area (m²) </t>
  </si>
  <si>
    <t xml:space="preserve">Total Footprints (S)</t>
  </si>
  <si>
    <t xml:space="preserve">Total Footprints (D)-after calc</t>
  </si>
  <si>
    <t xml:space="preserve">Spare Footprints (S)</t>
  </si>
  <si>
    <t xml:space="preserve">Spare Footprints (D)-after calc</t>
  </si>
  <si>
    <t xml:space="preserve">Calc- Deep Cabs Tiles</t>
  </si>
  <si>
    <t xml:space="preserve">Deep Cabs Footprints  (based on 800mm Wide Cab)</t>
  </si>
  <si>
    <t xml:space="preserve">Total Footprints (S)m2</t>
  </si>
  <si>
    <t xml:space="preserve">Standard Cab Footprints Spare</t>
  </si>
  <si>
    <t xml:space="preserve">Deep Cab Footprints Spare-after calc</t>
  </si>
  <si>
    <r>
      <rPr>
        <b val="true"/>
        <sz val="10"/>
        <rFont val="Arial"/>
        <family val="2"/>
        <charset val="1"/>
      </rPr>
      <t xml:space="preserve">XKS (1</t>
    </r>
    <r>
      <rPr>
        <b val="true"/>
        <vertAlign val="superscript"/>
        <sz val="10"/>
        <rFont val="Arial"/>
        <family val="2"/>
        <charset val="1"/>
      </rPr>
      <t xml:space="preserve">st)</t>
    </r>
  </si>
  <si>
    <r>
      <rPr>
        <b val="true"/>
        <sz val="10"/>
        <rFont val="Arial"/>
        <family val="2"/>
        <charset val="1"/>
      </rPr>
      <t xml:space="preserve">XKS (2</t>
    </r>
    <r>
      <rPr>
        <b val="true"/>
        <vertAlign val="superscript"/>
        <sz val="10"/>
        <rFont val="Arial"/>
        <family val="2"/>
        <charset val="1"/>
      </rPr>
      <t xml:space="preserve">nd)</t>
    </r>
  </si>
  <si>
    <r>
      <rPr>
        <b val="true"/>
        <sz val="10"/>
        <rFont val="Arial"/>
        <family val="2"/>
        <charset val="1"/>
      </rPr>
      <t xml:space="preserve">XKS (3</t>
    </r>
    <r>
      <rPr>
        <b val="true"/>
        <vertAlign val="superscript"/>
        <sz val="10"/>
        <rFont val="Arial"/>
        <family val="2"/>
        <charset val="1"/>
      </rPr>
      <t xml:space="preserve">rd)</t>
    </r>
  </si>
  <si>
    <t xml:space="preserve">Graphing Calcs</t>
  </si>
  <si>
    <t xml:space="preserve">NFV Sites</t>
  </si>
  <si>
    <t xml:space="preserve">Site Name</t>
  </si>
  <si>
    <t xml:space="preserve">Current Usage (S)</t>
  </si>
  <si>
    <t xml:space="preserve">Reserved no of cabs (S)</t>
  </si>
  <si>
    <t xml:space="preserve">Forecast no of cabs (S)</t>
  </si>
  <si>
    <t xml:space="preserve">Remaining Capacity (S)</t>
  </si>
  <si>
    <t xml:space="preserve">Current Usage (D)</t>
  </si>
  <si>
    <t xml:space="preserve">Reserved no of cabs (D)</t>
  </si>
  <si>
    <t xml:space="preserve">Forecast no of cabs (D)</t>
  </si>
  <si>
    <t xml:space="preserve">Remaining Capacity (D)</t>
  </si>
  <si>
    <t xml:space="preserve">Used (m²) </t>
  </si>
  <si>
    <t xml:space="preserve">Reserved (m²)</t>
  </si>
  <si>
    <t xml:space="preserve">Forecast (m²) </t>
  </si>
  <si>
    <t xml:space="preserve">Total usable space (m²) (based on cab positions and front/back space)</t>
  </si>
  <si>
    <t xml:space="preserve">% usable space remaining</t>
  </si>
  <si>
    <t xml:space="preserve">Remaining (m²) </t>
  </si>
  <si>
    <t xml:space="preserve">CORE Sites</t>
  </si>
  <si>
    <t xml:space="preserve">Total usable space (based on cab positions and front/back space)</t>
  </si>
  <si>
    <t xml:space="preserve">Forecast Cab Deployment (S)</t>
  </si>
  <si>
    <t xml:space="preserve">Forecast Cab Deployment (D)</t>
  </si>
  <si>
    <t xml:space="preserve">Pie Chart</t>
  </si>
  <si>
    <t xml:space="preserve">Site Name Non-Core</t>
  </si>
  <si>
    <t xml:space="preserve">Deep Cabs Footprints</t>
  </si>
  <si>
    <t xml:space="preserve">XNE (XNE001)</t>
  </si>
  <si>
    <t xml:space="preserve">XNE (XNE002)</t>
  </si>
  <si>
    <t xml:space="preserve">XNY COMP RM</t>
  </si>
  <si>
    <t xml:space="preserve">XOD (Grd Flr)</t>
  </si>
  <si>
    <t xml:space="preserve">XOD (1st Flr)</t>
  </si>
  <si>
    <t xml:space="preserve">Graphing Calculations Non-Core</t>
  </si>
  <si>
    <t xml:space="preserve">Current Usage </t>
  </si>
  <si>
    <t xml:space="preserve">Forecast Cab Deployment</t>
  </si>
  <si>
    <t xml:space="preserve">Remaining Capacity</t>
  </si>
  <si>
    <t xml:space="preserve">Used (m²)</t>
  </si>
  <si>
    <t xml:space="preserve">Forecast (m²)</t>
  </si>
  <si>
    <t xml:space="preserve">Remaining (m²)</t>
  </si>
  <si>
    <t xml:space="preserve">m²</t>
  </si>
  <si>
    <t xml:space="preserve">XKS Breakdown</t>
  </si>
  <si>
    <t xml:space="preserve">Suite Lines Spare</t>
  </si>
  <si>
    <t xml:space="preserve">Spare Capacity (m²)</t>
  </si>
  <si>
    <t xml:space="preserve">Known Forecast (m²)</t>
  </si>
  <si>
    <t xml:space="preserve">Suite Lines In Site</t>
  </si>
  <si>
    <t xml:space="preserve">Deployed Capacity (m²)</t>
  </si>
  <si>
    <t xml:space="preserve">Max Useable Capacity (m²)</t>
  </si>
  <si>
    <t xml:space="preserve">Basement</t>
  </si>
  <si>
    <t xml:space="preserve">First Floor</t>
  </si>
  <si>
    <t xml:space="preserve">Second Floor</t>
  </si>
  <si>
    <t xml:space="preserve">Third Floor</t>
  </si>
  <si>
    <t xml:space="preserve">Graphing Calc</t>
  </si>
  <si>
    <t xml:space="preserve">Current Usage (m²)</t>
  </si>
  <si>
    <t xml:space="preserve">Available Capacity (m²)</t>
  </si>
  <si>
    <t xml:space="preserve">Quarter of total deployed Capacity(m2)</t>
  </si>
  <si>
    <t xml:space="preserve">Left to hit quarter (m2)</t>
  </si>
  <si>
    <t xml:space="preserve">XOM Graph Calcs</t>
  </si>
  <si>
    <t xml:space="preserve">East</t>
  </si>
  <si>
    <t xml:space="preserve">West</t>
  </si>
  <si>
    <t xml:space="preserve">Total</t>
  </si>
  <si>
    <t xml:space="preserve">Graphing Calcs Non Strat CORE</t>
  </si>
  <si>
    <t xml:space="preserve">Current DC Usage (kW)</t>
  </si>
  <si>
    <t xml:space="preserve">Deployed DC Capacity (kW)</t>
  </si>
  <si>
    <t xml:space="preserve">Max Usable DC Capacity (kW)</t>
  </si>
  <si>
    <t xml:space="preserve">Max Usable Technology Load (kW)</t>
  </si>
  <si>
    <t xml:space="preserve">Tactical Expansion Cap</t>
  </si>
  <si>
    <t xml:space="preserve">Demand on Building in Current limit (kW)</t>
  </si>
  <si>
    <t xml:space="preserve">A&amp;B</t>
  </si>
  <si>
    <t xml:space="preserve">A or B</t>
  </si>
  <si>
    <t xml:space="preserve">DC Output Load Per Rect (A)</t>
  </si>
  <si>
    <t xml:space="preserve">Effiency </t>
  </si>
  <si>
    <t xml:space="preserve">Real Load on Building (kW)</t>
  </si>
  <si>
    <t xml:space="preserve">Building load with Rectifiers in Current Limit 92% Efficent (kW)</t>
  </si>
  <si>
    <t xml:space="preserve">Plant Name</t>
  </si>
  <si>
    <t xml:space="preserve">Type</t>
  </si>
  <si>
    <t xml:space="preserve">DC Current Load (A)</t>
  </si>
  <si>
    <t xml:space="preserve">Number of Rectifiers</t>
  </si>
  <si>
    <t xml:space="preserve">Rectifier Capacity (kW)</t>
  </si>
  <si>
    <t xml:space="preserve">Total AirCon (kW)</t>
  </si>
  <si>
    <t xml:space="preserve">Start</t>
  </si>
  <si>
    <t xml:space="preserve">End</t>
  </si>
  <si>
    <t xml:space="preserve">Replacement Range</t>
  </si>
  <si>
    <t xml:space="preserve">Current FY</t>
  </si>
  <si>
    <t xml:space="preserve">Current FY Expenditure</t>
  </si>
  <si>
    <t xml:space="preserve">Bugeting FY</t>
  </si>
  <si>
    <t xml:space="preserve">Budget Requirement forecast</t>
  </si>
  <si>
    <t xml:space="preserve">Battery life (years)</t>
  </si>
  <si>
    <t xml:space="preserve">Battery life (days)</t>
  </si>
  <si>
    <t xml:space="preserve">Next FY</t>
  </si>
  <si>
    <t xml:space="preserve">Load (kW)</t>
  </si>
  <si>
    <t xml:space="preserve">Estimated Autonomy Time @25degC</t>
  </si>
  <si>
    <t xml:space="preserve">Battery Cab 1</t>
  </si>
  <si>
    <t xml:space="preserve">Battery Cab 2</t>
  </si>
  <si>
    <t xml:space="preserve">Battery Cab 3</t>
  </si>
  <si>
    <t xml:space="preserve">Battery Cab 4</t>
  </si>
  <si>
    <t xml:space="preserve">Battery Cab 5</t>
  </si>
  <si>
    <t xml:space="preserve">Battery Cab 6</t>
  </si>
  <si>
    <t xml:space="preserve">Battery Cab 7</t>
  </si>
  <si>
    <t xml:space="preserve">Battery Cab 8</t>
  </si>
  <si>
    <t xml:space="preserve">Battery Cab 9</t>
  </si>
  <si>
    <t xml:space="preserve">Battery Cab 10</t>
  </si>
  <si>
    <t xml:space="preserve">Battery Cab 11</t>
  </si>
  <si>
    <t xml:space="preserve">Battery Type</t>
  </si>
  <si>
    <t xml:space="preserve">PO Number (for cells)</t>
  </si>
  <si>
    <t xml:space="preserve">Total Number of Strings</t>
  </si>
  <si>
    <t xml:space="preserve">Load Per String (kW)</t>
  </si>
  <si>
    <t xml:space="preserve">Lookup value</t>
  </si>
  <si>
    <t xml:space="preserve">Strings schedulled for replacement</t>
  </si>
  <si>
    <t xml:space="preserve">Strings in Need of replacement</t>
  </si>
  <si>
    <t xml:space="preserve">Battery Testing Requirement</t>
  </si>
  <si>
    <t xml:space="preserve">Test Type</t>
  </si>
  <si>
    <t xml:space="preserve">SBS XL 170F-FT</t>
  </si>
  <si>
    <t xml:space="preserve">IR+HC Testing</t>
  </si>
  <si>
    <t xml:space="preserve">Discharge Testing</t>
  </si>
  <si>
    <t xml:space="preserve">Battery Characteristics Table</t>
  </si>
  <si>
    <t xml:space="preserve">Time</t>
  </si>
  <si>
    <t xml:space="preserve">30 mins</t>
  </si>
  <si>
    <t xml:space="preserve">35 mins</t>
  </si>
  <si>
    <t xml:space="preserve">40 mins</t>
  </si>
  <si>
    <t xml:space="preserve">45 mins</t>
  </si>
  <si>
    <t xml:space="preserve">50 mins</t>
  </si>
  <si>
    <t xml:space="preserve">55 mins</t>
  </si>
  <si>
    <t xml:space="preserve">1 hour</t>
  </si>
  <si>
    <t xml:space="preserve">1.5 hours</t>
  </si>
  <si>
    <t xml:space="preserve">2 hours</t>
  </si>
  <si>
    <t xml:space="preserve">2.5 hours</t>
  </si>
  <si>
    <t xml:space="preserve">3 hours</t>
  </si>
  <si>
    <t xml:space="preserve">4 hours</t>
  </si>
  <si>
    <t xml:space="preserve">5 hours</t>
  </si>
  <si>
    <t xml:space="preserve">6 hours</t>
  </si>
  <si>
    <t xml:space="preserve">7 hours</t>
  </si>
  <si>
    <t xml:space="preserve">8 hours</t>
  </si>
  <si>
    <t xml:space="preserve">6V165/6 Power discharge (watts per cell) @ 20degC to 1.8Vper cell</t>
  </si>
  <si>
    <t xml:space="preserve">6V165/6 Power discharge (watts per cell) @ 25degC to 1.8Vper cell</t>
  </si>
  <si>
    <t xml:space="preserve">16 Block Configuration (kW) @20degC</t>
  </si>
  <si>
    <t xml:space="preserve">16 Block Configuration (kW) @25degC</t>
  </si>
  <si>
    <t xml:space="preserve">Max load support at 9 strings (kW) @25degC</t>
  </si>
  <si>
    <t xml:space="preserve">Financial Forecast</t>
  </si>
  <si>
    <t xml:space="preserve">Single Cell cost</t>
  </si>
  <si>
    <t xml:space="preserve">String Cost</t>
  </si>
  <si>
    <t xml:space="preserve">Current FY+ 1 years</t>
  </si>
  <si>
    <t xml:space="preserve">Current FY+ 2 years</t>
  </si>
  <si>
    <t xml:space="preserve">Current FY+ 3 years</t>
  </si>
  <si>
    <t xml:space="preserve">Current FY+ 4 years</t>
  </si>
  <si>
    <t xml:space="preserve">Current FY+ 5 years</t>
  </si>
  <si>
    <t xml:space="preserve">Current FY+ 6 years</t>
  </si>
  <si>
    <t xml:space="preserve">Current FY+ 7 years</t>
  </si>
  <si>
    <t xml:space="preserve">Number of strings</t>
  </si>
  <si>
    <t xml:space="preserve">Estimated HW Cost</t>
  </si>
  <si>
    <t xml:space="preserve">Estimated Labour Cost</t>
  </si>
  <si>
    <t xml:space="preserve">Total Estimate</t>
  </si>
  <si>
    <t xml:space="preserve">Support Modelling</t>
  </si>
  <si>
    <t xml:space="preserve">Year 0</t>
  </si>
  <si>
    <t xml:space="preserve">Year 6</t>
  </si>
  <si>
    <t xml:space="preserve">Year 5</t>
  </si>
  <si>
    <t xml:space="preserve">Year 4</t>
  </si>
  <si>
    <t xml:space="preserve">Year 3</t>
  </si>
  <si>
    <t xml:space="preserve">Year 2</t>
  </si>
  <si>
    <t xml:space="preserve">Year 1</t>
  </si>
  <si>
    <t xml:space="preserve">Year 7</t>
  </si>
  <si>
    <t xml:space="preserve">Replacement Due</t>
  </si>
  <si>
    <t xml:space="preserve">Discharge</t>
  </si>
  <si>
    <t xml:space="preserve">IR+HC</t>
  </si>
  <si>
    <t xml:space="preserve">New</t>
  </si>
  <si>
    <t xml:space="preserve">Reaplcement work around</t>
  </si>
  <si>
    <t xml:space="preserve">IR</t>
  </si>
  <si>
    <t xml:space="preserve">HC</t>
  </si>
  <si>
    <t xml:space="preserve">TLS</t>
  </si>
  <si>
    <t xml:space="preserve">TWY</t>
  </si>
  <si>
    <t xml:space="preserve">Site Name *=CHE</t>
  </si>
  <si>
    <t xml:space="preserve">Current Usage (kW)</t>
  </si>
  <si>
    <t xml:space="preserve">Forecast + Reserved (kW)</t>
  </si>
  <si>
    <t xml:space="preserve">Max Useable DC Capacity (kW)</t>
  </si>
  <si>
    <t xml:space="preserve">Max Useable Technology Load (kW)</t>
  </si>
  <si>
    <t xml:space="preserve">Tsi Current Usage (kW)</t>
  </si>
  <si>
    <t xml:space="preserve">Tsi Known Forecast (kW)</t>
  </si>
  <si>
    <t xml:space="preserve">Deployed Tsi Capacity (kW)</t>
  </si>
  <si>
    <t xml:space="preserve"> XBE</t>
  </si>
  <si>
    <t xml:space="preserve"> XGL</t>
  </si>
  <si>
    <t xml:space="preserve"> XLD</t>
  </si>
  <si>
    <t xml:space="preserve"> XMS</t>
  </si>
  <si>
    <t xml:space="preserve">Graphing Calculations- 9 Core Sites</t>
  </si>
  <si>
    <t xml:space="preserve">Inverter Usage (kW)</t>
  </si>
  <si>
    <t xml:space="preserve">DC Usage (kW)</t>
  </si>
  <si>
    <t xml:space="preserve">Remaining Deployed Usable Capability (kW)</t>
  </si>
  <si>
    <t xml:space="preserve">Power Expansion Capability  (kW)</t>
  </si>
  <si>
    <t xml:space="preserve">XKS
1st floor</t>
  </si>
  <si>
    <t xml:space="preserve">XKS
2nd floor</t>
  </si>
  <si>
    <t xml:space="preserve">XKS
3rd floor</t>
  </si>
  <si>
    <t xml:space="preserve">`</t>
  </si>
  <si>
    <t xml:space="preserve">Graphing Calculations</t>
  </si>
  <si>
    <t xml:space="preserve">Remaining Capacity (kW)</t>
  </si>
  <si>
    <t xml:space="preserve">DC Current Usage (kW)</t>
  </si>
  <si>
    <t xml:space="preserve">DC Forecast (kW)</t>
  </si>
  <si>
    <t xml:space="preserve">Graphing Calculations - 5 Remaining Core Sites</t>
  </si>
  <si>
    <t xml:space="preserve">Core Strat Sites Pwr Utilisation</t>
  </si>
  <si>
    <t xml:space="preserve">CHE Sites Pwr Utilisation</t>
  </si>
  <si>
    <t xml:space="preserve">Non- CHE Sites Pwr Utilisation</t>
  </si>
  <si>
    <t xml:space="preserve">CHE Total Technology Load</t>
  </si>
  <si>
    <t xml:space="preserve">Total Technology Load</t>
  </si>
  <si>
    <t xml:space="preserve">Strategic (Non- CHE) Total Technology Load</t>
  </si>
  <si>
    <t xml:space="preserve">Total Technology Reserved/Forecast</t>
  </si>
  <si>
    <t xml:space="preserve">CHE Total Technology Reserved/Forecast</t>
  </si>
  <si>
    <t xml:space="preserve">Remaining Power Capability</t>
  </si>
  <si>
    <t xml:space="preserve">Strategic (Non-CHE) Total Technology Reserved/Forecast</t>
  </si>
  <si>
    <t xml:space="preserve">Total Technology Forecast</t>
  </si>
  <si>
    <t xml:space="preserve">CHE Remaining Power Capability</t>
  </si>
  <si>
    <t xml:space="preserve">Strategic (Non- CHE) Remaining Power Capability</t>
  </si>
  <si>
    <t xml:space="preserve">CHE Total Technology Forecast</t>
  </si>
  <si>
    <t xml:space="preserve">Strategic (Non- CHE) Total Technology Forecast</t>
  </si>
  <si>
    <t xml:space="preserve">Non Strat Core Sites Pwr Utilisation</t>
  </si>
  <si>
    <t xml:space="preserve">Agg Sites Pwr Utilisation</t>
  </si>
  <si>
    <t xml:space="preserve">TxO NetSure chart data</t>
  </si>
  <si>
    <t xml:space="preserve">Plant Size (kW)</t>
  </si>
  <si>
    <t xml:space="preserve">PEFWY</t>
  </si>
  <si>
    <t xml:space="preserve">RAG chart</t>
  </si>
  <si>
    <t xml:space="preserve">Red count</t>
  </si>
  <si>
    <t xml:space="preserve">Amber count</t>
  </si>
  <si>
    <t xml:space="preserve">Green Count</t>
  </si>
  <si>
    <t xml:space="preserve">CHE power plants</t>
  </si>
  <si>
    <t xml:space="preserve">Non CHE Strategic Power Plants</t>
  </si>
  <si>
    <t xml:space="preserve">Remaining Type A sites</t>
  </si>
  <si>
    <t xml:space="preserve">Inverter DC Usage (kW)</t>
  </si>
  <si>
    <t xml:space="preserve">DC Known Forecast (kW)</t>
  </si>
  <si>
    <t xml:space="preserve">PEAOM</t>
  </si>
  <si>
    <t xml:space="preserve">PEBOM</t>
  </si>
  <si>
    <t xml:space="preserve">PECOM</t>
  </si>
  <si>
    <t xml:space="preserve">PEFOM</t>
  </si>
  <si>
    <t xml:space="preserve">PEGOM</t>
  </si>
  <si>
    <t xml:space="preserve">PEHOM</t>
  </si>
  <si>
    <t xml:space="preserve">x8 Core Sites</t>
  </si>
  <si>
    <t xml:space="preserve">Current Usage</t>
  </si>
  <si>
    <t xml:space="preserve">Std</t>
  </si>
  <si>
    <t xml:space="preserve">Deep</t>
  </si>
  <si>
    <r>
      <rPr>
        <b val="true"/>
        <sz val="10"/>
        <rFont val="Arial"/>
        <family val="2"/>
        <charset val="1"/>
      </rPr>
      <t xml:space="preserve">Hot Air Containment </t>
    </r>
    <r>
      <rPr>
        <b val="true"/>
        <sz val="10"/>
        <color rgb="FFFF0000"/>
        <rFont val="Arial"/>
        <family val="2"/>
        <charset val="1"/>
      </rPr>
      <t xml:space="preserve">(do not use- Feb 21 now added to overall site figs)</t>
    </r>
  </si>
  <si>
    <t xml:space="preserve">Current Cab Usage</t>
  </si>
  <si>
    <t xml:space="preserve">Reserved Cab Deployment</t>
  </si>
  <si>
    <t xml:space="preserve">Remaining Cab Capacity</t>
  </si>
  <si>
    <t xml:space="preserve">Total (m²) </t>
  </si>
  <si>
    <t xml:space="preserve">Reserved (m²) </t>
  </si>
  <si>
    <t xml:space="preserve">x6 Core Sites</t>
  </si>
  <si>
    <t xml:space="preserve">Pie Chart (S)</t>
  </si>
  <si>
    <t xml:space="preserve">Non CHE Current Usage </t>
  </si>
  <si>
    <t xml:space="preserve">CHE Current Usage </t>
  </si>
  <si>
    <t xml:space="preserve">Remaining Capacity </t>
  </si>
  <si>
    <t xml:space="preserve">Pie Chart (D)</t>
  </si>
  <si>
    <t xml:space="preserve">Property Technical Census viiew</t>
  </si>
  <si>
    <t xml:space="preserve">w</t>
  </si>
  <si>
    <t xml:space="preserve">d</t>
  </si>
  <si>
    <r>
      <rPr>
        <sz val="8"/>
        <rFont val="Arial"/>
        <family val="2"/>
        <charset val="1"/>
      </rPr>
      <t xml:space="preserve">Std m</t>
    </r>
    <r>
      <rPr>
        <vertAlign val="superscript"/>
        <sz val="8"/>
        <rFont val="Arial"/>
        <family val="2"/>
        <charset val="1"/>
      </rPr>
      <t xml:space="preserve">2</t>
    </r>
  </si>
  <si>
    <t xml:space="preserve">600(w) x 800(d) cab + 400 front and back clearance + proportion of side corridors (worked out as 5% of both corridors at 1.2m wide)</t>
  </si>
  <si>
    <r>
      <rPr>
        <sz val="8"/>
        <rFont val="Arial"/>
        <family val="2"/>
        <charset val="1"/>
      </rPr>
      <t xml:space="preserve">Deep m</t>
    </r>
    <r>
      <rPr>
        <vertAlign val="superscript"/>
        <sz val="8"/>
        <rFont val="Arial"/>
        <family val="2"/>
        <charset val="1"/>
      </rPr>
      <t xml:space="preserve">2</t>
    </r>
  </si>
  <si>
    <t xml:space="preserve">800(w) x 1200(d) cab + 600 front and back clearance + proportion of side corridors (worked out as 5% of both corridors at 1.2m wide)</t>
  </si>
  <si>
    <r>
      <rPr>
        <u val="single"/>
        <sz val="8"/>
        <rFont val="Arial"/>
        <family val="2"/>
        <charset val="1"/>
      </rPr>
      <t xml:space="preserve">Used m</t>
    </r>
    <r>
      <rPr>
        <u val="single"/>
        <vertAlign val="superscript"/>
        <sz val="8"/>
        <rFont val="Arial"/>
        <family val="2"/>
        <charset val="1"/>
      </rPr>
      <t xml:space="preserve">2 </t>
    </r>
    <r>
      <rPr>
        <u val="single"/>
        <sz val="8"/>
        <rFont val="Arial"/>
        <family val="2"/>
        <charset val="1"/>
      </rPr>
      <t xml:space="preserve">(zone C)</t>
    </r>
  </si>
  <si>
    <t xml:space="preserve">(manual figure)</t>
  </si>
  <si>
    <t xml:space="preserve">(includes cabs in room 1)</t>
  </si>
  <si>
    <t xml:space="preserve">(includes 1st floor)</t>
  </si>
  <si>
    <t xml:space="preserve">NFV Sites Power Breakdown (Power exp cap- Deployed Usable Capability)</t>
  </si>
  <si>
    <t xml:space="preserve">Core sites power breakdown (Power exp cap- Deployed Usable Capability)</t>
  </si>
  <si>
    <t xml:space="preserve">
</t>
  </si>
  <si>
    <t xml:space="preserve">Hot Aisle Containment- discontinued Feb 21</t>
  </si>
  <si>
    <t xml:space="preserve">Actual Load (kW)</t>
  </si>
  <si>
    <t xml:space="preserve"> XBE*</t>
  </si>
  <si>
    <t xml:space="preserve">XEH**</t>
  </si>
  <si>
    <t xml:space="preserve"> XLD**</t>
  </si>
  <si>
    <t xml:space="preserve"> XMS*</t>
  </si>
  <si>
    <t xml:space="preserve">Month</t>
  </si>
  <si>
    <t xml:space="preserve">Region</t>
  </si>
  <si>
    <t xml:space="preserve">Asset Code</t>
  </si>
  <si>
    <t xml:space="preserve">Description</t>
  </si>
  <si>
    <t xml:space="preserve">Location</t>
  </si>
  <si>
    <t xml:space="preserve">System</t>
  </si>
  <si>
    <t xml:space="preserve">Tag</t>
  </si>
  <si>
    <t xml:space="preserve">AR_SEQ</t>
  </si>
  <si>
    <t xml:space="preserve">Refrigerant</t>
  </si>
  <si>
    <t xml:space="preserve">KW</t>
  </si>
  <si>
    <t xml:space="preserve">Comments</t>
  </si>
  <si>
    <t xml:space="preserve">LDC</t>
  </si>
  <si>
    <t xml:space="preserve">VF507642</t>
  </si>
  <si>
    <t xml:space="preserve">CRAC UNIT 1</t>
  </si>
  <si>
    <t xml:space="preserve">MTX Room</t>
  </si>
  <si>
    <t xml:space="preserve">AIRCON</t>
  </si>
  <si>
    <t xml:space="preserve">AHU</t>
  </si>
  <si>
    <t xml:space="preserve">ACTMTX</t>
  </si>
  <si>
    <t xml:space="preserve">R410A 16KG</t>
  </si>
  <si>
    <t xml:space="preserve">VF507643</t>
  </si>
  <si>
    <t xml:space="preserve">CRAC UNIT 2</t>
  </si>
  <si>
    <t xml:space="preserve">R410A   16kg</t>
  </si>
  <si>
    <t xml:space="preserve">Powered down 27/01/20</t>
  </si>
  <si>
    <t xml:space="preserve">VF507644</t>
  </si>
  <si>
    <t xml:space="preserve">CRAC UNIT 5</t>
  </si>
  <si>
    <t xml:space="preserve">R410a 16kg</t>
  </si>
  <si>
    <t xml:space="preserve">VF507645</t>
  </si>
  <si>
    <t xml:space="preserve">CRAC UNIT 4</t>
  </si>
  <si>
    <t xml:space="preserve">VF507646</t>
  </si>
  <si>
    <t xml:space="preserve">CRAC UNIT 3</t>
  </si>
  <si>
    <t xml:space="preserve">VF-508032</t>
  </si>
  <si>
    <t xml:space="preserve">Control Room AHU 8</t>
  </si>
  <si>
    <t xml:space="preserve">Control Room</t>
  </si>
  <si>
    <t xml:space="preserve">R410a  2.8kg</t>
  </si>
  <si>
    <t xml:space="preserve">VF-508033</t>
  </si>
  <si>
    <t xml:space="preserve">Control Room AHU 9</t>
  </si>
  <si>
    <t xml:space="preserve">VF522001</t>
  </si>
  <si>
    <t xml:space="preserve">CRAC UNIT 6</t>
  </si>
  <si>
    <t xml:space="preserve">Mids</t>
  </si>
  <si>
    <t xml:space="preserve">CHILLER 1</t>
  </si>
  <si>
    <t xml:space="preserve">EXTERNAL COMPOUND</t>
  </si>
  <si>
    <t xml:space="preserve">CHILLER</t>
  </si>
  <si>
    <t xml:space="preserve">BMGMTX</t>
  </si>
  <si>
    <t xml:space="preserve">R410A - 2 x 12.5Kg</t>
  </si>
  <si>
    <t xml:space="preserve">CHILLER 2</t>
  </si>
  <si>
    <t xml:space="preserve">CHILLER 3</t>
  </si>
  <si>
    <t xml:space="preserve">CHILLER 4</t>
  </si>
  <si>
    <t xml:space="preserve">CHILLER 5</t>
  </si>
  <si>
    <t xml:space="preserve">CHILLER 6</t>
  </si>
  <si>
    <t xml:space="preserve">CHILLER 7</t>
  </si>
  <si>
    <t xml:space="preserve">CHILLER 8</t>
  </si>
  <si>
    <t xml:space="preserve">AHU 1</t>
  </si>
  <si>
    <t xml:space="preserve">SWITCH ROOM</t>
  </si>
  <si>
    <t xml:space="preserve">FCU</t>
  </si>
  <si>
    <t xml:space="preserve">CHILLED WATER</t>
  </si>
  <si>
    <t xml:space="preserve">AHU 2</t>
  </si>
  <si>
    <t xml:space="preserve">AHU 3</t>
  </si>
  <si>
    <t xml:space="preserve">AHU 4</t>
  </si>
  <si>
    <t xml:space="preserve">AHU 10</t>
  </si>
  <si>
    <t xml:space="preserve">R407C - 19.5Kg</t>
  </si>
  <si>
    <t xml:space="preserve">AHU 5</t>
  </si>
  <si>
    <t xml:space="preserve">AHU 6</t>
  </si>
  <si>
    <t xml:space="preserve">AHU 7</t>
  </si>
  <si>
    <t xml:space="preserve">AHU 8</t>
  </si>
  <si>
    <t xml:space="preserve">AHU 9</t>
  </si>
  <si>
    <t xml:space="preserve">R407C - 16.5Kg</t>
  </si>
  <si>
    <t xml:space="preserve">TVB</t>
  </si>
  <si>
    <t xml:space="preserve">VF-121823</t>
  </si>
  <si>
    <t xml:space="preserve">Toilet Extract Fan</t>
  </si>
  <si>
    <t xml:space="preserve">Ground floor Toilet area</t>
  </si>
  <si>
    <t xml:space="preserve">VENT</t>
  </si>
  <si>
    <t xml:space="preserve">BSGMTX</t>
  </si>
  <si>
    <t xml:space="preserve">ventilation</t>
  </si>
  <si>
    <t xml:space="preserve">VF-1218234</t>
  </si>
  <si>
    <t xml:space="preserve">MTX Supply Fan</t>
  </si>
  <si>
    <t xml:space="preserve">1st Floor Over MTX Space</t>
  </si>
  <si>
    <t xml:space="preserve">Unknown</t>
  </si>
  <si>
    <t xml:space="preserve">VF-12182345</t>
  </si>
  <si>
    <t xml:space="preserve">FM200 Extract</t>
  </si>
  <si>
    <t xml:space="preserve">VF-511501</t>
  </si>
  <si>
    <t xml:space="preserve">Emerson Free cooling Unit chiller 1</t>
  </si>
  <si>
    <t xml:space="preserve">R410A 12.5KG</t>
  </si>
  <si>
    <t xml:space="preserve">VF-511502</t>
  </si>
  <si>
    <t xml:space="preserve">Emerson Free cooling chiller 2</t>
  </si>
  <si>
    <t xml:space="preserve">VF-511503</t>
  </si>
  <si>
    <t xml:space="preserve">Emerson Free cooling chiller 3</t>
  </si>
  <si>
    <t xml:space="preserve">VF-511504</t>
  </si>
  <si>
    <t xml:space="preserve">Emerson Free Outdoor chiller 4</t>
  </si>
  <si>
    <t xml:space="preserve">VF-511505</t>
  </si>
  <si>
    <t xml:space="preserve">Emerson Free cooling chiller 5</t>
  </si>
  <si>
    <t xml:space="preserve">12.5KG R410A</t>
  </si>
  <si>
    <t xml:space="preserve">VF-511506</t>
  </si>
  <si>
    <t xml:space="preserve">Emerson Free Cooling Unit chiller 6</t>
  </si>
  <si>
    <t xml:space="preserve">VF-511507</t>
  </si>
  <si>
    <t xml:space="preserve">Emerson Free cooling  Unit chiller 7</t>
  </si>
  <si>
    <t xml:space="preserve">VF-511508</t>
  </si>
  <si>
    <t xml:space="preserve">Emerson Free Cooling Unit chiller 8</t>
  </si>
  <si>
    <t xml:space="preserve">VF-511509</t>
  </si>
  <si>
    <t xml:space="preserve">Emerson Free cooling  Unit chiller 9</t>
  </si>
  <si>
    <t xml:space="preserve">Compound</t>
  </si>
  <si>
    <t xml:space="preserve">VF-511510</t>
  </si>
  <si>
    <t xml:space="preserve">Emerson Free cooling  Unit chiller 10</t>
  </si>
  <si>
    <t xml:space="preserve">VF-511511</t>
  </si>
  <si>
    <t xml:space="preserve">VRV Offices/ Kitchen</t>
  </si>
  <si>
    <t xml:space="preserve">Ground floor office area</t>
  </si>
  <si>
    <t xml:space="preserve">R407C </t>
  </si>
  <si>
    <t xml:space="preserve">non-operational/beyond economical repair</t>
  </si>
  <si>
    <t xml:space="preserve">VF-511512</t>
  </si>
  <si>
    <t xml:space="preserve">Air Handling Unit Multi Split</t>
  </si>
  <si>
    <t xml:space="preserve">1st Floor Disaster recovery area</t>
  </si>
  <si>
    <t xml:space="preserve">R410A </t>
  </si>
  <si>
    <t xml:space="preserve">VF-511513</t>
  </si>
  <si>
    <t xml:space="preserve">Air Handling Unit Small split</t>
  </si>
  <si>
    <t xml:space="preserve">R410A</t>
  </si>
  <si>
    <t xml:space="preserve">VF515001</t>
  </si>
  <si>
    <t xml:space="preserve">Chiller No10 indoor unit</t>
  </si>
  <si>
    <t xml:space="preserve">indoor unit to chiller 10</t>
  </si>
  <si>
    <t xml:space="preserve">VF515002</t>
  </si>
  <si>
    <t xml:space="preserve">Chiller No1 indoor unit</t>
  </si>
  <si>
    <t xml:space="preserve">indoor unit to chiller 01</t>
  </si>
  <si>
    <t xml:space="preserve">VF515003</t>
  </si>
  <si>
    <t xml:space="preserve">Chiller No 2 indoor unit</t>
  </si>
  <si>
    <t xml:space="preserve">indoor unit to chiller 02</t>
  </si>
  <si>
    <t xml:space="preserve">VF-515004</t>
  </si>
  <si>
    <t xml:space="preserve">Chiller No3 indoor unit</t>
  </si>
  <si>
    <t xml:space="preserve">indoor unit to chiller 03</t>
  </si>
  <si>
    <t xml:space="preserve">VF-515005</t>
  </si>
  <si>
    <t xml:space="preserve">Chiller No4 indoor unit</t>
  </si>
  <si>
    <t xml:space="preserve">indoor unit to chiller 04</t>
  </si>
  <si>
    <t xml:space="preserve">VF-515006</t>
  </si>
  <si>
    <t xml:space="preserve">Chiller No5 indoor unit</t>
  </si>
  <si>
    <t xml:space="preserve">indoor unit to chiller 05</t>
  </si>
  <si>
    <t xml:space="preserve">VF-515007</t>
  </si>
  <si>
    <t xml:space="preserve">Chiller No6 indoor unit</t>
  </si>
  <si>
    <t xml:space="preserve">indoor unit to chiller 06</t>
  </si>
  <si>
    <t xml:space="preserve">VF-515008</t>
  </si>
  <si>
    <t xml:space="preserve">Chiller No7 indoor unit</t>
  </si>
  <si>
    <t xml:space="preserve">indoor unit to chiller 07</t>
  </si>
  <si>
    <t xml:space="preserve">VF-515009</t>
  </si>
  <si>
    <t xml:space="preserve">Chiller No 8 indoor unit</t>
  </si>
  <si>
    <t xml:space="preserve">indoor unit to chiller 08</t>
  </si>
  <si>
    <t xml:space="preserve">VF-515010</t>
  </si>
  <si>
    <t xml:space="preserve">Chiller No 9 indoor unit</t>
  </si>
  <si>
    <t xml:space="preserve">indoor unit to chiller 09</t>
  </si>
  <si>
    <t xml:space="preserve">SWW</t>
  </si>
  <si>
    <t xml:space="preserve">VF 504005</t>
  </si>
  <si>
    <t xml:space="preserve">Chiller 1</t>
  </si>
  <si>
    <t xml:space="preserve">COMPOUND</t>
  </si>
  <si>
    <t xml:space="preserve">BTLMTX</t>
  </si>
  <si>
    <t xml:space="preserve">R410a 18KG</t>
  </si>
  <si>
    <t xml:space="preserve">VF 504006</t>
  </si>
  <si>
    <t xml:space="preserve">Chiller 2</t>
  </si>
  <si>
    <t xml:space="preserve">VF112074</t>
  </si>
  <si>
    <t xml:space="preserve">A/C Unit</t>
  </si>
  <si>
    <t xml:space="preserve">Comms Rm Switch Rm 3</t>
  </si>
  <si>
    <t xml:space="preserve">R410a  1.8Kg</t>
  </si>
  <si>
    <t xml:space="preserve">VF-111117</t>
  </si>
  <si>
    <t xml:space="preserve">Liebert Unit No 1</t>
  </si>
  <si>
    <t xml:space="preserve">Switchroom</t>
  </si>
  <si>
    <t xml:space="preserve">CDFMTX</t>
  </si>
  <si>
    <t xml:space="preserve">R407c 27KG</t>
  </si>
  <si>
    <t xml:space="preserve">VF-111118</t>
  </si>
  <si>
    <t xml:space="preserve">Liebert Unit No 2</t>
  </si>
  <si>
    <t xml:space="preserve">R407c 26KG</t>
  </si>
  <si>
    <t xml:space="preserve">VF-111119</t>
  </si>
  <si>
    <t xml:space="preserve">Liebert Unit No 4</t>
  </si>
  <si>
    <t xml:space="preserve">R407c 25KG</t>
  </si>
  <si>
    <t xml:space="preserve">VF-111120</t>
  </si>
  <si>
    <t xml:space="preserve">Liebert Unit No 3</t>
  </si>
  <si>
    <t xml:space="preserve">R407c 31KG</t>
  </si>
  <si>
    <t xml:space="preserve">VF504008</t>
  </si>
  <si>
    <t xml:space="preserve">Air Handling Unit CU1</t>
  </si>
  <si>
    <t xml:space="preserve">Comms Room</t>
  </si>
  <si>
    <t xml:space="preserve">R417A 3.6KG</t>
  </si>
  <si>
    <t xml:space="preserve">VF504011</t>
  </si>
  <si>
    <t xml:space="preserve">Air Handling Unit SECURITY OFFICE</t>
  </si>
  <si>
    <t xml:space="preserve">Throughout</t>
  </si>
  <si>
    <t xml:space="preserve">VF-983854</t>
  </si>
  <si>
    <t xml:space="preserve">R410a 1.7KG</t>
  </si>
  <si>
    <t xml:space="preserve">LSSE</t>
  </si>
  <si>
    <t xml:space="preserve">Free cooling Unit chiller 1</t>
  </si>
  <si>
    <t xml:space="preserve">CLYMTX</t>
  </si>
  <si>
    <t xml:space="preserve">12.5KG OF R410A</t>
  </si>
  <si>
    <t xml:space="preserve">In Use</t>
  </si>
  <si>
    <t xml:space="preserve">Free cooling Unit chiller 2</t>
  </si>
  <si>
    <t xml:space="preserve">Free cooling Unit chiller 3</t>
  </si>
  <si>
    <t xml:space="preserve">Free cooling Unit chiller 4</t>
  </si>
  <si>
    <t xml:space="preserve">Free cooling Unit chiller 5</t>
  </si>
  <si>
    <t xml:space="preserve">Free cooling Unit chiller 6</t>
  </si>
  <si>
    <t xml:space="preserve">VF-119439</t>
  </si>
  <si>
    <t xml:space="preserve">5.4KG OF R407C</t>
  </si>
  <si>
    <t xml:space="preserve">VF-119440</t>
  </si>
  <si>
    <t xml:space="preserve">4KG OF R407C</t>
  </si>
  <si>
    <t xml:space="preserve">NW</t>
  </si>
  <si>
    <t xml:space="preserve">VF-120516</t>
  </si>
  <si>
    <t xml:space="preserve">Liebert AC 1</t>
  </si>
  <si>
    <t xml:space="preserve">CSLMTX</t>
  </si>
  <si>
    <t xml:space="preserve">R407 32KG</t>
  </si>
  <si>
    <t xml:space="preserve">VF-120517</t>
  </si>
  <si>
    <t xml:space="preserve">Liebert AC  2</t>
  </si>
  <si>
    <t xml:space="preserve">changing to Airedale 40 kw</t>
  </si>
  <si>
    <t xml:space="preserve">VF-120518</t>
  </si>
  <si>
    <t xml:space="preserve">Liebert AC 3</t>
  </si>
  <si>
    <t xml:space="preserve">VF-120519</t>
  </si>
  <si>
    <t xml:space="preserve">Liebert AC 4</t>
  </si>
  <si>
    <t xml:space="preserve">VF-120520</t>
  </si>
  <si>
    <t xml:space="preserve">Liebert AC 6</t>
  </si>
  <si>
    <t xml:space="preserve">VF-120521</t>
  </si>
  <si>
    <t xml:space="preserve">Liebert AC 5</t>
  </si>
  <si>
    <t xml:space="preserve">VF-120522</t>
  </si>
  <si>
    <t xml:space="preserve">A/C Offices &amp; Mess Room</t>
  </si>
  <si>
    <t xml:space="preserve">R407 7KG</t>
  </si>
  <si>
    <t xml:space="preserve">VF-120541</t>
  </si>
  <si>
    <t xml:space="preserve">AHU Supply - Office</t>
  </si>
  <si>
    <t xml:space="preserve">MTX ROOM</t>
  </si>
  <si>
    <t xml:space="preserve">CYNMTX</t>
  </si>
  <si>
    <t xml:space="preserve">10.5KG OF R410A</t>
  </si>
  <si>
    <t xml:space="preserve">Chiller 3</t>
  </si>
  <si>
    <t xml:space="preserve">38KG OF R410A</t>
  </si>
  <si>
    <t xml:space="preserve">Runs if temperature rise above a certain setpoint</t>
  </si>
  <si>
    <t xml:space="preserve">31.2KG OF R410A</t>
  </si>
  <si>
    <t xml:space="preserve">30KG OF R407C</t>
  </si>
  <si>
    <t xml:space="preserve">Unit 1</t>
  </si>
  <si>
    <t xml:space="preserve">Old Plantroom</t>
  </si>
  <si>
    <t xml:space="preserve">ESHMTX</t>
  </si>
  <si>
    <t xml:space="preserve">20KG OF R407C</t>
  </si>
  <si>
    <t xml:space="preserve">Vigilent controlled units</t>
  </si>
  <si>
    <t xml:space="preserve">Unit 2</t>
  </si>
  <si>
    <t xml:space="preserve">Unit 3</t>
  </si>
  <si>
    <t xml:space="preserve">Unit 4</t>
  </si>
  <si>
    <t xml:space="preserve">New Plant Room</t>
  </si>
  <si>
    <t xml:space="preserve">Unit 5</t>
  </si>
  <si>
    <t xml:space="preserve">Security office AC</t>
  </si>
  <si>
    <t xml:space="preserve">Security Office</t>
  </si>
  <si>
    <t xml:space="preserve">1.9KG OF R410A</t>
  </si>
  <si>
    <t xml:space="preserve">Used as and when required</t>
  </si>
  <si>
    <t xml:space="preserve">Unit 6</t>
  </si>
  <si>
    <t xml:space="preserve">Unit 7</t>
  </si>
  <si>
    <t xml:space="preserve">VF 504021</t>
  </si>
  <si>
    <t xml:space="preserve">GCRMTX</t>
  </si>
  <si>
    <t xml:space="preserve">R407c  12.5 KG</t>
  </si>
  <si>
    <t xml:space="preserve">VF 504022</t>
  </si>
  <si>
    <t xml:space="preserve">Liebert Unit No 5</t>
  </si>
  <si>
    <t xml:space="preserve">R407c 12.5 KG</t>
  </si>
  <si>
    <t xml:space="preserve">VF 504023</t>
  </si>
  <si>
    <t xml:space="preserve">Liebert Unit No 6</t>
  </si>
  <si>
    <t xml:space="preserve">R407c  12.5KG</t>
  </si>
  <si>
    <t xml:space="preserve">VF-119068</t>
  </si>
  <si>
    <t xml:space="preserve">Control Room multi split</t>
  </si>
  <si>
    <t xml:space="preserve">CONTROL ROOM</t>
  </si>
  <si>
    <t xml:space="preserve">VF504018</t>
  </si>
  <si>
    <t xml:space="preserve">VF504019</t>
  </si>
  <si>
    <t xml:space="preserve">R407c 12.KG</t>
  </si>
  <si>
    <t xml:space="preserve">VF504020</t>
  </si>
  <si>
    <t xml:space="preserve">SC</t>
  </si>
  <si>
    <t xml:space="preserve">VF - 120406</t>
  </si>
  <si>
    <t xml:space="preserve">Air Handling Unit No.1</t>
  </si>
  <si>
    <t xml:space="preserve">GLWMTX</t>
  </si>
  <si>
    <t xml:space="preserve">R407C 20.5Kg</t>
  </si>
  <si>
    <t xml:space="preserve">VF - 120407</t>
  </si>
  <si>
    <t xml:space="preserve">Air Handling Unit No.2</t>
  </si>
  <si>
    <t xml:space="preserve">R407C 24.0Kg</t>
  </si>
  <si>
    <t xml:space="preserve">VF - 120408</t>
  </si>
  <si>
    <t xml:space="preserve">Air Handling Unit No.3</t>
  </si>
  <si>
    <t xml:space="preserve">LNEA</t>
  </si>
  <si>
    <t xml:space="preserve">Security Office Split A/C Unit</t>
  </si>
  <si>
    <t xml:space="preserve">KCSMTX</t>
  </si>
  <si>
    <t xml:space="preserve">R410A 1.00kg</t>
  </si>
  <si>
    <t xml:space="preserve">VF510763</t>
  </si>
  <si>
    <t xml:space="preserve">Air Handling Unit F1</t>
  </si>
  <si>
    <t xml:space="preserve">MTX 2</t>
  </si>
  <si>
    <t xml:space="preserve">R410A 48.1kg</t>
  </si>
  <si>
    <t xml:space="preserve">VF510766</t>
  </si>
  <si>
    <t xml:space="preserve">Air Handling Unit F2</t>
  </si>
  <si>
    <t xml:space="preserve">R410A 49.6kg</t>
  </si>
  <si>
    <t xml:space="preserve">VF510769</t>
  </si>
  <si>
    <t xml:space="preserve">Air Handling Unit F3</t>
  </si>
  <si>
    <t xml:space="preserve">R410A 51.6kg</t>
  </si>
  <si>
    <t xml:space="preserve">VF510772</t>
  </si>
  <si>
    <t xml:space="preserve">Air Handling Unit F4</t>
  </si>
  <si>
    <t xml:space="preserve">R410A 51.5kg</t>
  </si>
  <si>
    <t xml:space="preserve">VF510775</t>
  </si>
  <si>
    <t xml:space="preserve">Air Handling Unit S1</t>
  </si>
  <si>
    <t xml:space="preserve">MTX 3</t>
  </si>
  <si>
    <t xml:space="preserve">R410A 48.3kg</t>
  </si>
  <si>
    <t xml:space="preserve">VF510778</t>
  </si>
  <si>
    <t xml:space="preserve">Air Handling Unit S2</t>
  </si>
  <si>
    <t xml:space="preserve">R410A 48.6kg</t>
  </si>
  <si>
    <t xml:space="preserve">VF510781</t>
  </si>
  <si>
    <t xml:space="preserve">Air Handling Unit S3</t>
  </si>
  <si>
    <t xml:space="preserve">R410A 45.2kg</t>
  </si>
  <si>
    <t xml:space="preserve">VF510784</t>
  </si>
  <si>
    <t xml:space="preserve">Air Handling Unit S4</t>
  </si>
  <si>
    <t xml:space="preserve">R410A 54.5kg</t>
  </si>
  <si>
    <t xml:space="preserve">VF510787</t>
  </si>
  <si>
    <t xml:space="preserve">Air Handling Unit T1</t>
  </si>
  <si>
    <t xml:space="preserve">MTX 4</t>
  </si>
  <si>
    <t xml:space="preserve">R410A 43.5kg</t>
  </si>
  <si>
    <t xml:space="preserve">VF510790</t>
  </si>
  <si>
    <t xml:space="preserve">Air Handling Unit T2</t>
  </si>
  <si>
    <t xml:space="preserve">R410A 42.7kg</t>
  </si>
  <si>
    <t xml:space="preserve">VF510793</t>
  </si>
  <si>
    <t xml:space="preserve">Air Handling Unit T3</t>
  </si>
  <si>
    <t xml:space="preserve">R410A 45kg</t>
  </si>
  <si>
    <t xml:space="preserve">VF510796</t>
  </si>
  <si>
    <t xml:space="preserve">Air Handling Unit T4</t>
  </si>
  <si>
    <t xml:space="preserve">R410A 48.5kg</t>
  </si>
  <si>
    <t xml:space="preserve">AHU -  VAX ROOM</t>
  </si>
  <si>
    <t xml:space="preserve">LCTMTX</t>
  </si>
  <si>
    <t xml:space="preserve">R410A - 1.7Kg</t>
  </si>
  <si>
    <t xml:space="preserve">CONDENSER - VAX ROOM</t>
  </si>
  <si>
    <t xml:space="preserve">EXTERNAL </t>
  </si>
  <si>
    <t xml:space="preserve">CON</t>
  </si>
  <si>
    <t xml:space="preserve">SEE ASSET 015468</t>
  </si>
  <si>
    <t xml:space="preserve">PLANT ROOM</t>
  </si>
  <si>
    <t xml:space="preserve">R407C - 25Kg  2x12.5</t>
  </si>
  <si>
    <t xml:space="preserve">R407C - 25Kg 2x12.5</t>
  </si>
  <si>
    <t xml:space="preserve">CONDENSER - AHU 1</t>
  </si>
  <si>
    <t xml:space="preserve">SEE ASSET 119207</t>
  </si>
  <si>
    <t xml:space="preserve">CONDENSER - AHU 2</t>
  </si>
  <si>
    <t xml:space="preserve">SEE ASSET 119208</t>
  </si>
  <si>
    <t xml:space="preserve">CONDENSER - AHU 3</t>
  </si>
  <si>
    <t xml:space="preserve">NE</t>
  </si>
  <si>
    <t xml:space="preserve">VF-122322</t>
  </si>
  <si>
    <t xml:space="preserve">ACU 1 (2 x 3.6kg R407c)</t>
  </si>
  <si>
    <t xml:space="preserve">EXTERNAL</t>
  </si>
  <si>
    <t xml:space="preserve">LDSMTX</t>
  </si>
  <si>
    <t xml:space="preserve">R407C/2 x 3.6kg</t>
  </si>
  <si>
    <t xml:space="preserve">VF-122323</t>
  </si>
  <si>
    <t xml:space="preserve">ACU 2 (2 x 3.6kg R407c)</t>
  </si>
  <si>
    <t xml:space="preserve">VF-122324</t>
  </si>
  <si>
    <t xml:space="preserve">ACU 3 (2 x 3.6kg R407c)</t>
  </si>
  <si>
    <t xml:space="preserve">VF-122325</t>
  </si>
  <si>
    <t xml:space="preserve">ACU 4 (2 x 3.6kg R407c)</t>
  </si>
  <si>
    <t xml:space="preserve">R407C/ 2 x 3.6</t>
  </si>
  <si>
    <t xml:space="preserve">DX Air Conditioning System</t>
  </si>
  <si>
    <t xml:space="preserve">Side Chiller compound</t>
  </si>
  <si>
    <t xml:space="preserve">LIVMTX</t>
  </si>
  <si>
    <t xml:space="preserve">R410A 1.0 Kg</t>
  </si>
  <si>
    <t xml:space="preserve">R410A 1.5 Kg</t>
  </si>
  <si>
    <t xml:space="preserve">R410A 1.7 Kg</t>
  </si>
  <si>
    <t xml:space="preserve">R407C 4.4 Kg</t>
  </si>
  <si>
    <t xml:space="preserve">R407C 3.2 Kg</t>
  </si>
  <si>
    <t xml:space="preserve">R410A 1.62 Kg</t>
  </si>
  <si>
    <t xml:space="preserve">R407C 4.0 Kg</t>
  </si>
  <si>
    <t xml:space="preserve">CW - 050933</t>
  </si>
  <si>
    <t xml:space="preserve">Main Equipment Room</t>
  </si>
  <si>
    <t xml:space="preserve">Chilled Water</t>
  </si>
  <si>
    <t xml:space="preserve">CW - 050936</t>
  </si>
  <si>
    <t xml:space="preserve">CW - 050937</t>
  </si>
  <si>
    <t xml:space="preserve">CW - 050938</t>
  </si>
  <si>
    <t xml:space="preserve">Air Handling Unit No.4</t>
  </si>
  <si>
    <t xml:space="preserve">CW - 050939</t>
  </si>
  <si>
    <t xml:space="preserve">Air Handling Unit No.5</t>
  </si>
  <si>
    <t xml:space="preserve">VF - 111304</t>
  </si>
  <si>
    <t xml:space="preserve">Air Handling Unit No.6</t>
  </si>
  <si>
    <t xml:space="preserve">Decommissioned</t>
  </si>
  <si>
    <t xml:space="preserve">VF-502065</t>
  </si>
  <si>
    <t xml:space="preserve">Switch room </t>
  </si>
  <si>
    <t xml:space="preserve">LLDMTX</t>
  </si>
  <si>
    <t xml:space="preserve">R410 10KG</t>
  </si>
  <si>
    <t xml:space="preserve">VF-502066</t>
  </si>
  <si>
    <t xml:space="preserve">VF-502067</t>
  </si>
  <si>
    <t xml:space="preserve">VF-502068</t>
  </si>
  <si>
    <t xml:space="preserve">VF-502069</t>
  </si>
  <si>
    <t xml:space="preserve">VF-502070</t>
  </si>
  <si>
    <t xml:space="preserve">VF-502071</t>
  </si>
  <si>
    <t xml:space="preserve">VF-502072</t>
  </si>
  <si>
    <t xml:space="preserve">R410 10KG </t>
  </si>
  <si>
    <t xml:space="preserve">VF-502073</t>
  </si>
  <si>
    <t xml:space="preserve">outside </t>
  </si>
  <si>
    <t xml:space="preserve">R410</t>
  </si>
  <si>
    <t xml:space="preserve">VF-502074</t>
  </si>
  <si>
    <t xml:space="preserve">VF-502075</t>
  </si>
  <si>
    <t xml:space="preserve">VF-502076</t>
  </si>
  <si>
    <t xml:space="preserve">Chiller 4</t>
  </si>
  <si>
    <t xml:space="preserve">VF-502077</t>
  </si>
  <si>
    <t xml:space="preserve">Chiller 5</t>
  </si>
  <si>
    <t xml:space="preserve">VF-502078</t>
  </si>
  <si>
    <t xml:space="preserve">Chiller 6</t>
  </si>
  <si>
    <t xml:space="preserve">VF-502079</t>
  </si>
  <si>
    <t xml:space="preserve">Chiller 7</t>
  </si>
  <si>
    <t xml:space="preserve">Chiller 8</t>
  </si>
  <si>
    <t xml:space="preserve">MKSMTX</t>
  </si>
  <si>
    <t xml:space="preserve">R407C - 12.5Kg</t>
  </si>
  <si>
    <t xml:space="preserve">VF510340</t>
  </si>
  <si>
    <t xml:space="preserve">CHILLER 9</t>
  </si>
  <si>
    <t xml:space="preserve">R410A - 12.5Kg</t>
  </si>
  <si>
    <t xml:space="preserve">VERTIV</t>
  </si>
  <si>
    <t xml:space="preserve">AHU 1A</t>
  </si>
  <si>
    <t xml:space="preserve">R407C - 5.8Kg</t>
  </si>
  <si>
    <t xml:space="preserve">AHU 1B</t>
  </si>
  <si>
    <t xml:space="preserve">R407C - 3.1Kg</t>
  </si>
  <si>
    <t xml:space="preserve">VF510339</t>
  </si>
  <si>
    <t xml:space="preserve">LIEBERT</t>
  </si>
  <si>
    <t xml:space="preserve">SEE ASSET 015389</t>
  </si>
  <si>
    <t xml:space="preserve">SEE ASSET 015387</t>
  </si>
  <si>
    <t xml:space="preserve">Fan Coil Unit No9</t>
  </si>
  <si>
    <t xml:space="preserve">R407C 54Kg </t>
  </si>
  <si>
    <t xml:space="preserve">VF515051</t>
  </si>
  <si>
    <t xml:space="preserve">Test Lab unit 2</t>
  </si>
  <si>
    <t xml:space="preserve"> CANAL TEST LAB</t>
  </si>
  <si>
    <t xml:space="preserve">NBYMTX</t>
  </si>
  <si>
    <t xml:space="preserve">4KG of R410A</t>
  </si>
  <si>
    <t xml:space="preserve">VF515053</t>
  </si>
  <si>
    <t xml:space="preserve">PABX AHU 3</t>
  </si>
  <si>
    <t xml:space="preserve">CANAL PABX ROOM</t>
  </si>
  <si>
    <t xml:space="preserve">4.9KG of R410A</t>
  </si>
  <si>
    <t xml:space="preserve">VF517549</t>
  </si>
  <si>
    <t xml:space="preserve">EXTRACT AHU INVERTOR TOP</t>
  </si>
  <si>
    <t xml:space="preserve">CANAL PLANT ROOM</t>
  </si>
  <si>
    <t xml:space="preserve">FAU</t>
  </si>
  <si>
    <t xml:space="preserve">inverter/removed</t>
  </si>
  <si>
    <t xml:space="preserve">VF517550</t>
  </si>
  <si>
    <t xml:space="preserve">EXTRACT AHU INVERTOR MIDDLE</t>
  </si>
  <si>
    <t xml:space="preserve">VF517551</t>
  </si>
  <si>
    <t xml:space="preserve">EXTRACT AHU INVERTOR BOTTOM</t>
  </si>
  <si>
    <t xml:space="preserve">VF517559</t>
  </si>
  <si>
    <t xml:space="preserve">SUPPLY INVERTOR</t>
  </si>
  <si>
    <t xml:space="preserve">VF517560</t>
  </si>
  <si>
    <t xml:space="preserve">VF517561</t>
  </si>
  <si>
    <t xml:space="preserve">VF517569</t>
  </si>
  <si>
    <t xml:space="preserve">AIR CONDITIONING PANEL COP/1</t>
  </si>
  <si>
    <t xml:space="preserve">DBD</t>
  </si>
  <si>
    <t xml:space="preserve">630 AMP ISOLATOR</t>
  </si>
  <si>
    <t xml:space="preserve">distribution board</t>
  </si>
  <si>
    <t xml:space="preserve">VF517599</t>
  </si>
  <si>
    <t xml:space="preserve">AHU EXTRACT</t>
  </si>
  <si>
    <t xml:space="preserve">CANAL LOADING BAY</t>
  </si>
  <si>
    <t xml:space="preserve">chilled water ahu/switched off</t>
  </si>
  <si>
    <t xml:space="preserve">VF517605</t>
  </si>
  <si>
    <t xml:space="preserve">AHU SUPPLY</t>
  </si>
  <si>
    <t xml:space="preserve">VF517656</t>
  </si>
  <si>
    <t xml:space="preserve">CANAL COMPUTER ROOM 1</t>
  </si>
  <si>
    <t xml:space="preserve">R407C/20KG</t>
  </si>
  <si>
    <t xml:space="preserve">VF517657</t>
  </si>
  <si>
    <t xml:space="preserve">VF517658</t>
  </si>
  <si>
    <t xml:space="preserve">R407C 20KG</t>
  </si>
  <si>
    <t xml:space="preserve">VF517660</t>
  </si>
  <si>
    <t xml:space="preserve">MTX CONTROL ROOM EXTRACT FAN</t>
  </si>
  <si>
    <t xml:space="preserve">CANAL MTX CONTROL ROOM</t>
  </si>
  <si>
    <t xml:space="preserve">6 AMP</t>
  </si>
  <si>
    <t xml:space="preserve">extract fan</t>
  </si>
  <si>
    <t xml:space="preserve">VF517663</t>
  </si>
  <si>
    <t xml:space="preserve">MR SLIM SPILT</t>
  </si>
  <si>
    <t xml:space="preserve">R407C/5KG</t>
  </si>
  <si>
    <t xml:space="preserve">VF517664</t>
  </si>
  <si>
    <t xml:space="preserve">Air Handling Unit</t>
  </si>
  <si>
    <t xml:space="preserve">VF517665</t>
  </si>
  <si>
    <t xml:space="preserve">AC UNIT 1 C1/C2</t>
  </si>
  <si>
    <t xml:space="preserve">CANAL SWITCH ROOM 2</t>
  </si>
  <si>
    <t xml:space="preserve">R407C 16.7KG/16.7KG</t>
  </si>
  <si>
    <t xml:space="preserve">VF517668</t>
  </si>
  <si>
    <t xml:space="preserve">MR SLIM CEILING MOUNTS AC/1</t>
  </si>
  <si>
    <t xml:space="preserve">R407C/4.9KG</t>
  </si>
  <si>
    <t xml:space="preserve">VF517670</t>
  </si>
  <si>
    <t xml:space="preserve">HITACHI</t>
  </si>
  <si>
    <t xml:space="preserve">CANAL PATCH ROOM</t>
  </si>
  <si>
    <t xml:space="preserve">R407C/2.8KG</t>
  </si>
  <si>
    <t xml:space="preserve">VF517674</t>
  </si>
  <si>
    <t xml:space="preserve">SANYO CEILING MOUNT</t>
  </si>
  <si>
    <t xml:space="preserve">R407C/4.5KG</t>
  </si>
  <si>
    <t xml:space="preserve">VF517675</t>
  </si>
  <si>
    <t xml:space="preserve">VF517683</t>
  </si>
  <si>
    <t xml:space="preserve">R407C/5.1KG</t>
  </si>
  <si>
    <t xml:space="preserve">VF517684</t>
  </si>
  <si>
    <t xml:space="preserve">OFFICE CHILLED WATER UNIT C1/C2</t>
  </si>
  <si>
    <t xml:space="preserve">CANAL OUTSIDE COMPOUND</t>
  </si>
  <si>
    <t xml:space="preserve">R407C/40KG X2</t>
  </si>
  <si>
    <t xml:space="preserve">non-operational</t>
  </si>
  <si>
    <t xml:space="preserve">VF517806</t>
  </si>
  <si>
    <t xml:space="preserve">Airedale Blucube AHU 2</t>
  </si>
  <si>
    <t xml:space="preserve">CANAL MTX RM</t>
  </si>
  <si>
    <t xml:space="preserve">R410A 16.5/16.8 KG</t>
  </si>
  <si>
    <t xml:space="preserve">VF517807</t>
  </si>
  <si>
    <t xml:space="preserve">Airedale Blucube AHU 1</t>
  </si>
  <si>
    <t xml:space="preserve">R410 17.5/17.5 KG</t>
  </si>
  <si>
    <t xml:space="preserve">VF-122241</t>
  </si>
  <si>
    <t xml:space="preserve">PLANT ROOM OUTSIDE COMPOUND</t>
  </si>
  <si>
    <t xml:space="preserve">NWCMTX</t>
  </si>
  <si>
    <t xml:space="preserve">R407C/44.5</t>
  </si>
  <si>
    <t xml:space="preserve">VF-122242</t>
  </si>
  <si>
    <t xml:space="preserve">R407C/38.6</t>
  </si>
  <si>
    <t xml:space="preserve">VF-122243</t>
  </si>
  <si>
    <t xml:space="preserve">R407C</t>
  </si>
  <si>
    <t xml:space="preserve">VF-122264</t>
  </si>
  <si>
    <t xml:space="preserve">Air Handling Unit 2</t>
  </si>
  <si>
    <t xml:space="preserve">SWITCH ROOM 2</t>
  </si>
  <si>
    <t xml:space="preserve">VF-122265</t>
  </si>
  <si>
    <t xml:space="preserve">Air Handling Unit 1</t>
  </si>
  <si>
    <t xml:space="preserve">VF-122266</t>
  </si>
  <si>
    <t xml:space="preserve">Air Handling Unit 3</t>
  </si>
  <si>
    <t xml:space="preserve">VF-122299</t>
  </si>
  <si>
    <t xml:space="preserve">VAX Room AHU</t>
  </si>
  <si>
    <t xml:space="preserve">VAX ROOM</t>
  </si>
  <si>
    <t xml:space="preserve">R407C/3.5</t>
  </si>
  <si>
    <t xml:space="preserve">VF-501523</t>
  </si>
  <si>
    <t xml:space="preserve">LIEBERT AHU 3</t>
  </si>
  <si>
    <t xml:space="preserve">SWITCH ROOM 3</t>
  </si>
  <si>
    <t xml:space="preserve">R410A/21</t>
  </si>
  <si>
    <t xml:space="preserve">VF-501524</t>
  </si>
  <si>
    <t xml:space="preserve">LIEBERT AHU 2</t>
  </si>
  <si>
    <t xml:space="preserve">R410A/18.5</t>
  </si>
  <si>
    <t xml:space="preserve">VF-501525</t>
  </si>
  <si>
    <t xml:space="preserve">LIEBERT AHU 1</t>
  </si>
  <si>
    <t xml:space="preserve">R410A/14.5</t>
  </si>
  <si>
    <t xml:space="preserve">VF-501533</t>
  </si>
  <si>
    <t xml:space="preserve">LIEBERT HBR99 Condenser AHU 1</t>
  </si>
  <si>
    <t xml:space="preserve">REAR COMPOUND</t>
  </si>
  <si>
    <t xml:space="preserve">VF-501534</t>
  </si>
  <si>
    <t xml:space="preserve">LIEBERT HBR99 Condenser AHU 2</t>
  </si>
  <si>
    <t xml:space="preserve">VF-501535</t>
  </si>
  <si>
    <t xml:space="preserve">LIEBERT HBR099 Condenser AHU 3</t>
  </si>
  <si>
    <t xml:space="preserve">VF-121204</t>
  </si>
  <si>
    <t xml:space="preserve">Chiller 10</t>
  </si>
  <si>
    <t xml:space="preserve">outside</t>
  </si>
  <si>
    <t xml:space="preserve">OLDMTX</t>
  </si>
  <si>
    <t xml:space="preserve">VF-121208</t>
  </si>
  <si>
    <t xml:space="preserve">VF-121209</t>
  </si>
  <si>
    <t xml:space="preserve">VF-121218</t>
  </si>
  <si>
    <t xml:space="preserve">Chiller 9</t>
  </si>
  <si>
    <t xml:space="preserve">VF-121219</t>
  </si>
  <si>
    <t xml:space="preserve">VF-121220</t>
  </si>
  <si>
    <t xml:space="preserve">Liebert DX Indoor Unit 7</t>
  </si>
  <si>
    <t xml:space="preserve">R407C 20.4KG</t>
  </si>
  <si>
    <t xml:space="preserve">VF-121221</t>
  </si>
  <si>
    <t xml:space="preserve">VF-121222</t>
  </si>
  <si>
    <t xml:space="preserve">Liebert DX Indoor Unit 5</t>
  </si>
  <si>
    <t xml:space="preserve">R407C 18.4KG</t>
  </si>
  <si>
    <t xml:space="preserve">VF-121223</t>
  </si>
  <si>
    <t xml:space="preserve">VF-121241</t>
  </si>
  <si>
    <t xml:space="preserve">VF-112474</t>
  </si>
  <si>
    <t xml:space="preserve">(OXFMTX) Liebert Unit No 4</t>
  </si>
  <si>
    <t xml:space="preserve">OXFMTX</t>
  </si>
  <si>
    <t xml:space="preserve">R407c 28KG</t>
  </si>
  <si>
    <t xml:space="preserve">IN STANDBY FOR ENERGY SAVING  - READY TO USE IF NEEDED</t>
  </si>
  <si>
    <t xml:space="preserve">VF-112475</t>
  </si>
  <si>
    <t xml:space="preserve">(OXFMTX) Liebert Unit No 5</t>
  </si>
  <si>
    <t xml:space="preserve">VF-112476</t>
  </si>
  <si>
    <t xml:space="preserve">(OXFMTX) Liebert Unit No 6</t>
  </si>
  <si>
    <t xml:space="preserve">VF-112502</t>
  </si>
  <si>
    <t xml:space="preserve">(OXFMTX) Liebert Unit No 13</t>
  </si>
  <si>
    <t xml:space="preserve">NO GAS-DECOMMISSION</t>
  </si>
  <si>
    <t xml:space="preserve">NO GAS-DECOMMISSION (IN MTX3 NOT MTX2)</t>
  </si>
  <si>
    <t xml:space="preserve">VF-112503</t>
  </si>
  <si>
    <t xml:space="preserve">(OXFMTX) Liebert Unit No 14</t>
  </si>
  <si>
    <t xml:space="preserve">RS44 8.5KG/8.9KG</t>
  </si>
  <si>
    <t xml:space="preserve">VF-112521</t>
  </si>
  <si>
    <t xml:space="preserve">(OXFMTX) MTX Supply Fan</t>
  </si>
  <si>
    <t xml:space="preserve">Plantroom</t>
  </si>
  <si>
    <t xml:space="preserve">VF-112526</t>
  </si>
  <si>
    <t xml:space="preserve">(OXFMTX) Plantroom Supply Fan</t>
  </si>
  <si>
    <t xml:space="preserve">VF112537</t>
  </si>
  <si>
    <t xml:space="preserve">(OXFMTX) General Supply Fan</t>
  </si>
  <si>
    <t xml:space="preserve">VF-112560</t>
  </si>
  <si>
    <t xml:space="preserve">(OXFMTX) Toilet Extract Fan</t>
  </si>
  <si>
    <t xml:space="preserve">SWITCHED OFF</t>
  </si>
  <si>
    <t xml:space="preserve">VF-112561</t>
  </si>
  <si>
    <t xml:space="preserve">(OXFMTX) Extract Fan</t>
  </si>
  <si>
    <t xml:space="preserve">VF-112562</t>
  </si>
  <si>
    <t xml:space="preserve">VF-515011</t>
  </si>
  <si>
    <t xml:space="preserve">(OXFMTX) Chiller unit No1 indoor unit</t>
  </si>
  <si>
    <t xml:space="preserve">MTX 1</t>
  </si>
  <si>
    <t xml:space="preserve">VF-515012</t>
  </si>
  <si>
    <t xml:space="preserve">(OXFMTX) Chiller unit No2 indoor unit</t>
  </si>
  <si>
    <t xml:space="preserve">VF-515013</t>
  </si>
  <si>
    <t xml:space="preserve">(OXFMTX) Chiller unit No3 indoor unit</t>
  </si>
  <si>
    <t xml:space="preserve">XOD Free cooling unit 1</t>
  </si>
  <si>
    <t xml:space="preserve">(OXFMTX) Emerson Free cooling  Unit chiller 1</t>
  </si>
  <si>
    <t xml:space="preserve">XOD Free Cooling Unit 2</t>
  </si>
  <si>
    <t xml:space="preserve">(OXFMTX) Emerson Free cooling  Unit chiller 2</t>
  </si>
  <si>
    <t xml:space="preserve">XOD Free Cooling Unit 3</t>
  </si>
  <si>
    <t xml:space="preserve">(OXFMTX) Emerson Free cooling  Unit chiller 3</t>
  </si>
  <si>
    <t xml:space="preserve">VF-501501</t>
  </si>
  <si>
    <t xml:space="preserve">AHU-FC:03</t>
  </si>
  <si>
    <t xml:space="preserve">MAINS POWER ROOM</t>
  </si>
  <si>
    <t xml:space="preserve">RHMMTX</t>
  </si>
  <si>
    <t xml:space="preserve">R410a/CHW</t>
  </si>
  <si>
    <t xml:space="preserve">VF-501502</t>
  </si>
  <si>
    <t xml:space="preserve">AHU-FC:02</t>
  </si>
  <si>
    <t xml:space="preserve">VF-501503</t>
  </si>
  <si>
    <t xml:space="preserve">AHU-FC:01</t>
  </si>
  <si>
    <t xml:space="preserve">VF-501504</t>
  </si>
  <si>
    <t xml:space="preserve">AHU-FC:06</t>
  </si>
  <si>
    <t xml:space="preserve">VF-501505</t>
  </si>
  <si>
    <t xml:space="preserve">AHU-FC:05</t>
  </si>
  <si>
    <t xml:space="preserve">VF-501506</t>
  </si>
  <si>
    <t xml:space="preserve">AHU-FC:04</t>
  </si>
  <si>
    <t xml:space="preserve">VF-501508</t>
  </si>
  <si>
    <t xml:space="preserve">CONDENSOR CH:01</t>
  </si>
  <si>
    <t xml:space="preserve">R410a/12.5</t>
  </si>
  <si>
    <t xml:space="preserve">VF-501509</t>
  </si>
  <si>
    <t xml:space="preserve">CONDENSOR CH:02</t>
  </si>
  <si>
    <t xml:space="preserve">VF-501510</t>
  </si>
  <si>
    <t xml:space="preserve">CONDENSOR CH:03</t>
  </si>
  <si>
    <t xml:space="preserve">VF-501517</t>
  </si>
  <si>
    <t xml:space="preserve">CONDENSOR CH:04</t>
  </si>
  <si>
    <t xml:space="preserve">VF-501518</t>
  </si>
  <si>
    <t xml:space="preserve">CONDENSOR CH:05</t>
  </si>
  <si>
    <t xml:space="preserve">VF-501519</t>
  </si>
  <si>
    <t xml:space="preserve">CONDENSOR CH:06</t>
  </si>
  <si>
    <t xml:space="preserve">VF112312</t>
  </si>
  <si>
    <t xml:space="preserve">Office area supply fan</t>
  </si>
  <si>
    <t xml:space="preserve">1st Floor Office area</t>
  </si>
  <si>
    <t xml:space="preserve">SHTMTX</t>
  </si>
  <si>
    <t xml:space="preserve">ventilation fan</t>
  </si>
  <si>
    <t xml:space="preserve">VF-112313</t>
  </si>
  <si>
    <t xml:space="preserve">Mtx Roof Void</t>
  </si>
  <si>
    <t xml:space="preserve">VF-515043</t>
  </si>
  <si>
    <t xml:space="preserve">(SHT MTX) AHU 4</t>
  </si>
  <si>
    <t xml:space="preserve">GND floor MTX room</t>
  </si>
  <si>
    <t xml:space="preserve">R410A 30KG</t>
  </si>
  <si>
    <t xml:space="preserve">VF-515044</t>
  </si>
  <si>
    <t xml:space="preserve">(SHT MTX) AHU 5</t>
  </si>
  <si>
    <t xml:space="preserve">VF-515045</t>
  </si>
  <si>
    <t xml:space="preserve">(SHT MTX) AHU 1</t>
  </si>
  <si>
    <t xml:space="preserve">R410A 18KG</t>
  </si>
  <si>
    <t xml:space="preserve">VF-515046</t>
  </si>
  <si>
    <t xml:space="preserve">(SHT MTX) AHU 2</t>
  </si>
  <si>
    <t xml:space="preserve">R410A 17KG</t>
  </si>
  <si>
    <t xml:space="preserve">VF-515047</t>
  </si>
  <si>
    <t xml:space="preserve">(SHT MTX) AHU 3</t>
  </si>
  <si>
    <t xml:space="preserve">XSY Free cooling unit 1</t>
  </si>
  <si>
    <t xml:space="preserve">SNYMTX</t>
  </si>
  <si>
    <t xml:space="preserve">XSY free cooling unit 2</t>
  </si>
  <si>
    <t xml:space="preserve">Emerson Free cooling Unit chiller 2</t>
  </si>
  <si>
    <t xml:space="preserve">XSY free cooling unit 3</t>
  </si>
  <si>
    <t xml:space="preserve">Emerson Free cooling Unit chiller 3</t>
  </si>
  <si>
    <t xml:space="preserve">XSY free cooling unit 4</t>
  </si>
  <si>
    <t xml:space="preserve">Emerson Free cooling Unit chiller 4</t>
  </si>
  <si>
    <t xml:space="preserve">XSY free cooling unit 5</t>
  </si>
  <si>
    <t xml:space="preserve">Emerson Free cooling Unit chiller 5</t>
  </si>
  <si>
    <t xml:space="preserve">XSY free cooling unit 6</t>
  </si>
  <si>
    <t xml:space="preserve">Emerson Free cooling Unit chiller 6</t>
  </si>
  <si>
    <t xml:space="preserve">STDMTX</t>
  </si>
  <si>
    <t xml:space="preserve">R410A - 17.6 +18.2Kg</t>
  </si>
  <si>
    <t xml:space="preserve">R410A - 14.5 + 13Kg</t>
  </si>
  <si>
    <t xml:space="preserve">R410A - 10.5Kg</t>
  </si>
  <si>
    <t xml:space="preserve">R407C - 35Kg</t>
  </si>
  <si>
    <t xml:space="preserve">R407C - 35kg</t>
  </si>
  <si>
    <t xml:space="preserve">SITE GENERAL</t>
  </si>
  <si>
    <t xml:space="preserve">WBYMTX</t>
  </si>
  <si>
    <t xml:space="preserve">R407C - 4.8kg</t>
  </si>
  <si>
    <t xml:space="preserve">Site closed</t>
  </si>
  <si>
    <t xml:space="preserve">VF-WTN 00001</t>
  </si>
  <si>
    <t xml:space="preserve">A/c no1</t>
  </si>
  <si>
    <t xml:space="preserve">WTNMTX</t>
  </si>
  <si>
    <t xml:space="preserve">R410 12.5KG</t>
  </si>
  <si>
    <t xml:space="preserve">VF-WTN 00002</t>
  </si>
  <si>
    <t xml:space="preserve">A/c no2</t>
  </si>
  <si>
    <t xml:space="preserve">VF-WTN 00003</t>
  </si>
  <si>
    <t xml:space="preserve">A/c no3</t>
  </si>
  <si>
    <t xml:space="preserve">Element Type</t>
  </si>
  <si>
    <t xml:space="preserve">DC Load/Instance (kW)</t>
  </si>
  <si>
    <t xml:space="preserve">Total Network Load (kW)</t>
  </si>
  <si>
    <t xml:space="preserve">% of Type A Acutal Usage</t>
  </si>
  <si>
    <t xml:space="preserve">Type A Total DC Design Capability (kW)</t>
  </si>
  <si>
    <t xml:space="preserve">NGVM Core</t>
  </si>
  <si>
    <t xml:space="preserve">BBNS</t>
  </si>
  <si>
    <t xml:space="preserve">Type A Actual DC Usage (kW)</t>
  </si>
  <si>
    <t xml:space="preserve">RNC's</t>
  </si>
  <si>
    <t xml:space="preserve">BSC's</t>
  </si>
  <si>
    <t xml:space="preserve">Type A % of DC used to Support Dual Running Compared to Actual DC Usage</t>
  </si>
  <si>
    <t xml:space="preserve">SMS</t>
  </si>
  <si>
    <t xml:space="preserve">Legacy IN</t>
  </si>
  <si>
    <t xml:space="preserve">Dual Running as % of Design Load</t>
  </si>
  <si>
    <t xml:space="preserve">CHE</t>
  </si>
  <si>
    <t xml:space="preserve">VML</t>
  </si>
  <si>
    <t xml:space="preserve">CPN</t>
  </si>
  <si>
    <t xml:space="preserve">Total Per Site (kW)</t>
  </si>
  <si>
    <t xml:space="preserve">Overall Site Load (KW)</t>
  </si>
  <si>
    <t xml:space="preserve"> % of Total Site Load</t>
  </si>
  <si>
    <t xml:space="preserve">Dual Running (kW)</t>
  </si>
  <si>
    <t xml:space="preserve">Site Load</t>
  </si>
  <si>
    <t xml:space="preserve">Site Load (kW)</t>
  </si>
  <si>
    <t xml:space="preserve">Type A Graph data for 12 month Tech Load</t>
  </si>
  <si>
    <t xml:space="preserve">Graphing Figs</t>
  </si>
  <si>
    <t xml:space="preserve">Technology Load (kW) July 16</t>
  </si>
  <si>
    <t xml:space="preserve">Technology Load (kW) July 17</t>
  </si>
  <si>
    <t xml:space="preserve">Increase (kW)</t>
  </si>
  <si>
    <t xml:space="preserve">Decrease (kW)</t>
  </si>
  <si>
    <t xml:space="preserve">Difference (kW) </t>
  </si>
  <si>
    <t xml:space="preserve">Total x9</t>
  </si>
  <si>
    <t xml:space="preserve">Total x5</t>
  </si>
  <si>
    <t xml:space="preserve">Type A Graph data for 12 month AC</t>
  </si>
  <si>
    <t xml:space="preserve">AC Load (kW) Mar 14</t>
  </si>
  <si>
    <t xml:space="preserve">AC Load (kW) Mar 15</t>
  </si>
  <si>
    <t xml:space="preserve">Difference (kW)</t>
  </si>
  <si>
    <t xml:space="preserve">Total x8</t>
  </si>
  <si>
    <t xml:space="preserve">Total x6</t>
  </si>
  <si>
    <t xml:space="preserve">Type B and C Graph data for 12 month DC</t>
  </si>
  <si>
    <t xml:space="preserve">DC Load for the site (kW) Dec 12</t>
  </si>
  <si>
    <t xml:space="preserve">DC Load for the site (kW) Dec 13</t>
  </si>
  <si>
    <t xml:space="preserve">Migrations (kW)</t>
  </si>
  <si>
    <t xml:space="preserve">XHN</t>
  </si>
  <si>
    <t xml:space="preserve">Type B and C Graph data for 12 month AC</t>
  </si>
  <si>
    <r>
      <rPr>
        <sz val="8"/>
        <rFont val="Arial"/>
        <family val="2"/>
        <charset val="1"/>
      </rPr>
      <t xml:space="preserve">AC load for the site (kW) </t>
    </r>
    <r>
      <rPr>
        <sz val="8"/>
        <color rgb="FFFF0000"/>
        <rFont val="Arial"/>
        <family val="2"/>
        <charset val="1"/>
      </rPr>
      <t xml:space="preserve">Jun 12</t>
    </r>
  </si>
  <si>
    <r>
      <rPr>
        <sz val="8"/>
        <rFont val="Arial"/>
        <family val="2"/>
        <charset val="1"/>
      </rPr>
      <t xml:space="preserve">AC load for the site (kW) </t>
    </r>
    <r>
      <rPr>
        <sz val="8"/>
        <color rgb="FFFF0000"/>
        <rFont val="Arial"/>
        <family val="2"/>
        <charset val="1"/>
      </rPr>
      <t xml:space="preserve">July 13</t>
    </r>
  </si>
  <si>
    <t xml:space="preserve">No data for XCF, XOD</t>
  </si>
  <si>
    <t xml:space="preserve">Rectiifer Utilisation</t>
  </si>
  <si>
    <t xml:space="preserve">Rectifier Utilisation</t>
  </si>
  <si>
    <t xml:space="preserve">RectCap(A)</t>
  </si>
  <si>
    <t xml:space="preserve">RecOutput (A)</t>
  </si>
  <si>
    <t xml:space="preserve">ReqRect</t>
  </si>
  <si>
    <t xml:space="preserve">ActCap (A)</t>
  </si>
  <si>
    <t xml:space="preserve">SwitchOn</t>
  </si>
  <si>
    <t xml:space="preserve">SwitchOff</t>
  </si>
  <si>
    <t xml:space="preserve">MinRedundancy (%)</t>
  </si>
  <si>
    <t xml:space="preserve">MaxRedundancy (%)</t>
  </si>
  <si>
    <t xml:space="preserve">Load (A)</t>
  </si>
  <si>
    <t xml:space="preserve">Physical Rectifier Count</t>
  </si>
  <si>
    <t xml:space="preserve">Load per Rectifier (A)</t>
  </si>
  <si>
    <t xml:space="preserve">Power Output Per Rectifier (W)</t>
  </si>
  <si>
    <t xml:space="preserve">NetSure Rectifier Effiency (%)</t>
  </si>
  <si>
    <t xml:space="preserve">Total Load on Building (kW)</t>
  </si>
  <si>
    <t xml:space="preserve">NetSure (with ECO) Theoretical Best (kW)</t>
  </si>
  <si>
    <t xml:space="preserve">NetSure Delta (kW) - With ECO</t>
  </si>
  <si>
    <t xml:space="preserve">NetSure (With ECO) Financial Saving</t>
  </si>
  <si>
    <t xml:space="preserve">eSure Rectifier Efficency (%) -No ECO</t>
  </si>
  <si>
    <t xml:space="preserve">eSure Load on building (kW) - No Eco</t>
  </si>
  <si>
    <t xml:space="preserve">NetSure to eSure Delta (kW) - No ECO</t>
  </si>
  <si>
    <t xml:space="preserve">eSure (no ECO) Financial Saving</t>
  </si>
  <si>
    <t xml:space="preserve">eSure Theoretical Best (kW)</t>
  </si>
  <si>
    <t xml:space="preserve">NetSure to eSure Delta (kW) - With ECO</t>
  </si>
  <si>
    <t xml:space="preserve">eSure (with ECO) Financial Saving</t>
  </si>
  <si>
    <r>
      <rPr>
        <sz val="8"/>
        <rFont val="Arial"/>
        <family val="0"/>
        <charset val="1"/>
      </rPr>
      <t xml:space="preserve">Vout</t>
    </r>
    <r>
      <rPr>
        <sz val="8"/>
        <rFont val="Noto Sans CJK SC"/>
        <family val="2"/>
      </rPr>
      <t xml:space="preserve">（</t>
    </r>
    <r>
      <rPr>
        <sz val="8"/>
        <rFont val="Arial"/>
        <family val="0"/>
        <charset val="1"/>
      </rPr>
      <t xml:space="preserve">V)</t>
    </r>
  </si>
  <si>
    <t xml:space="preserve">Iout(A)</t>
  </si>
  <si>
    <t xml:space="preserve">Pin(W)</t>
  </si>
  <si>
    <t xml:space="preserve">Pout(W)</t>
  </si>
  <si>
    <t xml:space="preserve">Efficiency(%)</t>
  </si>
  <si>
    <t xml:space="preserve">Electrical unit Price (pkWh)</t>
  </si>
  <si>
    <t xml:space="preserve">Type A (NetSure with ECO)</t>
  </si>
  <si>
    <t xml:space="preserve">Theoretical best (kW)</t>
  </si>
  <si>
    <t xml:space="preserve">Delta (kW)</t>
  </si>
  <si>
    <t xml:space="preserve">Financial Saving</t>
  </si>
  <si>
    <t xml:space="preserve">Type A (eSure with ECO)</t>
  </si>
  <si>
    <t xml:space="preserve">Type A (eSure without ECO)</t>
  </si>
  <si>
    <t xml:space="preserve">kWh Saving</t>
  </si>
  <si>
    <t xml:space="preserve">Totals</t>
  </si>
  <si>
    <t xml:space="preserve">Completed under MTX FY13/14</t>
  </si>
  <si>
    <t xml:space="preserve">Saving with ECO only on eSure</t>
  </si>
  <si>
    <t xml:space="preserve">eSure (with ECO) Theoretical Best (kW)</t>
  </si>
  <si>
    <t xml:space="preserve">eSure Delta (kW) - With ECO</t>
  </si>
  <si>
    <t xml:space="preserve">eSure (With ECO) Financial Saving</t>
  </si>
  <si>
    <t xml:space="preserve">Pout (W)</t>
  </si>
  <si>
    <t xml:space="preserve">Effiency (%)</t>
  </si>
  <si>
    <t xml:space="preserve">Site kW</t>
  </si>
  <si>
    <t xml:space="preserve">Forecast +Current</t>
  </si>
  <si>
    <t xml:space="preserve">PEALD</t>
  </si>
  <si>
    <t xml:space="preserve">PEBLD</t>
  </si>
  <si>
    <t xml:space="preserve">PECLD</t>
  </si>
  <si>
    <t xml:space="preserve">PEDLD</t>
  </si>
  <si>
    <t xml:space="preserve">PEELD</t>
  </si>
  <si>
    <t xml:space="preserve">PEFLD</t>
  </si>
  <si>
    <t xml:space="preserve">System Load May (A)</t>
  </si>
  <si>
    <t xml:space="preserve">System Load May (kW)</t>
  </si>
  <si>
    <t xml:space="preserve">Load per inverter</t>
  </si>
  <si>
    <t xml:space="preserve">IC7LD</t>
  </si>
  <si>
    <t xml:space="preserve">IC8LD</t>
  </si>
  <si>
    <t xml:space="preserve">IC9LD</t>
  </si>
  <si>
    <t xml:space="preserve">IC10LD</t>
  </si>
  <si>
    <t xml:space="preserve">Inverter Load on Plant</t>
  </si>
  <si>
    <t xml:space="preserve">Revised Plant Load</t>
  </si>
  <si>
    <t xml:space="preserve">Number of ccts on plant</t>
  </si>
  <si>
    <t xml:space="preserve">TSI Load</t>
  </si>
  <si>
    <t xml:space="preserve">Plant Total with TSI</t>
  </si>
  <si>
    <t xml:space="preserve">Delta</t>
  </si>
  <si>
    <t xml:space="preserve">Total Load (kW)</t>
  </si>
  <si>
    <t xml:space="preserve">Load Per Module (A)</t>
  </si>
  <si>
    <t xml:space="preserve">Max load per module </t>
  </si>
  <si>
    <t xml:space="preserve">PEAGL</t>
  </si>
  <si>
    <t xml:space="preserve">PEBGL</t>
  </si>
  <si>
    <t xml:space="preserve">PECGL</t>
  </si>
  <si>
    <t xml:space="preserve">PEDGL</t>
  </si>
  <si>
    <t xml:space="preserve">PEEGL</t>
  </si>
  <si>
    <t xml:space="preserve">PEFGL</t>
  </si>
  <si>
    <t xml:space="preserve">IC9GL</t>
  </si>
  <si>
    <t xml:space="preserve">IC10GL</t>
  </si>
  <si>
    <t xml:space="preserve">IC11GL</t>
  </si>
  <si>
    <t xml:space="preserve">IC12GL</t>
  </si>
  <si>
    <t xml:space="preserve">Max load per module</t>
  </si>
  <si>
    <t xml:space="preserve">IC6MS</t>
  </si>
  <si>
    <t xml:space="preserve">IC7MS</t>
  </si>
  <si>
    <t xml:space="preserve">IC8MS</t>
  </si>
  <si>
    <t xml:space="preserve">IC10BE</t>
  </si>
  <si>
    <t xml:space="preserve">IC11BE</t>
  </si>
  <si>
    <t xml:space="preserve">IC12BE</t>
  </si>
  <si>
    <t xml:space="preserve">IC13BE</t>
  </si>
  <si>
    <t xml:space="preserve">IC14BE</t>
  </si>
  <si>
    <t xml:space="preserve">IC31aBe</t>
  </si>
  <si>
    <t xml:space="preserve">Building Load (kW)</t>
  </si>
  <si>
    <t xml:space="preserve">Building Load Correction (from BMS)</t>
  </si>
  <si>
    <t xml:space="preserve">PUE</t>
  </si>
  <si>
    <t xml:space="preserve">Jan PUE</t>
  </si>
  <si>
    <t xml:space="preserve">Feb PUE</t>
  </si>
  <si>
    <t xml:space="preserve">Mar PUE</t>
  </si>
  <si>
    <t xml:space="preserve">Apr PUE</t>
  </si>
  <si>
    <t xml:space="preserve">May PUE</t>
  </si>
  <si>
    <t xml:space="preserve">June PUE</t>
  </si>
  <si>
    <t xml:space="preserve">July PUE</t>
  </si>
  <si>
    <t xml:space="preserve">Aug PUE</t>
  </si>
  <si>
    <t xml:space="preserve">Sep PUE</t>
  </si>
  <si>
    <t xml:space="preserve">Was no correction</t>
  </si>
  <si>
    <t xml:space="preserve">Correction was 5</t>
  </si>
  <si>
    <t xml:space="preserve">1.40</t>
  </si>
  <si>
    <t xml:space="preserve">1.50</t>
  </si>
  <si>
    <t xml:space="preserve">Correction was 40</t>
  </si>
  <si>
    <t xml:space="preserve">Same</t>
  </si>
  <si>
    <t xml:space="preserve">1.80</t>
  </si>
  <si>
    <t xml:space="preserve">Updated correction figs as of 24/07/13</t>
  </si>
  <si>
    <t xml:space="preserve">Air flow mgmt completed</t>
  </si>
  <si>
    <t xml:space="preserve">Free air cooling completed</t>
  </si>
  <si>
    <t xml:space="preserve">GRAPHING FIGS</t>
  </si>
  <si>
    <t xml:space="preserve">July 16 PUE</t>
  </si>
  <si>
    <t xml:space="preserve">July 17 PUE</t>
  </si>
  <si>
    <t xml:space="preserve">For latest PUE figs, from Sept 2017, see \team\Team Presentations\PUE Presentations 2017</t>
  </si>
  <si>
    <t xml:space="preserve">Building load</t>
  </si>
  <si>
    <t xml:space="preserve">A</t>
  </si>
  <si>
    <t xml:space="preserve">Side A</t>
  </si>
  <si>
    <t xml:space="preserve">Jun PUE</t>
  </si>
  <si>
    <t xml:space="preserve">Jul PUE</t>
  </si>
  <si>
    <t xml:space="preserve">Oct PUE</t>
  </si>
  <si>
    <t xml:space="preserve">Nov PUE</t>
  </si>
  <si>
    <t xml:space="preserve">Dec PUE</t>
  </si>
  <si>
    <t xml:space="preserve">Side B</t>
  </si>
  <si>
    <t xml:space="preserve">March PUE</t>
  </si>
  <si>
    <t xml:space="preserve">April PUE</t>
  </si>
  <si>
    <t xml:space="preserve">Building Load Correction (do not modify)</t>
  </si>
  <si>
    <t xml:space="preserve">Branch</t>
  </si>
  <si>
    <t xml:space="preserve">Asset Description</t>
  </si>
  <si>
    <t xml:space="preserve">BG_SITE</t>
  </si>
  <si>
    <t xml:space="preserve">Ref Type</t>
  </si>
  <si>
    <t xml:space="preserve">C1CKG</t>
  </si>
  <si>
    <t xml:space="preserve">C2CKG</t>
  </si>
  <si>
    <t xml:space="preserve">C3CKG</t>
  </si>
  <si>
    <t xml:space="preserve">VF-112774</t>
  </si>
  <si>
    <t xml:space="preserve">MESS ROOM AHU</t>
  </si>
  <si>
    <t xml:space="preserve">CONTROL ROOM AHU 8</t>
  </si>
  <si>
    <t xml:space="preserve">CONTROL ROOM AHU 9</t>
  </si>
  <si>
    <t xml:space="preserve">WM</t>
  </si>
  <si>
    <t xml:space="preserve">vf502555</t>
  </si>
  <si>
    <t xml:space="preserve">LV SWITCH ROOM UNIT 3</t>
  </si>
  <si>
    <t xml:space="preserve">DXACU</t>
  </si>
  <si>
    <t xml:space="preserve">VF530072</t>
  </si>
  <si>
    <t xml:space="preserve">AHU LV PLANT ROOM A</t>
  </si>
  <si>
    <t xml:space="preserve">R32</t>
  </si>
  <si>
    <t xml:space="preserve">VF530071</t>
  </si>
  <si>
    <t xml:space="preserve">AHU LV PLANT ROOM B</t>
  </si>
  <si>
    <t xml:space="preserve">VF503745</t>
  </si>
  <si>
    <t xml:space="preserve">AIR HANDLING UNIT SMALL SPLIT</t>
  </si>
  <si>
    <t xml:space="preserve">VF511512</t>
  </si>
  <si>
    <t xml:space="preserve">AIR HANDLING UNIT MULTI SPLIT</t>
  </si>
  <si>
    <t xml:space="preserve">VF507198</t>
  </si>
  <si>
    <t xml:space="preserve">EMERSON FREE COOLING CHILLER 5</t>
  </si>
  <si>
    <t xml:space="preserve">VF507197</t>
  </si>
  <si>
    <t xml:space="preserve">EMERSON FREE OUTDOOR CHILLER 4</t>
  </si>
  <si>
    <t xml:space="preserve">VF515004</t>
  </si>
  <si>
    <t xml:space="preserve">EMERSON FREE COOLING UNIT CHILLER 3</t>
  </si>
  <si>
    <t xml:space="preserve">EMERSON FREE COOLING CHILLER 2</t>
  </si>
  <si>
    <t xml:space="preserve">vf-999997</t>
  </si>
  <si>
    <t xml:space="preserve">EMERSON FREE COOLING UNIT CHILLER 1</t>
  </si>
  <si>
    <t xml:space="preserve">VF502607</t>
  </si>
  <si>
    <t xml:space="preserve">EMERSON FREE COOLING  UNIT CHILLER 9</t>
  </si>
  <si>
    <t xml:space="preserve">VF502614</t>
  </si>
  <si>
    <t xml:space="preserve">EMERSON FREE COOLING UNIT CHILLER 8</t>
  </si>
  <si>
    <t xml:space="preserve">VF502612</t>
  </si>
  <si>
    <t xml:space="preserve">EMERSON FREE COOLING  UNIT CHILLER 7</t>
  </si>
  <si>
    <t xml:space="preserve">VF507199</t>
  </si>
  <si>
    <t xml:space="preserve">EMERSON FREE COOLING UNIT CHILLER 6</t>
  </si>
  <si>
    <t xml:space="preserve">VF502613</t>
  </si>
  <si>
    <t xml:space="preserve">EMERSON FREE COOLING  UNIT CHILLER 10</t>
  </si>
  <si>
    <t xml:space="preserve">EM</t>
  </si>
  <si>
    <t xml:space="preserve">R32 </t>
  </si>
  <si>
    <t xml:space="preserve">VF502560</t>
  </si>
  <si>
    <t xml:space="preserve">LV SWITCH ROOM UNIT 1 </t>
  </si>
  <si>
    <t xml:space="preserve">VF502557</t>
  </si>
  <si>
    <t xml:space="preserve">LV SWITCH ROOM UNIT 2</t>
  </si>
  <si>
    <t xml:space="preserve">A/C UNIT</t>
  </si>
  <si>
    <t xml:space="preserve">VF535099</t>
  </si>
  <si>
    <t xml:space="preserve">SPLIT AC ENGINEERS OFFICE</t>
  </si>
  <si>
    <t xml:space="preserve">VF535100</t>
  </si>
  <si>
    <t xml:space="preserve">AIR HANDLING UNIT AC </t>
  </si>
  <si>
    <t xml:space="preserve">LIEBERT UNIT NO 1</t>
  </si>
  <si>
    <t xml:space="preserve">LIEBERT UNIT NO 2</t>
  </si>
  <si>
    <t xml:space="preserve">LIEBERT UNIT NO 4</t>
  </si>
  <si>
    <t xml:space="preserve">LIEBERT UNIT NO 3</t>
  </si>
  <si>
    <t xml:space="preserve">TOSHIBA IN COMMS ROOM</t>
  </si>
  <si>
    <t xml:space="preserve">AIR HANDLING UNIT SECURITY OFFICE</t>
  </si>
  <si>
    <t xml:space="preserve">R417A</t>
  </si>
  <si>
    <t xml:space="preserve">LS</t>
  </si>
  <si>
    <t xml:space="preserve">AIR HANDLING UNIT 1</t>
  </si>
  <si>
    <t xml:space="preserve">AIR HANDLING UNIT 2</t>
  </si>
  <si>
    <t xml:space="preserve">AHU SUPPLY - OFFICE</t>
  </si>
  <si>
    <t xml:space="preserve">VF532028</t>
  </si>
  <si>
    <t xml:space="preserve">AC UNITS 7 OFFICES OUTDOOR UNIT</t>
  </si>
  <si>
    <t xml:space="preserve">VF532026</t>
  </si>
  <si>
    <t xml:space="preserve">CONDENSER 2 FED FROM AHU2</t>
  </si>
  <si>
    <t xml:space="preserve">CW-982787</t>
  </si>
  <si>
    <t xml:space="preserve">AIR HANDLING UNIT 3</t>
  </si>
  <si>
    <t xml:space="preserve">CW-982789</t>
  </si>
  <si>
    <t xml:space="preserve">AIR HANDLING UNIT 4</t>
  </si>
  <si>
    <t xml:space="preserve">CW-982791</t>
  </si>
  <si>
    <t xml:space="preserve">AIR HANDLING UNIT 5</t>
  </si>
  <si>
    <t xml:space="preserve">CW-982785</t>
  </si>
  <si>
    <t xml:space="preserve">VF532018</t>
  </si>
  <si>
    <t xml:space="preserve">ACU 7A SPLIT INDOOR UNIT</t>
  </si>
  <si>
    <t xml:space="preserve">VF532017</t>
  </si>
  <si>
    <t xml:space="preserve">AHU 7B SPLIT INDOOR UNIT</t>
  </si>
  <si>
    <t xml:space="preserve">VF532016</t>
  </si>
  <si>
    <t xml:space="preserve">ACU 7C Split Indoor unit</t>
  </si>
  <si>
    <t xml:space="preserve">VF532015</t>
  </si>
  <si>
    <t xml:space="preserve">ACU 7D Indoor unit</t>
  </si>
  <si>
    <t xml:space="preserve">UNIT 1</t>
  </si>
  <si>
    <t xml:space="preserve">UNIT 2</t>
  </si>
  <si>
    <t xml:space="preserve">UNIT 3</t>
  </si>
  <si>
    <t xml:space="preserve">UNIT 5</t>
  </si>
  <si>
    <t xml:space="preserve">UNIT 4</t>
  </si>
  <si>
    <t xml:space="preserve">UNIT 6</t>
  </si>
  <si>
    <t xml:space="preserve">UNIT 7</t>
  </si>
  <si>
    <t xml:space="preserve">SECURITY OFFICE AC</t>
  </si>
  <si>
    <t xml:space="preserve">(OXFMTX) LIEBERT UNIT NO 14</t>
  </si>
  <si>
    <t xml:space="preserve">LIEBERT UNIT NO 2 AHU</t>
  </si>
  <si>
    <t xml:space="preserve">LIEBERT UNIT NO 3 AHU</t>
  </si>
  <si>
    <t xml:space="preserve">LIEBERT UNIT NO 5</t>
  </si>
  <si>
    <t xml:space="preserve">LIEBERT UNIT AHU 1</t>
  </si>
  <si>
    <t xml:space="preserve">CONTROL ROOM MULTI SPLIT</t>
  </si>
  <si>
    <t xml:space="preserve">VF5300061</t>
  </si>
  <si>
    <t xml:space="preserve">VF530610</t>
  </si>
  <si>
    <t xml:space="preserve">OUTSIDE</t>
  </si>
  <si>
    <t xml:space="preserve">VF525733</t>
  </si>
  <si>
    <t xml:space="preserve">LIEBERT UNIT NO 7</t>
  </si>
  <si>
    <t xml:space="preserve">VF525732</t>
  </si>
  <si>
    <t xml:space="preserve">LIEBERT UNIT NO 8</t>
  </si>
  <si>
    <t xml:space="preserve">VF525734</t>
  </si>
  <si>
    <t xml:space="preserve">LIEBERT UNIT NO 9</t>
  </si>
  <si>
    <t xml:space="preserve">VF50414</t>
  </si>
  <si>
    <t xml:space="preserve">LIEBERT UNIT NO 3 CHILLER</t>
  </si>
  <si>
    <t xml:space="preserve">VF523339</t>
  </si>
  <si>
    <t xml:space="preserve">AIR HANDLING UNIT NO.1</t>
  </si>
  <si>
    <t xml:space="preserve">VF523340</t>
  </si>
  <si>
    <t xml:space="preserve">AIR HANDLING UNIT NO.2</t>
  </si>
  <si>
    <t xml:space="preserve">VF523341</t>
  </si>
  <si>
    <t xml:space="preserve">AIR HANDLING UNIT NO.3</t>
  </si>
  <si>
    <t xml:space="preserve">LN</t>
  </si>
  <si>
    <t xml:space="preserve">SECURITY OFFICE SPLIT A/C UNIT</t>
  </si>
  <si>
    <t xml:space="preserve">AIR HANDLING UNIT F1</t>
  </si>
  <si>
    <t xml:space="preserve">AIR HANDLING UNIT F2</t>
  </si>
  <si>
    <t xml:space="preserve">AIR HANDLING UNIT F3</t>
  </si>
  <si>
    <t xml:space="preserve">AIR HANDLING UNIT F4</t>
  </si>
  <si>
    <t xml:space="preserve">AIR HANDLING UNIT S1</t>
  </si>
  <si>
    <t xml:space="preserve">AIR HANDLING UNIT S2</t>
  </si>
  <si>
    <t xml:space="preserve">AIR HANDLING UNIT S3</t>
  </si>
  <si>
    <t xml:space="preserve">AIR HANDLING UNIT S4</t>
  </si>
  <si>
    <t xml:space="preserve">AIR HANDLING UNIT T1</t>
  </si>
  <si>
    <t xml:space="preserve">AIR HANDLING UNIT T4</t>
  </si>
  <si>
    <t xml:space="preserve">AIR HANDLING UNIT T2</t>
  </si>
  <si>
    <t xml:space="preserve">AIR HANDLING UNIT T3</t>
  </si>
  <si>
    <t xml:space="preserve">VF500239</t>
  </si>
  <si>
    <t xml:space="preserve">VF500240</t>
  </si>
  <si>
    <t xml:space="preserve">DX AIR CONDITIONING SYSTEM - Security Office</t>
  </si>
  <si>
    <t xml:space="preserve">DX AIR CONDITIONING SYSTEM - Camera Room (Next to Security room)</t>
  </si>
  <si>
    <t xml:space="preserve">DX AIR CONDITIONING SYSTEM - Control Room No.1</t>
  </si>
  <si>
    <t xml:space="preserve">DX AIR CONDITIONING SYSTEM - Control Room No.2</t>
  </si>
  <si>
    <t xml:space="preserve">DX AIR CONDITIONING SYSTEM - Small Comms Room No.1</t>
  </si>
  <si>
    <t xml:space="preserve">DX AIR CONDITIONING SYSTEM - Small Comms Room No.2</t>
  </si>
  <si>
    <t xml:space="preserve">DX AIR CONDITIONING SYSTEM - Conference Room</t>
  </si>
  <si>
    <t xml:space="preserve">DX AIR CONDITIONING SYSTEM - Small Meeting Room No.1</t>
  </si>
  <si>
    <t xml:space="preserve">DX AIR CONDITIONING SYSTEM - Small Meeting Room No.2</t>
  </si>
  <si>
    <t xml:space="preserve">DX AIR CONDITIONING SYSTEM - Property Store Room</t>
  </si>
  <si>
    <t xml:space="preserve">DX AIR CONDITIONING SYSTEM - Mess Room</t>
  </si>
  <si>
    <t xml:space="preserve">CHILLER NO.7</t>
  </si>
  <si>
    <t xml:space="preserve">Outside</t>
  </si>
  <si>
    <t xml:space="preserve">CHILLER NO.1</t>
  </si>
  <si>
    <t xml:space="preserve">CHILLER NO.2</t>
  </si>
  <si>
    <t xml:space="preserve">CHILLER NO.3</t>
  </si>
  <si>
    <t xml:space="preserve">CHILLER NO.4</t>
  </si>
  <si>
    <t xml:space="preserve">CHILLER NO.5</t>
  </si>
  <si>
    <t xml:space="preserve">CHILLER NO.6</t>
  </si>
  <si>
    <t xml:space="preserve">CHILLER NO.8</t>
  </si>
  <si>
    <t xml:space="preserve">VF523026</t>
  </si>
  <si>
    <t xml:space="preserve">Air Conditioning Unit No.1, Mains Switch Room</t>
  </si>
  <si>
    <t xml:space="preserve">Main ROOM</t>
  </si>
  <si>
    <t xml:space="preserve">VF523025</t>
  </si>
  <si>
    <t xml:space="preserve">Air Conditioning Unit No.2, Mains Switch Room</t>
  </si>
  <si>
    <t xml:space="preserve">VF523322</t>
  </si>
  <si>
    <t xml:space="preserve">Air Conditioning Unit No. 1, VBSE Comms Room</t>
  </si>
  <si>
    <t xml:space="preserve">VBS ROOM</t>
  </si>
  <si>
    <t xml:space="preserve">VF523323</t>
  </si>
  <si>
    <t xml:space="preserve">Air Conditioning Unit No. 2, VBSE Comms Room</t>
  </si>
  <si>
    <t xml:space="preserve">VF523324</t>
  </si>
  <si>
    <t xml:space="preserve">Comfort Cooling VBSE Office</t>
  </si>
  <si>
    <t xml:space="preserve">OFFICE</t>
  </si>
  <si>
    <t xml:space="preserve">VF-121093</t>
  </si>
  <si>
    <t xml:space="preserve">CONTROL ROOM &amp; SECURITY OFFICE A/C</t>
  </si>
  <si>
    <t xml:space="preserve">VF 502080</t>
  </si>
  <si>
    <t xml:space="preserve">VF 502184</t>
  </si>
  <si>
    <t xml:space="preserve">VF530074</t>
  </si>
  <si>
    <t xml:space="preserve">LV SWITCHROOM AC ONE</t>
  </si>
  <si>
    <t xml:space="preserve">VF530075</t>
  </si>
  <si>
    <t xml:space="preserve">LV SWITCHROOM AC TWO</t>
  </si>
  <si>
    <t xml:space="preserve">Comp Rm ahu3</t>
  </si>
  <si>
    <t xml:space="preserve">Comp Rm ahu2</t>
  </si>
  <si>
    <t xml:space="preserve">Comp Rm ahu1</t>
  </si>
  <si>
    <t xml:space="preserve">AIR HANDLING UNIT</t>
  </si>
  <si>
    <t xml:space="preserve">AIREDALE CHILLER</t>
  </si>
  <si>
    <t xml:space="preserve">AIREDALE BLUCUBE AHU 2</t>
  </si>
  <si>
    <t xml:space="preserve">AIREDALE BLUCUBE AHU 1</t>
  </si>
  <si>
    <t xml:space="preserve">TEST LAB UNIT 2</t>
  </si>
  <si>
    <t xml:space="preserve">VF-524930</t>
  </si>
  <si>
    <t xml:space="preserve">VAX ROOM AHU</t>
  </si>
  <si>
    <t xml:space="preserve">VF501525</t>
  </si>
  <si>
    <t xml:space="preserve">VF501524</t>
  </si>
  <si>
    <t xml:space="preserve">VF501523</t>
  </si>
  <si>
    <t xml:space="preserve">AHU 01</t>
  </si>
  <si>
    <t xml:space="preserve">AHU 02</t>
  </si>
  <si>
    <t xml:space="preserve">AHU 03</t>
  </si>
  <si>
    <t xml:space="preserve">AHU 04</t>
  </si>
  <si>
    <t xml:space="preserve">AHU 05</t>
  </si>
  <si>
    <t xml:space="preserve">AHU 06</t>
  </si>
  <si>
    <t xml:space="preserve">VF504003</t>
  </si>
  <si>
    <t xml:space="preserve">AIR HANDLING UNIT 1 MAIN SYSTEM</t>
  </si>
  <si>
    <t xml:space="preserve">LIEBERT DX INDOOR UNIT 5</t>
  </si>
  <si>
    <t xml:space="preserve">CHILLER 10</t>
  </si>
  <si>
    <t xml:space="preserve">VF530060</t>
  </si>
  <si>
    <t xml:space="preserve">VF502280</t>
  </si>
  <si>
    <t xml:space="preserve">AC SYSTEM 1</t>
  </si>
  <si>
    <t xml:space="preserve">VF502281</t>
  </si>
  <si>
    <t xml:space="preserve">AC SYSTEM 2</t>
  </si>
  <si>
    <t xml:space="preserve">VF502282</t>
  </si>
  <si>
    <t xml:space="preserve">AC SYSTEM 3</t>
  </si>
  <si>
    <t xml:space="preserve">VF503735</t>
  </si>
  <si>
    <t xml:space="preserve">OXFMTX1 CHILLER1</t>
  </si>
  <si>
    <t xml:space="preserve">VF503736</t>
  </si>
  <si>
    <t xml:space="preserve">(OXFMTX) EMERSON FREE COOLING  UNIT CHILLER 2</t>
  </si>
  <si>
    <t xml:space="preserve">VF503737</t>
  </si>
  <si>
    <t xml:space="preserve">(OXFMTX) EMERSON FREE COOLING  UNIT CHILLER 3</t>
  </si>
  <si>
    <t xml:space="preserve">(OXFMTX) LIEBERT UNIT NO 4</t>
  </si>
  <si>
    <t xml:space="preserve">(OXFMTX) LIEBERT UNIT NO 5</t>
  </si>
  <si>
    <t xml:space="preserve">(OXFMTX) LIEBERT UNIT NO 6</t>
  </si>
  <si>
    <t xml:space="preserve">(OXFMTX) LIEBERT UNIT NO 13</t>
  </si>
  <si>
    <t xml:space="preserve">RS44</t>
  </si>
  <si>
    <t xml:space="preserve">VF514585</t>
  </si>
  <si>
    <t xml:space="preserve">COMMS ROOM SPLIT</t>
  </si>
  <si>
    <t xml:space="preserve">VF501509</t>
  </si>
  <si>
    <t xml:space="preserve">VF521743</t>
  </si>
  <si>
    <t xml:space="preserve">AHU.A.LV.SWRM</t>
  </si>
  <si>
    <t xml:space="preserve">VF521744</t>
  </si>
  <si>
    <t xml:space="preserve">AHU.B.LV.SWRM</t>
  </si>
  <si>
    <t xml:space="preserve">VF520177</t>
  </si>
  <si>
    <t xml:space="preserve">VF520178</t>
  </si>
  <si>
    <t xml:space="preserve">VF520179</t>
  </si>
  <si>
    <t xml:space="preserve">VF520180</t>
  </si>
  <si>
    <t xml:space="preserve">VF520181</t>
  </si>
  <si>
    <t xml:space="preserve">VF520182</t>
  </si>
  <si>
    <t xml:space="preserve">AC N02</t>
  </si>
  <si>
    <t xml:space="preserve">AC N03</t>
  </si>
  <si>
    <t xml:space="preserve">AC N01</t>
  </si>
  <si>
    <t xml:space="preserve">VF521745</t>
  </si>
  <si>
    <t xml:space="preserve">Air Source Heat Pump</t>
  </si>
  <si>
    <t xml:space="preserve">VF521746</t>
  </si>
  <si>
    <t xml:space="preserve">Offic Air Con</t>
  </si>
  <si>
    <t xml:space="preserve">Office</t>
  </si>
  <si>
    <t xml:space="preserve">NIR Date</t>
  </si>
  <si>
    <t xml:space="preserve">Plant(s)/Site(s)</t>
  </si>
  <si>
    <t xml:space="preserve">VFPTSP/ORMT no</t>
  </si>
  <si>
    <t xml:space="preserve">XLD &amp; XMS</t>
  </si>
  <si>
    <t xml:space="preserve">Request for 5A AC rejected at XLD and XMS due to a no of DC plants being at &gt;90%, XBE approved as decomms planned for PEFBE</t>
  </si>
  <si>
    <t xml:space="preserve">XGL &amp; XOM</t>
  </si>
  <si>
    <t xml:space="preserve">Request for M-PE expansion, plants not yet at &lt;90%. Rejected due to prospective power requirement from NFV for next FY. Project to be asked for alternative site options  </t>
  </si>
  <si>
    <t xml:space="preserve">XMS and XEH</t>
  </si>
  <si>
    <t xml:space="preserve">XEH rejected due to power plants at capacity, XMS on hold pending investigation into why increase of approx 40A on PEDMS (may be due to possible PECMS controller failure) and possible power downs on PEDMS</t>
  </si>
  <si>
    <t xml:space="preserve">Request for x2 ISNG probes for 5G probing into empty Geoprobe cab 4 approved (10A per plant) as unlikely the RMS allocations of 206-230A on A,B and C are going to reach that</t>
  </si>
  <si>
    <t xml:space="preserve">22027 &amp; 22010</t>
  </si>
  <si>
    <t xml:space="preserve">Request for VoiP Future probes and Secure Net blades approved as 7A allocation doesn't alter the 92% load (inc forecast and res'd figs, running load 83%) for PEDMS. NFV res'd load for PEDMS to be checked and DGWMS4 (on D and F) to be powered off in new year</t>
  </si>
  <si>
    <t xml:space="preserve">Request for NFV C7000 enclosures to be powered on approved on PEIBE (running load 78%, forecast &amp; res'd takes it to 90%) as DSR to be powered off in new year (on E &amp; I)</t>
  </si>
  <si>
    <t xml:space="preserve">Request for x11 RMS servers and switches, Allaister reported that Andy had approval from Lee which takes plants PECGR + PEDGR to 93%, site to 91% utilised</t>
  </si>
  <si>
    <t xml:space="preserve">XBE and XMS</t>
  </si>
  <si>
    <t xml:space="preserve">Request for NFV TSR approved as will be gettting back approx 7kW per plant when Gen 9s powered down, overall approx 10kW per site increase</t>
  </si>
  <si>
    <t xml:space="preserve">XBEand XMS</t>
  </si>
  <si>
    <t xml:space="preserve">Request for Fortinet servers approved as will be power returned at each site when TSRs installed and Gen 9s powered down</t>
  </si>
  <si>
    <t xml:space="preserve">23027 + 23028</t>
  </si>
  <si>
    <t xml:space="preserve">x4 ISNG probes required, apporved to go into Geoprobe Cab 5, remove 20A reserved NFV load from plants C,E and F, as it is for NFV probing. IPAR cab (AC powered) required for Security, approved due to large reserved load for NFV</t>
  </si>
  <si>
    <t xml:space="preserve">ORMT_SAP_240801_4_bm6</t>
  </si>
  <si>
    <t xml:space="preserve">x1 ISNG probe into Geoprobe cab 4, permission given by Lee</t>
  </si>
  <si>
    <t xml:space="preserve">(Allaister) x2 servers requested into AA CUR cab 3 (700W), 1.5A per side on IC31a/bBE, approved as current site running is 76% and NFV TSR installs will reduce loads</t>
  </si>
  <si>
    <t xml:space="preserve">(Allaister) x2 EX48200 Packet Captures into Geoprobe cab at XMS, 4A per device. Approved by Andy as small amount and a large allocated load at site.</t>
  </si>
  <si>
    <t xml:space="preserve">ORMT_SAP_241107_8_bm6</t>
  </si>
  <si>
    <t xml:space="preserve">(Allaister) x1 ISNG probe into XEH Geoprobe cab 4. Rejected by Andy as site at 95% capacity. (PECEH at 94% and PEEEH at 93%)</t>
  </si>
  <si>
    <t xml:space="preserve">XBE,XEH,XMS</t>
  </si>
  <si>
    <t xml:space="preserve">(Allaister) Gigamon installs at a no of sites, request from Corp Sec as regulatory requirement. XBE and XMS approve as have large NFV reserves and both have NFV TSR currently dual running. XEH approved as large NFV reserve load.</t>
  </si>
  <si>
    <t xml:space="preserve">ORMT_SAP_241010_7_10334046</t>
  </si>
  <si>
    <t xml:space="preserve">(Glen) Waverserver AI install, x2 cabs, approved but x2 feeds on PEAGR and x1 each on B and C to split allocation as plants above 90%</t>
  </si>
  <si>
    <t xml:space="preserve">Inverter system</t>
  </si>
  <si>
    <t xml:space="preserve">Inverter Numbering</t>
  </si>
  <si>
    <t xml:space="preserve">Comment</t>
  </si>
  <si>
    <t xml:space="preserve">Inv1</t>
  </si>
  <si>
    <t xml:space="preserve">Inv2</t>
  </si>
  <si>
    <t xml:space="preserve">Inv3</t>
  </si>
  <si>
    <t xml:space="preserve">Inv4</t>
  </si>
  <si>
    <t xml:space="preserve">Inv5</t>
  </si>
  <si>
    <t xml:space="preserve">Inv10</t>
  </si>
  <si>
    <t xml:space="preserve">Inv11</t>
  </si>
  <si>
    <t xml:space="preserve">Inv12</t>
  </si>
  <si>
    <t xml:space="preserve">Inv13</t>
  </si>
  <si>
    <t xml:space="preserve">Inv14</t>
  </si>
  <si>
    <t xml:space="preserve">Inv18</t>
  </si>
  <si>
    <t xml:space="preserve">Inv19</t>
  </si>
  <si>
    <t xml:space="preserve">Inv20</t>
  </si>
  <si>
    <t xml:space="preserve">Inv21</t>
  </si>
  <si>
    <t xml:space="preserve">Inv22</t>
  </si>
  <si>
    <t xml:space="preserve">Inv23</t>
  </si>
  <si>
    <t xml:space="preserve">Inv24</t>
  </si>
  <si>
    <t xml:space="preserve">Inv25</t>
  </si>
  <si>
    <t xml:space="preserve">Inv26</t>
  </si>
  <si>
    <t xml:space="preserve">Inv6</t>
  </si>
  <si>
    <t xml:space="preserve">Inv7</t>
  </si>
  <si>
    <t xml:space="preserve">Inv8</t>
  </si>
  <si>
    <t xml:space="preserve">Inv9</t>
  </si>
  <si>
    <t xml:space="preserve">Inv17</t>
  </si>
  <si>
    <t xml:space="preserve">DC switched off</t>
  </si>
  <si>
    <t xml:space="preserve">Inv15</t>
  </si>
  <si>
    <t xml:space="preserve">Inv16</t>
  </si>
  <si>
    <t xml:space="preserve">Inv27</t>
  </si>
  <si>
    <t xml:space="preserve">Inv28</t>
  </si>
  <si>
    <t xml:space="preserve">Inv29</t>
  </si>
  <si>
    <t xml:space="preserve">Inv30</t>
  </si>
  <si>
    <t xml:space="preserve">Inverter off</t>
  </si>
  <si>
    <t xml:space="preserve">DC Connected by not used</t>
  </si>
  <si>
    <t xml:space="preserve">Distributed DC feed</t>
  </si>
  <si>
    <t xml:space="preserve">Current details</t>
  </si>
  <si>
    <t xml:space="preserve">Room capablility (kW)</t>
  </si>
  <si>
    <t xml:space="preserve">Note each HAC is 150kW MAX cooling </t>
  </si>
  <si>
    <t xml:space="preserve">XGL001 </t>
  </si>
  <si>
    <t xml:space="preserve">AC iPDUs - limited to 150kW per grouped pair. Max total limited to UPS output of 600kW</t>
  </si>
  <si>
    <t xml:space="preserve">PDU %age RAG</t>
  </si>
  <si>
    <t xml:space="preserve">HAC1 
A 1 - 13 &amp; B 1 - 13 </t>
  </si>
  <si>
    <t xml:space="preserve">kW</t>
  </si>
  <si>
    <t xml:space="preserve">HAC2
A 18 - 30 &amp; B 18 - 30 </t>
  </si>
  <si>
    <t xml:space="preserve">PDU 1C</t>
  </si>
  <si>
    <t xml:space="preserve">PDU 1D</t>
  </si>
  <si>
    <t xml:space="preserve">PDU 2C</t>
  </si>
  <si>
    <t xml:space="preserve">PDU 2D</t>
  </si>
  <si>
    <t xml:space="preserve">PDU 3C</t>
  </si>
  <si>
    <t xml:space="preserve">PDU3D </t>
  </si>
  <si>
    <t xml:space="preserve">PDU 4C </t>
  </si>
  <si>
    <t xml:space="preserve">PDU 4D </t>
  </si>
  <si>
    <t xml:space="preserve">PDU 6C </t>
  </si>
  <si>
    <t xml:space="preserve">PDU 6D </t>
  </si>
  <si>
    <t xml:space="preserve">PDU 8C </t>
  </si>
  <si>
    <t xml:space="preserve">PDU 8D</t>
  </si>
  <si>
    <t xml:space="preserve">%age</t>
  </si>
  <si>
    <t xml:space="preserve">Bottom Figure</t>
  </si>
  <si>
    <t xml:space="preserve">Top Figure</t>
  </si>
  <si>
    <t xml:space="preserve">POD601 - 604</t>
  </si>
  <si>
    <t xml:space="preserve">Util 01</t>
  </si>
  <si>
    <t xml:space="preserve">Amps Allocated </t>
  </si>
  <si>
    <t xml:space="preserve">POD401 - 405</t>
  </si>
  <si>
    <t xml:space="preserve">Util 02</t>
  </si>
  <si>
    <t xml:space="preserve">kW Allocated </t>
  </si>
  <si>
    <t xml:space="preserve">Dell Store 101 </t>
  </si>
  <si>
    <t xml:space="preserve">Total </t>
  </si>
  <si>
    <t xml:space="preserve">POD101 - 105</t>
  </si>
  <si>
    <t xml:space="preserve">PER Phase Allocated </t>
  </si>
  <si>
    <t xml:space="preserve">POD 701 - 704</t>
  </si>
  <si>
    <t xml:space="preserve">POD 701 - 703</t>
  </si>
  <si>
    <t xml:space="preserve">POD201 - 205</t>
  </si>
  <si>
    <t xml:space="preserve">L1</t>
  </si>
  <si>
    <t xml:space="preserve">New Total </t>
  </si>
  <si>
    <t xml:space="preserve">POD301 - 305</t>
  </si>
  <si>
    <t xml:space="preserve">L2</t>
  </si>
  <si>
    <t xml:space="preserve">L3</t>
  </si>
  <si>
    <t xml:space="preserve">HAC 3
C 1- 13  &amp; D 1 - 13 </t>
  </si>
  <si>
    <t xml:space="preserve">POD704</t>
  </si>
  <si>
    <t xml:space="preserve">Amps Measured </t>
  </si>
  <si>
    <t xml:space="preserve">POD801 - 804</t>
  </si>
  <si>
    <t xml:space="preserve">kW Measured  </t>
  </si>
  <si>
    <t xml:space="preserve">PER Phase Measured </t>
  </si>
  <si>
    <t xml:space="preserve">The AC supply has been intentionally limited to 220A/3-phase (c150kW) per iPDU
The room is designed to support 8no. 150kW HACs (each with a diverse pair of iPDUs)</t>
  </si>
  <si>
    <t xml:space="preserve">250kw modules installed</t>
  </si>
  <si>
    <t xml:space="preserve">N+1 (failover) (kW)</t>
  </si>
  <si>
    <t xml:space="preserve">Normal running (kW)</t>
  </si>
  <si>
    <t xml:space="preserve">UPS limit kW @ 90%</t>
  </si>
  <si>
    <t xml:space="preserve">UPS A</t>
  </si>
  <si>
    <t xml:space="preserve">UPS B</t>
  </si>
  <si>
    <t xml:space="preserve">Note the site capacity is limited to 600kW
</t>
  </si>
  <si>
    <t xml:space="preserve">Air Conditioning </t>
  </si>
  <si>
    <t xml:space="preserve">The Technology area currently supports cooling capacity of </t>
  </si>
  <si>
    <t xml:space="preserve">600kW</t>
  </si>
  <si>
    <t xml:space="preserve">Note each CAC is 250kW MAX cooling </t>
  </si>
  <si>
    <t xml:space="preserve">BKLN06 </t>
  </si>
  <si>
    <t xml:space="preserve">AC iPDUs - limited to 150kW per grouped pair. Max total limited to UPS output of 200kW</t>
  </si>
  <si>
    <t xml:space="preserve">CAC 1
A 1- 21  &amp; B 1 - 21 </t>
  </si>
  <si>
    <t xml:space="preserve">PDU 4C</t>
  </si>
  <si>
    <t xml:space="preserve">PDU 4D</t>
  </si>
  <si>
    <t xml:space="preserve">PDU 5C</t>
  </si>
  <si>
    <t xml:space="preserve">PDU 5D </t>
  </si>
  <si>
    <t xml:space="preserve">PDU6C</t>
  </si>
  <si>
    <t xml:space="preserve">PDU6D</t>
  </si>
  <si>
    <t xml:space="preserve">PDU7C</t>
  </si>
  <si>
    <t xml:space="preserve">PDU7D</t>
  </si>
  <si>
    <t xml:space="preserve">PDU 8C</t>
  </si>
  <si>
    <t xml:space="preserve">Totals </t>
  </si>
  <si>
    <t xml:space="preserve">POD301 - 304</t>
  </si>
  <si>
    <t xml:space="preserve">POD401 - 404</t>
  </si>
  <si>
    <t xml:space="preserve">POD501 - 504</t>
  </si>
  <si>
    <t xml:space="preserve">Total kW</t>
  </si>
  <si>
    <t xml:space="preserve">Amps Measured  </t>
  </si>
  <si>
    <t xml:space="preserve">CAC 2
C 1- 21  &amp; D 1 - 21 </t>
  </si>
  <si>
    <t xml:space="preserve">The AC supply has been intentionally limited to 220A/3-phase (c150kW) per iPDU
The room is designed to support 4no. 250kW CACs (each with a diverse pair of iPDUs)</t>
  </si>
  <si>
    <t xml:space="preserve">Note the site capacity is limited to 600kW
600kW upgrade ongoing </t>
  </si>
  <si>
    <t xml:space="preserve">Element Load (A) Dec 20</t>
  </si>
  <si>
    <t xml:space="preserve">Element Load (A) Jan 21</t>
  </si>
  <si>
    <t xml:space="preserve">Forcast (A)</t>
  </si>
  <si>
    <t xml:space="preserve">Total Forecast  (kW)</t>
  </si>
  <si>
    <t xml:space="preserve">Leeds TXO</t>
  </si>
  <si>
    <t xml:space="preserve">PEJLS</t>
  </si>
  <si>
    <t xml:space="preserve">PEKLS</t>
  </si>
  <si>
    <t xml:space="preserve">PEINY</t>
  </si>
  <si>
    <t xml:space="preserve">PEJNY</t>
  </si>
</sst>
</file>

<file path=xl/styles.xml><?xml version="1.0" encoding="utf-8"?>
<styleSheet xmlns="http://schemas.openxmlformats.org/spreadsheetml/2006/main">
  <numFmts count="27">
    <numFmt numFmtId="164" formatCode="0%"/>
    <numFmt numFmtId="165" formatCode="General"/>
    <numFmt numFmtId="166" formatCode="_-\£* #,##0.00_-;&quot;-£&quot;* #,##0.00_-;_-\£* \-??_-;_-@_-"/>
    <numFmt numFmtId="167" formatCode="0"/>
    <numFmt numFmtId="168" formatCode="[$-F800]dddd&quot;, &quot;mmmm\ dd&quot;, &quot;yyyy"/>
    <numFmt numFmtId="169" formatCode="0.00%"/>
    <numFmt numFmtId="170" formatCode="0.0&quot;kW&quot;"/>
    <numFmt numFmtId="171" formatCode="0.0"/>
    <numFmt numFmtId="172" formatCode="General"/>
    <numFmt numFmtId="173" formatCode="0.00"/>
    <numFmt numFmtId="174" formatCode="@"/>
    <numFmt numFmtId="175" formatCode="dd/mm/yy;@"/>
    <numFmt numFmtId="176" formatCode="0_ ;[RED]\-0\ "/>
    <numFmt numFmtId="177" formatCode="0.0_ ;[RED]\-0.0\ "/>
    <numFmt numFmtId="178" formatCode="0&quot;kW&quot;"/>
    <numFmt numFmtId="179" formatCode="mmm\-yy"/>
    <numFmt numFmtId="180" formatCode="\£#,##0.00"/>
    <numFmt numFmtId="181" formatCode="\£#,##0.00;&quot;-£&quot;#,##0.00"/>
    <numFmt numFmtId="182" formatCode="0.000"/>
    <numFmt numFmtId="183" formatCode="0;[RED]0"/>
    <numFmt numFmtId="184" formatCode="0.00_ "/>
    <numFmt numFmtId="185" formatCode="_-\£* #,##0.0000_-;&quot;-£&quot;* #,##0.0000_-;_-\£* \-????_-;_-@_-"/>
    <numFmt numFmtId="186" formatCode="#,##0_ ;\-#,##0\ "/>
    <numFmt numFmtId="187" formatCode="#,##0.00_ ;\-#,##0.00\ "/>
    <numFmt numFmtId="188" formatCode="0.00_ ;[RED]\-0.00\ "/>
    <numFmt numFmtId="189" formatCode="m/d/yyyy"/>
    <numFmt numFmtId="190" formatCode="0.0%"/>
  </numFmts>
  <fonts count="120">
    <font>
      <sz val="8"/>
      <name val="Arial"/>
      <family val="0"/>
      <charset val="1"/>
    </font>
    <font>
      <sz val="10"/>
      <name val="Arial"/>
      <family val="0"/>
    </font>
    <font>
      <sz val="10"/>
      <name val="Arial"/>
      <family val="0"/>
    </font>
    <font>
      <sz val="10"/>
      <name val="Arial"/>
      <family val="0"/>
    </font>
    <font>
      <sz val="10"/>
      <color rgb="FF000000"/>
      <name val="Arial"/>
      <family val="2"/>
      <charset val="1"/>
    </font>
    <font>
      <sz val="11"/>
      <color rgb="FF000000"/>
      <name val="Calibri"/>
      <family val="2"/>
      <charset val="1"/>
    </font>
    <font>
      <sz val="8"/>
      <name val="Arial"/>
      <family val="2"/>
      <charset val="1"/>
    </font>
    <font>
      <sz val="10"/>
      <name val="Vodafone Rg"/>
      <family val="2"/>
      <charset val="1"/>
    </font>
    <font>
      <b val="true"/>
      <sz val="12"/>
      <name val="Vodafone Rg"/>
      <family val="2"/>
      <charset val="1"/>
    </font>
    <font>
      <b val="true"/>
      <sz val="10"/>
      <name val="Vodafone Rg"/>
      <family val="2"/>
      <charset val="1"/>
    </font>
    <font>
      <sz val="10"/>
      <color rgb="FFFFFFFF"/>
      <name val="Vodafone Rg"/>
      <family val="2"/>
      <charset val="1"/>
    </font>
    <font>
      <sz val="10"/>
      <color rgb="FFFF0000"/>
      <name val="Vodafone Rg"/>
      <family val="0"/>
      <charset val="1"/>
    </font>
    <font>
      <sz val="10"/>
      <color rgb="FFFF0000"/>
      <name val="Vodafone Rg"/>
      <family val="2"/>
      <charset val="1"/>
    </font>
    <font>
      <sz val="10"/>
      <color rgb="FF000000"/>
      <name val="Vodafone Rg"/>
      <family val="2"/>
      <charset val="1"/>
    </font>
    <font>
      <sz val="10"/>
      <color rgb="FF0070C0"/>
      <name val="Vodafone Rg"/>
      <family val="2"/>
      <charset val="1"/>
    </font>
    <font>
      <sz val="10"/>
      <color rgb="FF333333"/>
      <name val="Vodafone Rg"/>
      <family val="2"/>
      <charset val="1"/>
    </font>
    <font>
      <sz val="10"/>
      <color rgb="FF558ED5"/>
      <name val="Vodafone Rg"/>
      <family val="2"/>
      <charset val="1"/>
    </font>
    <font>
      <sz val="9"/>
      <color rgb="FF242424"/>
      <name val="Verdana"/>
      <family val="0"/>
      <charset val="1"/>
    </font>
    <font>
      <sz val="10"/>
      <color rgb="FF5B9BD5"/>
      <name val="Vodafone Rg"/>
      <family val="2"/>
      <charset val="1"/>
    </font>
    <font>
      <sz val="12"/>
      <name val="Vodafone Rg"/>
      <family val="2"/>
      <charset val="1"/>
    </font>
    <font>
      <b val="true"/>
      <sz val="20"/>
      <name val="Arial"/>
      <family val="2"/>
      <charset val="1"/>
    </font>
    <font>
      <b val="true"/>
      <sz val="8"/>
      <name val="Arial"/>
      <family val="2"/>
      <charset val="1"/>
    </font>
    <font>
      <sz val="11"/>
      <color rgb="FF242424"/>
      <name val="Aptos Narrow"/>
      <family val="0"/>
      <charset val="1"/>
    </font>
    <font>
      <sz val="11"/>
      <name val="Arial"/>
      <family val="2"/>
      <charset val="1"/>
    </font>
    <font>
      <b val="true"/>
      <sz val="11"/>
      <color rgb="FF000000"/>
      <name val="Vodafone Rg"/>
      <family val="2"/>
      <charset val="1"/>
    </font>
    <font>
      <sz val="11"/>
      <color rgb="FF000000"/>
      <name val="Vodafone Rg"/>
      <family val="2"/>
      <charset val="1"/>
    </font>
    <font>
      <b val="true"/>
      <sz val="11"/>
      <color rgb="FFFFFFFF"/>
      <name val="Arial"/>
      <family val="2"/>
      <charset val="1"/>
    </font>
    <font>
      <sz val="11"/>
      <color rgb="FFFF0000"/>
      <name val="Calibri"/>
      <family val="2"/>
      <charset val="1"/>
    </font>
    <font>
      <b val="true"/>
      <sz val="11"/>
      <color rgb="FF000000"/>
      <name val="Calibri"/>
      <family val="2"/>
      <charset val="1"/>
    </font>
    <font>
      <sz val="11.5"/>
      <color rgb="FF000000"/>
      <name val="Calibri"/>
      <family val="2"/>
      <charset val="1"/>
    </font>
    <font>
      <sz val="9"/>
      <color rgb="FF000000"/>
      <name val="Tahoma"/>
      <family val="2"/>
      <charset val="1"/>
    </font>
    <font>
      <sz val="9"/>
      <color rgb="FF595959"/>
      <name val="Calibri"/>
      <family val="2"/>
    </font>
    <font>
      <sz val="10"/>
      <color rgb="FF595959"/>
      <name val="Calibri"/>
      <family val="2"/>
    </font>
    <font>
      <b val="true"/>
      <sz val="9"/>
      <color rgb="FFFFFFFF"/>
      <name val="Calibri"/>
      <family val="2"/>
    </font>
    <font>
      <sz val="12"/>
      <color rgb="FF595959"/>
      <name val="Calibri"/>
      <family val="2"/>
    </font>
    <font>
      <b val="true"/>
      <sz val="18"/>
      <color rgb="FFFF0000"/>
      <name val="Arial"/>
      <family val="0"/>
      <charset val="1"/>
    </font>
    <font>
      <b val="true"/>
      <sz val="10"/>
      <name val="Arial"/>
      <family val="2"/>
      <charset val="1"/>
    </font>
    <font>
      <b val="true"/>
      <sz val="10"/>
      <color rgb="FFFF0000"/>
      <name val="Arial"/>
      <family val="2"/>
      <charset val="1"/>
    </font>
    <font>
      <sz val="10"/>
      <name val="Arial"/>
      <family val="2"/>
      <charset val="1"/>
    </font>
    <font>
      <sz val="10"/>
      <color rgb="FFFF0000"/>
      <name val="Arial"/>
      <family val="2"/>
      <charset val="1"/>
    </font>
    <font>
      <b val="true"/>
      <vertAlign val="superscript"/>
      <sz val="10"/>
      <name val="Arial"/>
      <family val="2"/>
      <charset val="1"/>
    </font>
    <font>
      <b val="true"/>
      <u val="single"/>
      <sz val="10"/>
      <name val="Arial"/>
      <family val="2"/>
      <charset val="1"/>
    </font>
    <font>
      <sz val="8"/>
      <color rgb="FF000000"/>
      <name val="Times New Roman"/>
      <family val="1"/>
      <charset val="1"/>
    </font>
    <font>
      <sz val="8"/>
      <color rgb="FFFF0000"/>
      <name val="Arial"/>
      <family val="2"/>
      <charset val="1"/>
    </font>
    <font>
      <b val="true"/>
      <sz val="10"/>
      <color rgb="FF000000"/>
      <name val="Arial"/>
      <family val="2"/>
      <charset val="1"/>
    </font>
    <font>
      <b val="true"/>
      <sz val="8"/>
      <color rgb="FFFF0000"/>
      <name val="Arial"/>
      <family val="2"/>
      <charset val="1"/>
    </font>
    <font>
      <sz val="8"/>
      <color rgb="FF000000"/>
      <name val="Arial"/>
      <family val="2"/>
      <charset val="1"/>
    </font>
    <font>
      <b val="true"/>
      <sz val="11"/>
      <color rgb="FF000000"/>
      <name val="Calibri"/>
      <family val="0"/>
    </font>
    <font>
      <sz val="11"/>
      <color rgb="FF000000"/>
      <name val="Calibri"/>
      <family val="0"/>
    </font>
    <font>
      <b val="true"/>
      <i val="true"/>
      <sz val="11"/>
      <color rgb="FF000000"/>
      <name val="Calibri"/>
      <family val="0"/>
    </font>
    <font>
      <i val="true"/>
      <sz val="11"/>
      <color rgb="FF000000"/>
      <name val="Calibri"/>
      <family val="0"/>
    </font>
    <font>
      <i val="true"/>
      <vertAlign val="subscript"/>
      <sz val="11"/>
      <color rgb="FF000000"/>
      <name val="Calibri"/>
      <family val="0"/>
    </font>
    <font>
      <u val="single"/>
      <sz val="8"/>
      <color rgb="FF808080"/>
      <name val="Arial"/>
      <family val="2"/>
      <charset val="1"/>
    </font>
    <font>
      <b val="true"/>
      <sz val="8"/>
      <color rgb="FF808080"/>
      <name val="Arial"/>
      <family val="2"/>
      <charset val="1"/>
    </font>
    <font>
      <sz val="8"/>
      <color rgb="FF808080"/>
      <name val="Arial"/>
      <family val="2"/>
      <charset val="1"/>
    </font>
    <font>
      <b val="true"/>
      <u val="single"/>
      <sz val="8"/>
      <name val="Arial"/>
      <family val="2"/>
      <charset val="1"/>
    </font>
    <font>
      <u val="single"/>
      <sz val="8"/>
      <name val="Arial"/>
      <family val="2"/>
      <charset val="1"/>
    </font>
    <font>
      <vertAlign val="superscript"/>
      <sz val="8"/>
      <name val="Arial"/>
      <family val="2"/>
      <charset val="1"/>
    </font>
    <font>
      <u val="single"/>
      <vertAlign val="superscript"/>
      <sz val="8"/>
      <name val="Arial"/>
      <family val="2"/>
      <charset val="1"/>
    </font>
    <font>
      <sz val="14"/>
      <color rgb="FF000000"/>
      <name val="Vodafone Rg"/>
      <family val="2"/>
    </font>
    <font>
      <sz val="8"/>
      <color rgb="FF000000"/>
      <name val="Vodafone Rg"/>
      <family val="2"/>
    </font>
    <font>
      <b val="true"/>
      <sz val="12"/>
      <color rgb="FF595959"/>
      <name val="Vodafone Rg"/>
      <family val="2"/>
    </font>
    <font>
      <sz val="8"/>
      <color rgb="FF595959"/>
      <name val="Vodafone Rg"/>
      <family val="2"/>
    </font>
    <font>
      <b val="true"/>
      <sz val="12"/>
      <color rgb="FF000000"/>
      <name val="Vodafone Rg"/>
      <family val="2"/>
    </font>
    <font>
      <sz val="11"/>
      <color rgb="FFFF0000"/>
      <name val="Calibri"/>
      <family val="2"/>
    </font>
    <font>
      <b val="true"/>
      <sz val="8"/>
      <color rgb="FF000000"/>
      <name val="Vodafone Rg"/>
      <family val="2"/>
    </font>
    <font>
      <sz val="14"/>
      <color rgb="FF595959"/>
      <name val="Calibri"/>
      <family val="2"/>
    </font>
    <font>
      <sz val="10"/>
      <color rgb="FF000000"/>
      <name val="Calibri"/>
      <family val="2"/>
    </font>
    <font>
      <b val="true"/>
      <sz val="7.2"/>
      <color rgb="FF000000"/>
      <name val="Vodafone Rg"/>
      <family val="2"/>
    </font>
    <font>
      <sz val="6"/>
      <color rgb="FF000000"/>
      <name val="Vodafone Rg"/>
      <family val="2"/>
    </font>
    <font>
      <sz val="11"/>
      <color rgb="FFA6A6A6"/>
      <name val="Calibri"/>
      <family val="2"/>
      <charset val="1"/>
    </font>
    <font>
      <sz val="8"/>
      <color rgb="FF000000"/>
      <name val="Calibri"/>
      <family val="2"/>
      <charset val="1"/>
    </font>
    <font>
      <b val="true"/>
      <sz val="18"/>
      <color rgb="FF000000"/>
      <name val="Calibri"/>
      <family val="2"/>
    </font>
    <font>
      <sz val="1.1"/>
      <color rgb="FF000000"/>
      <name val="Calibri"/>
      <family val="2"/>
    </font>
    <font>
      <sz val="18"/>
      <color rgb="FF000000"/>
      <name val="Calibri"/>
      <family val="2"/>
    </font>
    <font>
      <b val="true"/>
      <sz val="10"/>
      <color rgb="FF000000"/>
      <name val="Calibri"/>
      <family val="2"/>
    </font>
    <font>
      <sz val="10"/>
      <name val="Arial"/>
      <family val="2"/>
    </font>
    <font>
      <b val="true"/>
      <sz val="36"/>
      <color rgb="FF000000"/>
      <name val="Vodafone Lt"/>
      <family val="2"/>
    </font>
    <font>
      <sz val="24"/>
      <color rgb="FF000000"/>
      <name val="Vodafone Lt"/>
      <family val="2"/>
    </font>
    <font>
      <sz val="20"/>
      <color rgb="FF000000"/>
      <name val="Vodafone Lt"/>
      <family val="2"/>
    </font>
    <font>
      <sz val="14"/>
      <color rgb="FF000000"/>
      <name val="Vodafone Lt"/>
      <family val="2"/>
    </font>
    <font>
      <sz val="1.05"/>
      <color rgb="FF000000"/>
      <name val="Vodafone Lt"/>
      <family val="2"/>
    </font>
    <font>
      <sz val="12"/>
      <color rgb="FF000000"/>
      <name val="Vodafone Lt"/>
      <family val="2"/>
    </font>
    <font>
      <u val="single"/>
      <sz val="12"/>
      <name val="Arial"/>
      <family val="2"/>
      <charset val="1"/>
    </font>
    <font>
      <sz val="12"/>
      <name val="Arial"/>
      <family val="2"/>
      <charset val="1"/>
    </font>
    <font>
      <sz val="8"/>
      <name val="Noto Sans CJK SC"/>
      <family val="2"/>
    </font>
    <font>
      <b val="true"/>
      <sz val="36"/>
      <color rgb="FFFF0000"/>
      <name val="Vodafone Lt"/>
      <family val="2"/>
    </font>
    <font>
      <b val="true"/>
      <sz val="36"/>
      <color rgb="FFD9D9D9"/>
      <name val="Vodafone Lt"/>
      <family val="2"/>
    </font>
    <font>
      <u val="single"/>
      <sz val="32"/>
      <color rgb="FF000000"/>
      <name val="Vodafone Lt"/>
      <family val="2"/>
    </font>
    <font>
      <u val="single"/>
      <sz val="20"/>
      <color rgb="FF000000"/>
      <name val="Vodafone Lt"/>
      <family val="2"/>
    </font>
    <font>
      <sz val="16"/>
      <color rgb="FF000000"/>
      <name val="Vodafone Lt"/>
      <family val="2"/>
    </font>
    <font>
      <sz val="12"/>
      <color rgb="FFFF0000"/>
      <name val="Arial"/>
      <family val="2"/>
      <charset val="1"/>
    </font>
    <font>
      <sz val="20"/>
      <name val="Arial"/>
      <family val="2"/>
      <charset val="1"/>
    </font>
    <font>
      <sz val="20"/>
      <color rgb="FF000000"/>
      <name val="Vodafone Lt"/>
      <family val="2"/>
      <charset val="1"/>
    </font>
    <font>
      <b val="true"/>
      <sz val="26"/>
      <color rgb="FF000000"/>
      <name val="Vodafone Lt"/>
      <family val="2"/>
    </font>
    <font>
      <sz val="22"/>
      <color rgb="FF000000"/>
      <name val="Vodafone Lt"/>
      <family val="2"/>
    </font>
    <font>
      <b val="true"/>
      <sz val="38"/>
      <color rgb="FF000000"/>
      <name val="Vodafone Lt"/>
      <family val="2"/>
    </font>
    <font>
      <i val="true"/>
      <sz val="20"/>
      <color rgb="FF000000"/>
      <name val="Vodafone Lt"/>
      <family val="2"/>
    </font>
    <font>
      <sz val="20"/>
      <color rgb="FF808080"/>
      <name val="Vodafone Lt"/>
      <family val="2"/>
    </font>
    <font>
      <sz val="18"/>
      <color rgb="FF000000"/>
      <name val="Vodafone Lt"/>
      <family val="2"/>
    </font>
    <font>
      <b val="true"/>
      <sz val="24"/>
      <color rgb="FF000000"/>
      <name val="Vodafone Lt"/>
      <family val="2"/>
    </font>
    <font>
      <sz val="24"/>
      <color rgb="FF000000"/>
      <name val="Calibri"/>
      <family val="0"/>
    </font>
    <font>
      <sz val="20"/>
      <color rgb="FFFF0000"/>
      <name val="Vodafone Lt"/>
      <family val="2"/>
      <charset val="1"/>
    </font>
    <font>
      <sz val="12"/>
      <color rgb="FF000000"/>
      <name val="Vodafone Rg"/>
      <family val="2"/>
    </font>
    <font>
      <b val="true"/>
      <sz val="24"/>
      <color rgb="FFFF0000"/>
      <name val="Vodafone Lt"/>
      <family val="2"/>
    </font>
    <font>
      <b val="true"/>
      <sz val="14"/>
      <color rgb="FF000000"/>
      <name val="Vodafone Rg"/>
      <family val="2"/>
    </font>
    <font>
      <sz val="11"/>
      <name val="Vodafone Rg"/>
      <family val="2"/>
      <charset val="1"/>
    </font>
    <font>
      <b val="true"/>
      <sz val="11"/>
      <name val="Vodafone Rg"/>
      <family val="2"/>
      <charset val="1"/>
    </font>
    <font>
      <b val="true"/>
      <sz val="10"/>
      <color rgb="FFA6A6A6"/>
      <name val="Vodafone Rg"/>
      <family val="2"/>
      <charset val="1"/>
    </font>
    <font>
      <b val="true"/>
      <sz val="10"/>
      <color rgb="FFFF0000"/>
      <name val="Vodafone Rg"/>
      <family val="2"/>
      <charset val="1"/>
    </font>
    <font>
      <sz val="10"/>
      <color rgb="FFA6A6A6"/>
      <name val="Vodafone Rg"/>
      <family val="2"/>
      <charset val="1"/>
    </font>
    <font>
      <b val="true"/>
      <u val="single"/>
      <sz val="10"/>
      <name val="Vodafone Rg"/>
      <family val="2"/>
      <charset val="1"/>
    </font>
    <font>
      <sz val="12"/>
      <color rgb="FFFF0000"/>
      <name val="Vodafone Rg"/>
      <family val="2"/>
      <charset val="1"/>
    </font>
    <font>
      <b val="true"/>
      <sz val="14"/>
      <color rgb="FFFF0000"/>
      <name val="Calibri"/>
      <family val="2"/>
      <charset val="1"/>
    </font>
    <font>
      <b val="true"/>
      <sz val="10"/>
      <color rgb="FFFFFFFF"/>
      <name val="Arial"/>
      <family val="2"/>
      <charset val="1"/>
    </font>
    <font>
      <sz val="8"/>
      <color rgb="FFFFFFFF"/>
      <name val="Arial"/>
      <family val="2"/>
      <charset val="1"/>
    </font>
    <font>
      <b val="true"/>
      <sz val="8"/>
      <color rgb="FFFFFFFF"/>
      <name val="Arial"/>
      <family val="2"/>
      <charset val="1"/>
    </font>
    <font>
      <sz val="10"/>
      <color rgb="FFFFFFFF"/>
      <name val="Arial"/>
      <family val="2"/>
      <charset val="1"/>
    </font>
    <font>
      <b val="true"/>
      <sz val="11"/>
      <color rgb="FFFF0000"/>
      <name val="Calibri"/>
      <family val="2"/>
      <charset val="1"/>
    </font>
    <font>
      <b val="true"/>
      <sz val="11"/>
      <name val="Calibri"/>
      <family val="2"/>
      <charset val="1"/>
    </font>
  </fonts>
  <fills count="52">
    <fill>
      <patternFill patternType="none"/>
    </fill>
    <fill>
      <patternFill patternType="gray125"/>
    </fill>
    <fill>
      <patternFill patternType="solid">
        <fgColor rgb="FFFFFF99"/>
        <bgColor rgb="FFFFF9CC"/>
      </patternFill>
    </fill>
    <fill>
      <patternFill patternType="solid">
        <fgColor rgb="FFBF8F00"/>
        <bgColor rgb="FFCC9900"/>
      </patternFill>
    </fill>
    <fill>
      <patternFill patternType="solid">
        <fgColor rgb="FF90D54E"/>
        <bgColor rgb="FFC3D69B"/>
      </patternFill>
    </fill>
    <fill>
      <patternFill patternType="solid">
        <fgColor rgb="FFFFC000"/>
        <bgColor rgb="FFFFCC00"/>
      </patternFill>
    </fill>
    <fill>
      <patternFill patternType="solid">
        <fgColor rgb="FFFF0000"/>
        <bgColor rgb="FFDF0000"/>
      </patternFill>
    </fill>
    <fill>
      <patternFill patternType="solid">
        <fgColor rgb="FF000000"/>
        <bgColor rgb="FF0F0F0F"/>
      </patternFill>
    </fill>
    <fill>
      <patternFill patternType="solid">
        <fgColor rgb="FF7030A0"/>
        <bgColor rgb="FF525A5A"/>
      </patternFill>
    </fill>
    <fill>
      <patternFill patternType="solid">
        <fgColor rgb="FFDBEEF4"/>
        <bgColor rgb="FFE2EFDA"/>
      </patternFill>
    </fill>
    <fill>
      <patternFill patternType="solid">
        <fgColor rgb="FFFFCC99"/>
        <bgColor rgb="FFF8CBAD"/>
      </patternFill>
    </fill>
    <fill>
      <patternFill patternType="solid">
        <fgColor rgb="FFC3D69B"/>
        <bgColor rgb="FFC6E0B4"/>
      </patternFill>
    </fill>
    <fill>
      <patternFill patternType="solid">
        <fgColor rgb="FFB3A2C7"/>
        <bgColor rgb="FFACA3BE"/>
      </patternFill>
    </fill>
    <fill>
      <patternFill patternType="solid">
        <fgColor rgb="FFE6E0EC"/>
        <bgColor rgb="FFE4DFEC"/>
      </patternFill>
    </fill>
    <fill>
      <patternFill patternType="solid">
        <fgColor rgb="FFE6B9B8"/>
        <bgColor rgb="FFE6B8B7"/>
      </patternFill>
    </fill>
    <fill>
      <patternFill patternType="solid">
        <fgColor rgb="FFFFFF00"/>
        <bgColor rgb="FFFFCC00"/>
      </patternFill>
    </fill>
    <fill>
      <patternFill patternType="darkGray">
        <fgColor rgb="FFFFFFFF"/>
        <bgColor rgb="FFF2F2F2"/>
      </patternFill>
    </fill>
    <fill>
      <patternFill patternType="solid">
        <fgColor rgb="FF00FF00"/>
        <bgColor rgb="FF90D54E"/>
      </patternFill>
    </fill>
    <fill>
      <patternFill patternType="solid">
        <fgColor rgb="FFFFFFFF"/>
        <bgColor rgb="FFF2F2F2"/>
      </patternFill>
    </fill>
    <fill>
      <patternFill patternType="solid">
        <fgColor rgb="FFE4DFEC"/>
        <bgColor rgb="FFE6E0EC"/>
      </patternFill>
    </fill>
    <fill>
      <patternFill patternType="solid">
        <fgColor rgb="FFCC9900"/>
        <bgColor rgb="FFBF8F00"/>
      </patternFill>
    </fill>
    <fill>
      <patternFill patternType="solid">
        <fgColor rgb="FFFFCC00"/>
        <bgColor rgb="FFFFC000"/>
      </patternFill>
    </fill>
    <fill>
      <patternFill patternType="solid">
        <fgColor rgb="FFC0C0C0"/>
        <bgColor rgb="FFBFBFBF"/>
      </patternFill>
    </fill>
    <fill>
      <patternFill patternType="solid">
        <fgColor rgb="FFE6B8B7"/>
        <bgColor rgb="FFE6B9B8"/>
      </patternFill>
    </fill>
    <fill>
      <patternFill patternType="darkGray">
        <fgColor rgb="FFB3A2C7"/>
        <bgColor rgb="FFACA3BE"/>
      </patternFill>
    </fill>
    <fill>
      <patternFill patternType="solid">
        <fgColor rgb="FFD7E4BD"/>
        <bgColor rgb="FFC6E0B4"/>
      </patternFill>
    </fill>
    <fill>
      <patternFill patternType="solid">
        <fgColor rgb="FFFCD5B5"/>
        <bgColor rgb="FFF8CBAD"/>
      </patternFill>
    </fill>
    <fill>
      <patternFill patternType="solid">
        <fgColor rgb="FFDBEEF4"/>
        <bgColor rgb="FFDCE6F2"/>
      </patternFill>
    </fill>
    <fill>
      <patternFill patternType="solid">
        <fgColor rgb="FFB7DEE8"/>
        <bgColor rgb="FFC6D9F1"/>
      </patternFill>
    </fill>
    <fill>
      <patternFill patternType="solid">
        <fgColor rgb="FFBFBFBF"/>
        <bgColor rgb="FFC0C0C0"/>
      </patternFill>
    </fill>
    <fill>
      <patternFill patternType="solid">
        <fgColor rgb="FF00B0F0"/>
        <bgColor rgb="FF1875C2"/>
      </patternFill>
    </fill>
    <fill>
      <patternFill patternType="solid">
        <fgColor rgb="FFDCE6F2"/>
        <bgColor rgb="FFDBEEF4"/>
      </patternFill>
    </fill>
    <fill>
      <patternFill patternType="solid">
        <fgColor rgb="FFC6D9F1"/>
        <bgColor rgb="FFB7DEE8"/>
      </patternFill>
    </fill>
    <fill>
      <patternFill patternType="solid">
        <fgColor rgb="FFB9CDE5"/>
        <bgColor rgb="FFC6D9F1"/>
      </patternFill>
    </fill>
    <fill>
      <patternFill patternType="solid">
        <fgColor rgb="FF8EB4E3"/>
        <bgColor rgb="FFACA3BE"/>
      </patternFill>
    </fill>
    <fill>
      <patternFill patternType="solid">
        <fgColor rgb="FFFDEADA"/>
        <bgColor rgb="FFEEECE1"/>
      </patternFill>
    </fill>
    <fill>
      <patternFill patternType="solid">
        <fgColor rgb="FFDF958E"/>
        <bgColor rgb="FFB3A2C7"/>
      </patternFill>
    </fill>
    <fill>
      <patternFill patternType="solid">
        <fgColor rgb="FFEBF1DE"/>
        <bgColor rgb="FFEEECE1"/>
      </patternFill>
    </fill>
    <fill>
      <patternFill patternType="solid">
        <fgColor rgb="FFF2F2F2"/>
        <bgColor rgb="FFEEECE1"/>
      </patternFill>
    </fill>
    <fill>
      <patternFill patternType="solid">
        <fgColor rgb="FFF2DCDB"/>
        <bgColor rgb="FFE6E0EC"/>
      </patternFill>
    </fill>
    <fill>
      <patternFill patternType="solid">
        <fgColor rgb="FFCCC1DA"/>
        <bgColor rgb="FFC0C0C0"/>
      </patternFill>
    </fill>
    <fill>
      <patternFill patternType="solid">
        <fgColor rgb="FFFAC090"/>
        <bgColor rgb="FFFFCC99"/>
      </patternFill>
    </fill>
    <fill>
      <patternFill patternType="solid">
        <fgColor rgb="FF5192D4"/>
        <bgColor rgb="FF807E83"/>
      </patternFill>
    </fill>
    <fill>
      <patternFill patternType="darkGray">
        <fgColor rgb="FF90D54E"/>
        <bgColor rgb="FFC3D69B"/>
      </patternFill>
    </fill>
    <fill>
      <patternFill patternType="solid">
        <fgColor rgb="FFDAD9D8"/>
        <bgColor rgb="FFE4DFEC"/>
      </patternFill>
    </fill>
    <fill>
      <patternFill patternType="solid">
        <fgColor rgb="FFEEECE1"/>
        <bgColor rgb="FFEBF1DE"/>
      </patternFill>
    </fill>
    <fill>
      <patternFill patternType="mediumGray">
        <fgColor rgb="FF1875C2"/>
        <bgColor rgb="FF5192D4"/>
      </patternFill>
    </fill>
    <fill>
      <patternFill patternType="darkGray">
        <fgColor rgb="FFDCE6F2"/>
        <bgColor rgb="FFE4DFEC"/>
      </patternFill>
    </fill>
    <fill>
      <patternFill patternType="solid">
        <fgColor rgb="FFE2EFDA"/>
        <bgColor rgb="FFEBF1DE"/>
      </patternFill>
    </fill>
    <fill>
      <patternFill patternType="solid">
        <fgColor rgb="FFF8CBAD"/>
        <bgColor rgb="FFFFCC99"/>
      </patternFill>
    </fill>
    <fill>
      <patternFill patternType="solid">
        <fgColor rgb="FFC6E0B4"/>
        <bgColor rgb="FFD7E4BD"/>
      </patternFill>
    </fill>
    <fill>
      <patternFill patternType="mediumGray">
        <fgColor rgb="FFFFF9CC"/>
        <bgColor rgb="FFFDEADA"/>
      </patternFill>
    </fill>
  </fills>
  <borders count="74">
    <border diagonalUp="false" diagonalDown="false">
      <left/>
      <right/>
      <top/>
      <bottom/>
      <diagonal/>
    </border>
    <border diagonalUp="false" diagonalDown="false">
      <left style="medium"/>
      <right/>
      <top style="medium"/>
      <bottom style="medium"/>
      <diagonal/>
    </border>
    <border diagonalUp="false" diagonalDown="false">
      <left/>
      <right/>
      <top/>
      <bottom style="thin"/>
      <diagonal/>
    </border>
    <border diagonalUp="false" diagonalDown="false">
      <left/>
      <right style="thin"/>
      <top/>
      <botto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medium"/>
      <top style="medium"/>
      <bottom style="thin"/>
      <diagonal/>
    </border>
    <border diagonalUp="false" diagonalDown="false">
      <left style="medium"/>
      <right/>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medium"/>
      <top style="medium"/>
      <bottom style="medium"/>
      <diagonal/>
    </border>
    <border diagonalUp="false" diagonalDown="false">
      <left/>
      <right/>
      <top style="medium"/>
      <botto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style="thin"/>
      <top/>
      <bottom style="thin"/>
      <diagonal/>
    </border>
    <border diagonalUp="false" diagonalDown="false">
      <left style="medium"/>
      <right style="medium"/>
      <top style="thin"/>
      <bottom style="thin"/>
      <diagonal/>
    </border>
    <border diagonalUp="false" diagonalDown="false">
      <left style="thin"/>
      <right style="medium"/>
      <top style="thin"/>
      <bottom style="thin"/>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diagonal/>
    </border>
    <border diagonalUp="false" diagonalDown="false">
      <left style="medium"/>
      <right style="thin"/>
      <top style="thin"/>
      <botto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top style="thin"/>
      <bottom style="medium"/>
      <diagonal/>
    </border>
    <border diagonalUp="false" diagonalDown="false">
      <left/>
      <right style="thin"/>
      <top style="thin"/>
      <bottom style="medium"/>
      <diagonal/>
    </border>
    <border diagonalUp="false" diagonalDown="false">
      <left style="medium"/>
      <right style="thin"/>
      <top style="thin"/>
      <bottom style="medium"/>
      <diagonal/>
    </border>
    <border diagonalUp="false" diagonalDown="false">
      <left style="medium"/>
      <right style="medium"/>
      <top style="thin"/>
      <bottom style="medium"/>
      <diagonal/>
    </border>
    <border diagonalUp="false" diagonalDown="false">
      <left style="thin"/>
      <right style="medium"/>
      <top style="thin"/>
      <bottom style="medium"/>
      <diagonal/>
    </border>
    <border diagonalUp="false" diagonalDown="false">
      <left/>
      <right/>
      <top/>
      <bottom style="medium"/>
      <diagonal/>
    </border>
    <border diagonalUp="false" diagonalDown="false">
      <left style="medium"/>
      <right/>
      <top/>
      <bottom style="medium"/>
      <diagonal/>
    </border>
    <border diagonalUp="false" diagonalDown="false">
      <left/>
      <right style="medium"/>
      <top/>
      <bottom style="medium"/>
      <diagonal/>
    </border>
    <border diagonalUp="false" diagonalDown="false">
      <left style="thin"/>
      <right/>
      <top/>
      <bottom style="thin"/>
      <diagonal/>
    </border>
    <border diagonalUp="false" diagonalDown="false">
      <left style="thin"/>
      <right style="medium"/>
      <top/>
      <bottom style="thin"/>
      <diagonal/>
    </border>
    <border diagonalUp="false" diagonalDown="false">
      <left style="medium"/>
      <right style="medium"/>
      <top/>
      <bottom style="medium"/>
      <diagonal/>
    </border>
    <border diagonalUp="false" diagonalDown="false">
      <left style="medium"/>
      <right style="thin"/>
      <top style="thin"/>
      <bottom style="thin"/>
      <diagonal/>
    </border>
    <border diagonalUp="false" diagonalDown="false">
      <left style="medium"/>
      <right style="medium"/>
      <top/>
      <bottom/>
      <diagonal/>
    </border>
    <border diagonalUp="false" diagonalDown="false">
      <left/>
      <right style="thin"/>
      <top style="thin"/>
      <bottom/>
      <diagonal/>
    </border>
    <border diagonalUp="false" diagonalDown="false">
      <left style="thin"/>
      <right style="medium"/>
      <top style="thin"/>
      <bottom/>
      <diagonal/>
    </border>
    <border diagonalUp="false" diagonalDown="false">
      <left style="thin"/>
      <right style="thin"/>
      <top/>
      <botto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style="thin"/>
      <right/>
      <top/>
      <bottom style="medium"/>
      <diagonal/>
    </border>
    <border diagonalUp="false" diagonalDown="false">
      <left style="thin"/>
      <right style="thin"/>
      <top style="medium"/>
      <bottom/>
      <diagonal/>
    </border>
    <border diagonalUp="false" diagonalDown="false">
      <left style="medium"/>
      <right style="medium"/>
      <top/>
      <bottom style="thin"/>
      <diagonal/>
    </border>
    <border diagonalUp="false" diagonalDown="false">
      <left style="medium"/>
      <right style="medium"/>
      <top style="medium"/>
      <bottom/>
      <diagonal/>
    </border>
    <border diagonalUp="false" diagonalDown="false">
      <left style="thin"/>
      <right/>
      <top style="thin"/>
      <bottom/>
      <diagonal/>
    </border>
    <border diagonalUp="false" diagonalDown="false">
      <left style="medium"/>
      <right style="medium"/>
      <top style="thin"/>
      <bottom/>
      <diagonal/>
    </border>
    <border diagonalUp="false" diagonalDown="false">
      <left/>
      <right/>
      <top style="thin"/>
      <bottom/>
      <diagonal/>
    </border>
    <border diagonalUp="false" diagonalDown="false">
      <left/>
      <right style="thin"/>
      <top/>
      <bottom style="medium"/>
      <diagonal/>
    </border>
    <border diagonalUp="false" diagonalDown="false">
      <left/>
      <right style="thin"/>
      <top/>
      <bottom style="thin"/>
      <diagonal/>
    </border>
    <border diagonalUp="false" diagonalDown="false">
      <left/>
      <right style="thin"/>
      <top style="medium"/>
      <bottom/>
      <diagonal/>
    </border>
    <border diagonalUp="false" diagonalDown="false">
      <left/>
      <right/>
      <top style="medium"/>
      <bottom style="thin"/>
      <diagonal/>
    </border>
    <border diagonalUp="false" diagonalDown="false">
      <left/>
      <right style="medium"/>
      <top style="thin"/>
      <bottom style="medium"/>
      <diagonal/>
    </border>
    <border diagonalUp="false" diagonalDown="false">
      <left style="thin"/>
      <right style="thin"/>
      <top style="medium"/>
      <bottom style="medium"/>
      <diagonal/>
    </border>
    <border diagonalUp="false" diagonalDown="false">
      <left/>
      <right style="medium"/>
      <top style="medium"/>
      <bottom style="medium"/>
      <diagonal/>
    </border>
    <border diagonalUp="false" diagonalDown="false">
      <left/>
      <right style="medium"/>
      <top style="thin"/>
      <bottom/>
      <diagonal/>
    </border>
    <border diagonalUp="false" diagonalDown="false">
      <left style="thin"/>
      <right/>
      <top/>
      <bottom/>
      <diagonal/>
    </border>
    <border diagonalUp="false" diagonalDown="false">
      <left style="medium"/>
      <right style="thin"/>
      <top style="medium"/>
      <bottom/>
      <diagonal/>
    </border>
    <border diagonalUp="false" diagonalDown="false">
      <left/>
      <right style="medium"/>
      <top style="medium"/>
      <bottom style="thin"/>
      <diagonal/>
    </border>
    <border diagonalUp="false" diagonalDown="false">
      <left/>
      <right style="medium"/>
      <top/>
      <bottom style="thin"/>
      <diagonal/>
    </border>
    <border diagonalUp="false" diagonalDown="false">
      <left style="thin"/>
      <right style="medium"/>
      <top style="medium"/>
      <bottom/>
      <diagonal/>
    </border>
    <border diagonalUp="false" diagonalDown="false">
      <left/>
      <right style="medium"/>
      <top style="thin"/>
      <bottom style="thin"/>
      <diagonal/>
    </border>
    <border diagonalUp="false" diagonalDown="false">
      <left style="medium"/>
      <right style="thin"/>
      <top style="medium"/>
      <bottom style="medium"/>
      <diagonal/>
    </border>
    <border diagonalUp="false" diagonalDown="false">
      <left style="thin"/>
      <right style="medium"/>
      <top style="medium"/>
      <bottom style="medium"/>
      <diagonal/>
    </border>
  </borders>
  <cellStyleXfs count="164">
    <xf numFmtId="165"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5" fontId="4"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xf numFmtId="165" fontId="5"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xf numFmtId="165" fontId="5" fillId="0" borderId="0" applyFont="true" applyBorder="true" applyAlignment="true" applyProtection="true">
      <alignment horizontal="general" vertical="bottom" textRotation="0" wrapText="false" indent="0" shrinkToFit="false"/>
      <protection locked="true" hidden="false"/>
    </xf>
    <xf numFmtId="165" fontId="6" fillId="0" borderId="0" applyFont="true" applyBorder="true" applyAlignment="true" applyProtection="true">
      <alignment horizontal="general" vertical="bottom" textRotation="0" wrapText="false" indent="0" shrinkToFit="false"/>
      <protection locked="true" hidden="false"/>
    </xf>
    <xf numFmtId="165" fontId="6" fillId="0" borderId="0" applyFont="true" applyBorder="true" applyAlignment="true" applyProtection="true">
      <alignment horizontal="general" vertical="bottom" textRotation="0" wrapText="false" indent="0" shrinkToFit="false"/>
      <protection locked="true" hidden="false"/>
    </xf>
    <xf numFmtId="165" fontId="5" fillId="0" borderId="0" applyFont="true" applyBorder="true" applyAlignment="true" applyProtection="true">
      <alignment horizontal="general" vertical="bottom" textRotation="0" wrapText="false" indent="0" shrinkToFit="false"/>
      <protection locked="true" hidden="false"/>
    </xf>
    <xf numFmtId="165" fontId="5"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xf numFmtId="165" fontId="5"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left" vertical="bottom" textRotation="0" wrapText="false" indent="0" shrinkToFit="false"/>
    </xf>
  </cellStyleXfs>
  <cellXfs count="1151">
    <xf numFmtId="165"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center" vertical="bottom" textRotation="0" wrapText="false" indent="0" shrinkToFit="false"/>
      <protection locked="true" hidden="false"/>
    </xf>
    <xf numFmtId="167" fontId="7" fillId="0" borderId="0" xfId="0" applyFont="true" applyBorder="false" applyAlignment="true" applyProtection="false">
      <alignment horizontal="center" vertical="bottom" textRotation="0" wrapText="false" indent="0" shrinkToFit="false"/>
      <protection locked="true" hidden="false"/>
    </xf>
    <xf numFmtId="165" fontId="8" fillId="2" borderId="1" xfId="0" applyFont="true" applyBorder="true" applyAlignment="true" applyProtection="false">
      <alignment horizontal="general" vertical="bottom" textRotation="0" wrapText="true" indent="0" shrinkToFit="false"/>
      <protection locked="true" hidden="false"/>
    </xf>
    <xf numFmtId="165" fontId="9" fillId="0" borderId="2" xfId="0" applyFont="true" applyBorder="true" applyAlignment="true" applyProtection="false">
      <alignment horizontal="general" vertical="bottom" textRotation="0" wrapText="true" indent="0" shrinkToFit="false"/>
      <protection locked="true" hidden="false"/>
    </xf>
    <xf numFmtId="165" fontId="7" fillId="0" borderId="3" xfId="0" applyFont="true" applyBorder="true" applyAlignment="false" applyProtection="false">
      <alignment horizontal="general" vertical="bottom" textRotation="0" wrapText="false" indent="0" shrinkToFit="false"/>
      <protection locked="true" hidden="false"/>
    </xf>
    <xf numFmtId="165" fontId="7" fillId="3" borderId="3" xfId="0" applyFont="true" applyBorder="true" applyAlignment="true" applyProtection="false">
      <alignment horizontal="center" vertical="bottom" textRotation="0" wrapText="true" indent="0" shrinkToFit="false"/>
      <protection locked="true" hidden="false"/>
    </xf>
    <xf numFmtId="165" fontId="9" fillId="4" borderId="4" xfId="0" applyFont="true" applyBorder="true" applyAlignment="true" applyProtection="false">
      <alignment horizontal="general" vertical="bottom" textRotation="0" wrapText="true" indent="0" shrinkToFit="false"/>
      <protection locked="true" hidden="false"/>
    </xf>
    <xf numFmtId="165" fontId="9" fillId="5" borderId="4" xfId="0" applyFont="true" applyBorder="true" applyAlignment="true" applyProtection="false">
      <alignment horizontal="general" vertical="bottom" textRotation="0" wrapText="true" indent="0" shrinkToFit="false"/>
      <protection locked="true" hidden="false"/>
    </xf>
    <xf numFmtId="165" fontId="9" fillId="6" borderId="5" xfId="0" applyFont="true" applyBorder="true" applyAlignment="true" applyProtection="false">
      <alignment horizontal="general" vertical="bottom" textRotation="0" wrapText="true" indent="0" shrinkToFit="false"/>
      <protection locked="true" hidden="false"/>
    </xf>
    <xf numFmtId="165" fontId="10" fillId="7" borderId="5" xfId="0" applyFont="true" applyBorder="true" applyAlignment="true" applyProtection="false">
      <alignment horizontal="general" vertical="bottom" textRotation="0" wrapText="true" indent="0" shrinkToFit="false"/>
      <protection locked="true" hidden="false"/>
    </xf>
    <xf numFmtId="165" fontId="10" fillId="8" borderId="2" xfId="0" applyFont="true" applyBorder="true" applyAlignment="true" applyProtection="false">
      <alignment horizontal="center" vertical="bottom" textRotation="0" wrapText="false" indent="0" shrinkToFit="false"/>
      <protection locked="true" hidden="false"/>
    </xf>
    <xf numFmtId="165" fontId="11" fillId="0" borderId="2" xfId="0" applyFont="true" applyBorder="true" applyAlignment="true" applyProtection="false">
      <alignment horizontal="center" vertical="bottom" textRotation="0" wrapText="false" indent="0" shrinkToFit="false"/>
      <protection locked="true" hidden="false"/>
    </xf>
    <xf numFmtId="165" fontId="12" fillId="0" borderId="0" xfId="0" applyFont="true" applyBorder="false" applyAlignment="true" applyProtection="false">
      <alignment horizontal="center" vertical="bottom" textRotation="0" wrapText="false" indent="0" shrinkToFit="false"/>
      <protection locked="true" hidden="false"/>
    </xf>
    <xf numFmtId="165" fontId="7" fillId="2" borderId="6" xfId="0" applyFont="true" applyBorder="true" applyAlignment="false" applyProtection="false">
      <alignment horizontal="general" vertical="bottom" textRotation="0" wrapText="false" indent="0" shrinkToFit="false"/>
      <protection locked="true" hidden="false"/>
    </xf>
    <xf numFmtId="165" fontId="7" fillId="2" borderId="7" xfId="0" applyFont="true" applyBorder="true" applyAlignment="true" applyProtection="false">
      <alignment horizontal="center" vertical="bottom" textRotation="0" wrapText="true" indent="0" shrinkToFit="false"/>
      <protection locked="true" hidden="false"/>
    </xf>
    <xf numFmtId="165" fontId="7" fillId="2" borderId="6" xfId="0" applyFont="true" applyBorder="true" applyAlignment="true" applyProtection="false">
      <alignment horizontal="center" vertical="bottom" textRotation="0" wrapText="true" indent="0" shrinkToFit="false"/>
      <protection locked="true" hidden="false"/>
    </xf>
    <xf numFmtId="165" fontId="7" fillId="9" borderId="6" xfId="0" applyFont="true" applyBorder="true" applyAlignment="true" applyProtection="false">
      <alignment horizontal="center" vertical="bottom" textRotation="0" wrapText="true" indent="0" shrinkToFit="false"/>
      <protection locked="true" hidden="false"/>
    </xf>
    <xf numFmtId="167" fontId="7" fillId="10" borderId="6" xfId="0" applyFont="true" applyBorder="true" applyAlignment="true" applyProtection="false">
      <alignment horizontal="center" vertical="bottom" textRotation="0" wrapText="true" indent="0" shrinkToFit="false"/>
      <protection locked="true" hidden="false"/>
    </xf>
    <xf numFmtId="165" fontId="7" fillId="10" borderId="7" xfId="0" applyFont="true" applyBorder="true" applyAlignment="true" applyProtection="false">
      <alignment horizontal="center" vertical="bottom" textRotation="0" wrapText="true" indent="0" shrinkToFit="false"/>
      <protection locked="true" hidden="false"/>
    </xf>
    <xf numFmtId="167" fontId="7" fillId="2" borderId="6" xfId="0" applyFont="true" applyBorder="true" applyAlignment="true" applyProtection="false">
      <alignment horizontal="center" vertical="bottom" textRotation="0" wrapText="true" indent="0" shrinkToFit="false"/>
      <protection locked="true" hidden="false"/>
    </xf>
    <xf numFmtId="165" fontId="13" fillId="2" borderId="6" xfId="0" applyFont="true" applyBorder="true" applyAlignment="true" applyProtection="false">
      <alignment horizontal="center" vertical="bottom" textRotation="0" wrapText="true" indent="0" shrinkToFit="false"/>
      <protection locked="true" hidden="false"/>
    </xf>
    <xf numFmtId="168" fontId="7" fillId="2" borderId="6" xfId="0" applyFont="true" applyBorder="true" applyAlignment="true" applyProtection="false">
      <alignment horizontal="center" vertical="bottom" textRotation="0" wrapText="true" indent="0" shrinkToFit="false"/>
      <protection locked="true" hidden="false"/>
    </xf>
    <xf numFmtId="168" fontId="9" fillId="2" borderId="8" xfId="0" applyFont="true" applyBorder="true" applyAlignment="true" applyProtection="false">
      <alignment horizontal="center" vertical="bottom" textRotation="0" wrapText="true" indent="0" shrinkToFit="false"/>
      <protection locked="true" hidden="false"/>
    </xf>
    <xf numFmtId="165" fontId="7" fillId="2" borderId="0" xfId="0" applyFont="true" applyBorder="false" applyAlignment="true" applyProtection="false">
      <alignment horizontal="center" vertical="bottom" textRotation="0" wrapText="true" indent="0" shrinkToFit="false"/>
      <protection locked="true" hidden="false"/>
    </xf>
    <xf numFmtId="168" fontId="7" fillId="2" borderId="9" xfId="0" applyFont="true" applyBorder="true" applyAlignment="true" applyProtection="false">
      <alignment horizontal="center" vertical="bottom" textRotation="0" wrapText="true" indent="0" shrinkToFit="false"/>
      <protection locked="true" hidden="false"/>
    </xf>
    <xf numFmtId="165" fontId="9" fillId="2" borderId="6" xfId="0" applyFont="true" applyBorder="true" applyAlignment="true" applyProtection="false">
      <alignment horizontal="center" vertical="bottom" textRotation="0" wrapText="true" indent="0" shrinkToFit="false"/>
      <protection locked="true" hidden="false"/>
    </xf>
    <xf numFmtId="165" fontId="7" fillId="11" borderId="8" xfId="0" applyFont="true" applyBorder="true" applyAlignment="true" applyProtection="false">
      <alignment horizontal="general" vertical="bottom" textRotation="0" wrapText="true" indent="0" shrinkToFit="false"/>
      <protection locked="true" hidden="false"/>
    </xf>
    <xf numFmtId="165" fontId="7" fillId="12" borderId="8" xfId="0" applyFont="true" applyBorder="true" applyAlignment="true" applyProtection="false">
      <alignment horizontal="center" vertical="center" textRotation="90" wrapText="true" indent="0" shrinkToFit="false"/>
      <protection locked="true" hidden="false"/>
    </xf>
    <xf numFmtId="165" fontId="7" fillId="13" borderId="8" xfId="0" applyFont="true" applyBorder="true" applyAlignment="true" applyProtection="false">
      <alignment horizontal="general" vertical="bottom" textRotation="0" wrapText="true" indent="0" shrinkToFit="false"/>
      <protection locked="true" hidden="false"/>
    </xf>
    <xf numFmtId="165" fontId="7" fillId="14" borderId="8" xfId="0" applyFont="true" applyBorder="true" applyAlignment="true" applyProtection="false">
      <alignment horizontal="center" vertical="center" textRotation="90" wrapText="true" indent="0" shrinkToFit="false"/>
      <protection locked="true" hidden="false"/>
    </xf>
    <xf numFmtId="165" fontId="7" fillId="14" borderId="10" xfId="0" applyFont="true" applyBorder="true" applyAlignment="true" applyProtection="false">
      <alignment horizontal="center" vertical="center" textRotation="90" wrapText="true" indent="0" shrinkToFit="false"/>
      <protection locked="true" hidden="false"/>
    </xf>
    <xf numFmtId="165" fontId="7" fillId="0" borderId="11" xfId="0" applyFont="true" applyBorder="true" applyAlignment="false" applyProtection="false">
      <alignment horizontal="general" vertical="bottom" textRotation="0" wrapText="false" indent="0" shrinkToFit="false"/>
      <protection locked="true" hidden="false"/>
    </xf>
    <xf numFmtId="165" fontId="7" fillId="0" borderId="11" xfId="0" applyFont="true" applyBorder="true" applyAlignment="true" applyProtection="false">
      <alignment horizontal="center" vertical="bottom" textRotation="0" wrapText="true" indent="0" shrinkToFit="false"/>
      <protection locked="true" hidden="false"/>
    </xf>
    <xf numFmtId="165" fontId="7" fillId="0" borderId="11" xfId="0" applyFont="true" applyBorder="true" applyAlignment="true" applyProtection="false">
      <alignment horizontal="center" vertical="bottom" textRotation="0" wrapText="false" indent="0" shrinkToFit="false"/>
      <protection locked="true" hidden="false"/>
    </xf>
    <xf numFmtId="167" fontId="7" fillId="0" borderId="11" xfId="0" applyFont="true" applyBorder="true" applyAlignment="true" applyProtection="false">
      <alignment horizontal="center" vertical="bottom" textRotation="0" wrapText="false" indent="0" shrinkToFit="false"/>
      <protection locked="true" hidden="false"/>
    </xf>
    <xf numFmtId="165" fontId="7" fillId="0" borderId="1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9" fontId="7" fillId="0" borderId="0" xfId="0" applyFont="true" applyBorder="false" applyAlignment="false" applyProtection="false">
      <alignment horizontal="general" vertical="bottom" textRotation="0" wrapText="false" indent="0" shrinkToFit="false"/>
      <protection locked="true" hidden="false"/>
    </xf>
    <xf numFmtId="165" fontId="7" fillId="0" borderId="13" xfId="0" applyFont="true" applyBorder="true" applyAlignment="false" applyProtection="false">
      <alignment horizontal="general" vertical="bottom" textRotation="0" wrapText="false" indent="0" shrinkToFit="false"/>
      <protection locked="true" hidden="false"/>
    </xf>
    <xf numFmtId="165" fontId="7" fillId="0" borderId="14" xfId="0" applyFont="true" applyBorder="true" applyAlignment="true" applyProtection="false">
      <alignment horizontal="center" vertical="bottom" textRotation="0" wrapText="false" indent="0" shrinkToFit="false"/>
      <protection locked="true" hidden="false"/>
    </xf>
    <xf numFmtId="165" fontId="7" fillId="15" borderId="14" xfId="0" applyFont="true" applyBorder="true" applyAlignment="true" applyProtection="false">
      <alignment horizontal="center" vertical="bottom" textRotation="0" wrapText="false" indent="0" shrinkToFit="false"/>
      <protection locked="true" hidden="false"/>
    </xf>
    <xf numFmtId="167" fontId="15" fillId="16" borderId="6" xfId="0" applyFont="true" applyBorder="true" applyAlignment="true" applyProtection="false">
      <alignment horizontal="center" vertical="bottom" textRotation="0" wrapText="false" indent="0" shrinkToFit="false"/>
      <protection locked="true" hidden="false"/>
    </xf>
    <xf numFmtId="164" fontId="7" fillId="0" borderId="14" xfId="19" applyFont="true" applyBorder="true" applyAlignment="true" applyProtection="true">
      <alignment horizontal="center" vertical="bottom" textRotation="0" wrapText="false" indent="0" shrinkToFit="false"/>
      <protection locked="true" hidden="false"/>
    </xf>
    <xf numFmtId="170" fontId="7" fillId="0" borderId="14" xfId="0" applyFont="true" applyBorder="true" applyAlignment="true" applyProtection="false">
      <alignment horizontal="center" vertical="center" textRotation="0" wrapText="false" indent="0" shrinkToFit="false"/>
      <protection locked="true" hidden="false"/>
    </xf>
    <xf numFmtId="167" fontId="13" fillId="0" borderId="14" xfId="0" applyFont="true" applyBorder="true" applyAlignment="true" applyProtection="false">
      <alignment horizontal="center" vertical="bottom" textRotation="0" wrapText="false" indent="0" shrinkToFit="false"/>
      <protection locked="true" hidden="false"/>
    </xf>
    <xf numFmtId="171" fontId="13" fillId="0" borderId="14" xfId="0" applyFont="true" applyBorder="true" applyAlignment="true" applyProtection="false">
      <alignment horizontal="center" vertical="bottom" textRotation="0" wrapText="false" indent="0" shrinkToFit="false"/>
      <protection locked="true" hidden="false"/>
    </xf>
    <xf numFmtId="164" fontId="7" fillId="0" borderId="6" xfId="0" applyFont="true" applyBorder="true" applyAlignment="true" applyProtection="false">
      <alignment horizontal="center" vertical="bottom" textRotation="0" wrapText="false" indent="0" shrinkToFit="false"/>
      <protection locked="true" hidden="false"/>
    </xf>
    <xf numFmtId="172" fontId="7" fillId="0" borderId="14" xfId="0" applyFont="true" applyBorder="true" applyAlignment="true" applyProtection="false">
      <alignment horizontal="center" vertical="center" textRotation="0" wrapText="false" indent="0" shrinkToFit="false"/>
      <protection locked="true" hidden="false"/>
    </xf>
    <xf numFmtId="170" fontId="7" fillId="0" borderId="15" xfId="0" applyFont="true" applyBorder="true" applyAlignment="true" applyProtection="false">
      <alignment horizontal="center" vertical="center" textRotation="0" wrapText="false" indent="0" shrinkToFit="false"/>
      <protection locked="true" hidden="false"/>
    </xf>
    <xf numFmtId="167" fontId="7" fillId="0" borderId="16" xfId="0" applyFont="true" applyBorder="true" applyAlignment="true" applyProtection="false">
      <alignment horizontal="center" vertical="bottom" textRotation="0" wrapText="false" indent="0" shrinkToFit="false"/>
      <protection locked="true" hidden="false"/>
    </xf>
    <xf numFmtId="170" fontId="7" fillId="0" borderId="17" xfId="0" applyFont="true" applyBorder="true" applyAlignment="true" applyProtection="false">
      <alignment horizontal="center" vertical="center" textRotation="0" wrapText="false" indent="0" shrinkToFit="false"/>
      <protection locked="true" hidden="false"/>
    </xf>
    <xf numFmtId="167" fontId="7" fillId="0" borderId="14" xfId="0" applyFont="true" applyBorder="true" applyAlignment="true" applyProtection="false">
      <alignment horizontal="center" vertical="bottom" textRotation="0" wrapText="false" indent="0" shrinkToFit="false"/>
      <protection locked="true" hidden="false"/>
    </xf>
    <xf numFmtId="170" fontId="7" fillId="0" borderId="18" xfId="0" applyFont="true" applyBorder="true" applyAlignment="true" applyProtection="false">
      <alignment horizontal="center" vertical="center" textRotation="0" wrapText="false" indent="0" shrinkToFit="false"/>
      <protection locked="true" hidden="false"/>
    </xf>
    <xf numFmtId="164" fontId="13" fillId="0" borderId="19" xfId="0" applyFont="true" applyBorder="true" applyAlignment="true" applyProtection="false">
      <alignment horizontal="center" vertical="bottom" textRotation="0" wrapText="false" indent="0" shrinkToFit="false"/>
      <protection locked="true" hidden="false"/>
    </xf>
    <xf numFmtId="164" fontId="13" fillId="0" borderId="20" xfId="0" applyFont="true" applyBorder="true" applyAlignment="true" applyProtection="false">
      <alignment horizontal="center" vertical="center" textRotation="0" wrapText="false" indent="0" shrinkToFit="false"/>
      <protection locked="true" hidden="false"/>
    </xf>
    <xf numFmtId="172" fontId="7" fillId="0" borderId="21" xfId="0" applyFont="true" applyBorder="true" applyAlignment="false" applyProtection="false">
      <alignment horizontal="general" vertical="bottom" textRotation="0" wrapText="false" indent="0" shrinkToFit="false"/>
      <protection locked="true" hidden="false"/>
    </xf>
    <xf numFmtId="164" fontId="7" fillId="17" borderId="20" xfId="0" applyFont="true" applyBorder="true" applyAlignment="true" applyProtection="false">
      <alignment horizontal="center" vertical="center" textRotation="0" wrapText="false" indent="0" shrinkToFit="false"/>
      <protection locked="true" hidden="false"/>
    </xf>
    <xf numFmtId="165" fontId="7" fillId="0" borderId="0" xfId="0" applyFont="true" applyBorder="true" applyAlignment="true" applyProtection="false">
      <alignment horizontal="general" vertical="center" textRotation="0" wrapText="true" indent="0" shrinkToFit="false"/>
      <protection locked="true" hidden="false"/>
    </xf>
    <xf numFmtId="165" fontId="7" fillId="11" borderId="22" xfId="0" applyFont="true" applyBorder="true" applyAlignment="true" applyProtection="false">
      <alignment horizontal="general" vertical="bottom" textRotation="0" wrapText="true" indent="0" shrinkToFit="false"/>
      <protection locked="true" hidden="false"/>
    </xf>
    <xf numFmtId="165" fontId="7" fillId="12" borderId="21" xfId="0" applyFont="true" applyBorder="true" applyAlignment="true" applyProtection="false">
      <alignment horizontal="center" vertical="bottom" textRotation="0" wrapText="true" indent="0" shrinkToFit="false"/>
      <protection locked="true" hidden="false"/>
    </xf>
    <xf numFmtId="165" fontId="7" fillId="13" borderId="21" xfId="0" applyFont="true" applyBorder="true" applyAlignment="true" applyProtection="false">
      <alignment horizontal="general" vertical="bottom" textRotation="0" wrapText="true" indent="0" shrinkToFit="false"/>
      <protection locked="true" hidden="false"/>
    </xf>
    <xf numFmtId="165" fontId="7" fillId="14" borderId="21" xfId="0" applyFont="true" applyBorder="true" applyAlignment="true" applyProtection="false">
      <alignment horizontal="center" vertical="bottom" textRotation="0" wrapText="true" indent="0" shrinkToFit="false"/>
      <protection locked="true" hidden="false"/>
    </xf>
    <xf numFmtId="165" fontId="14" fillId="13" borderId="21" xfId="0" applyFont="true" applyBorder="true" applyAlignment="true" applyProtection="false">
      <alignment horizontal="general" vertical="bottom" textRotation="0" wrapText="true" indent="0" shrinkToFit="false"/>
      <protection locked="true" hidden="false"/>
    </xf>
    <xf numFmtId="165" fontId="14" fillId="14" borderId="21" xfId="0" applyFont="true" applyBorder="true" applyAlignment="true" applyProtection="false">
      <alignment horizontal="center" vertical="bottom" textRotation="0" wrapText="true" indent="0" shrinkToFit="false"/>
      <protection locked="true" hidden="false"/>
    </xf>
    <xf numFmtId="165" fontId="7" fillId="14" borderId="23" xfId="0" applyFont="true" applyBorder="true" applyAlignment="true" applyProtection="false">
      <alignment horizontal="center" vertical="bottom" textRotation="0" wrapText="true" indent="0" shrinkToFit="false"/>
      <protection locked="true" hidden="false"/>
    </xf>
    <xf numFmtId="165" fontId="9" fillId="0" borderId="6" xfId="0" applyFont="true" applyBorder="true" applyAlignment="true" applyProtection="false">
      <alignment horizontal="center" vertical="bottom" textRotation="0" wrapText="false" indent="0" shrinkToFit="false"/>
      <protection locked="true" hidden="false"/>
    </xf>
    <xf numFmtId="165" fontId="7" fillId="0" borderId="24" xfId="0" applyFont="true" applyBorder="true" applyAlignment="false" applyProtection="false">
      <alignment horizontal="general" vertical="bottom" textRotation="0" wrapText="false" indent="0" shrinkToFit="false"/>
      <protection locked="true" hidden="false"/>
    </xf>
    <xf numFmtId="165" fontId="7" fillId="0" borderId="6" xfId="0" applyFont="true" applyBorder="true" applyAlignment="true" applyProtection="false">
      <alignment horizontal="center" vertical="bottom" textRotation="0" wrapText="false" indent="0" shrinkToFit="false"/>
      <protection locked="true" hidden="false"/>
    </xf>
    <xf numFmtId="165" fontId="7" fillId="15" borderId="6" xfId="0" applyFont="true" applyBorder="true" applyAlignment="true" applyProtection="false">
      <alignment horizontal="center" vertical="bottom" textRotation="0" wrapText="false" indent="0" shrinkToFit="false"/>
      <protection locked="true" hidden="false"/>
    </xf>
    <xf numFmtId="167" fontId="15" fillId="18" borderId="6" xfId="0" applyFont="true" applyBorder="true" applyAlignment="true" applyProtection="false">
      <alignment horizontal="center" vertical="bottom" textRotation="0" wrapText="false" indent="0" shrinkToFit="false"/>
      <protection locked="true" hidden="false"/>
    </xf>
    <xf numFmtId="164" fontId="7" fillId="0" borderId="6" xfId="19" applyFont="true" applyBorder="true" applyAlignment="true" applyProtection="true">
      <alignment horizontal="center" vertical="bottom" textRotation="0" wrapText="false" indent="0" shrinkToFit="false"/>
      <protection locked="true" hidden="false"/>
    </xf>
    <xf numFmtId="167" fontId="13" fillId="0" borderId="6" xfId="0" applyFont="true" applyBorder="true" applyAlignment="true" applyProtection="false">
      <alignment horizontal="center" vertical="bottom" textRotation="0" wrapText="false" indent="0" shrinkToFit="false"/>
      <protection locked="true" hidden="false"/>
    </xf>
    <xf numFmtId="171" fontId="13" fillId="0" borderId="6" xfId="0" applyFont="true" applyBorder="true" applyAlignment="true" applyProtection="false">
      <alignment horizontal="center" vertical="bottom" textRotation="0" wrapText="false" indent="0" shrinkToFit="false"/>
      <protection locked="true" hidden="false"/>
    </xf>
    <xf numFmtId="172" fontId="7" fillId="0" borderId="6" xfId="0" applyFont="true" applyBorder="true" applyAlignment="true" applyProtection="false">
      <alignment horizontal="center" vertical="center" textRotation="0" wrapText="false" indent="0" shrinkToFit="false"/>
      <protection locked="true" hidden="false"/>
    </xf>
    <xf numFmtId="167" fontId="7" fillId="0" borderId="25" xfId="0" applyFont="true" applyBorder="true" applyAlignment="true" applyProtection="false">
      <alignment horizontal="center" vertical="bottom" textRotation="0" wrapText="false" indent="0" shrinkToFit="false"/>
      <protection locked="true" hidden="false"/>
    </xf>
    <xf numFmtId="167" fontId="7" fillId="0" borderId="6" xfId="0" applyFont="true" applyBorder="true" applyAlignment="true" applyProtection="false">
      <alignment horizontal="center" vertical="bottom" textRotation="0" wrapText="false" indent="0" shrinkToFit="false"/>
      <protection locked="true" hidden="false"/>
    </xf>
    <xf numFmtId="164" fontId="13" fillId="0" borderId="26" xfId="0" applyFont="true" applyBorder="true" applyAlignment="true" applyProtection="false">
      <alignment horizontal="center" vertical="bottom" textRotation="0" wrapText="false" indent="0" shrinkToFit="false"/>
      <protection locked="true" hidden="false"/>
    </xf>
    <xf numFmtId="165" fontId="7" fillId="11" borderId="27" xfId="0" applyFont="true" applyBorder="true" applyAlignment="true" applyProtection="false">
      <alignment horizontal="general" vertical="bottom" textRotation="0" wrapText="true" indent="0" shrinkToFit="false"/>
      <protection locked="true" hidden="false"/>
    </xf>
    <xf numFmtId="165" fontId="7" fillId="12" borderId="0" xfId="0" applyFont="true" applyBorder="false" applyAlignment="true" applyProtection="false">
      <alignment horizontal="center" vertical="bottom" textRotation="0" wrapText="true" indent="0" shrinkToFit="false"/>
      <protection locked="true" hidden="false"/>
    </xf>
    <xf numFmtId="165" fontId="7" fillId="13" borderId="0" xfId="0" applyFont="true" applyBorder="false" applyAlignment="true" applyProtection="false">
      <alignment horizontal="general" vertical="bottom" textRotation="0" wrapText="true" indent="0" shrinkToFit="false"/>
      <protection locked="true" hidden="false"/>
    </xf>
    <xf numFmtId="165" fontId="7" fillId="14" borderId="0" xfId="0" applyFont="true" applyBorder="false" applyAlignment="true" applyProtection="false">
      <alignment horizontal="center" vertical="bottom" textRotation="0" wrapText="true" indent="0" shrinkToFit="false"/>
      <protection locked="true" hidden="false"/>
    </xf>
    <xf numFmtId="165" fontId="7" fillId="14" borderId="28" xfId="0" applyFont="true" applyBorder="true" applyAlignment="true" applyProtection="false">
      <alignment horizontal="center" vertical="bottom" textRotation="0" wrapText="true" indent="0" shrinkToFit="false"/>
      <protection locked="true" hidden="false"/>
    </xf>
    <xf numFmtId="173" fontId="7" fillId="0" borderId="0" xfId="0" applyFont="true" applyBorder="false" applyAlignment="false" applyProtection="false">
      <alignment horizontal="general" vertical="bottom" textRotation="0" wrapText="false" indent="0" shrinkToFit="false"/>
      <protection locked="true" hidden="false"/>
    </xf>
    <xf numFmtId="173" fontId="7" fillId="0" borderId="6" xfId="0" applyFont="true" applyBorder="true" applyAlignment="false" applyProtection="false">
      <alignment horizontal="general" vertical="bottom" textRotation="0" wrapText="false" indent="0" shrinkToFit="false"/>
      <protection locked="true" hidden="false"/>
    </xf>
    <xf numFmtId="165" fontId="7" fillId="0" borderId="29" xfId="0" applyFont="true" applyBorder="true" applyAlignment="false" applyProtection="false">
      <alignment horizontal="general" vertical="bottom" textRotation="0" wrapText="false" indent="0" shrinkToFit="false"/>
      <protection locked="true" hidden="false"/>
    </xf>
    <xf numFmtId="165" fontId="7" fillId="13" borderId="0" xfId="0" applyFont="true" applyBorder="false" applyAlignment="false" applyProtection="false">
      <alignment horizontal="general" vertical="bottom" textRotation="0" wrapText="false" indent="0" shrinkToFit="false"/>
      <protection locked="true" hidden="false"/>
    </xf>
    <xf numFmtId="165" fontId="7" fillId="14" borderId="0" xfId="0" applyFont="true" applyBorder="false" applyAlignment="true" applyProtection="false">
      <alignment horizontal="center" vertical="bottom" textRotation="0" wrapText="false" indent="0" shrinkToFit="false"/>
      <protection locked="true" hidden="false"/>
    </xf>
    <xf numFmtId="173" fontId="7" fillId="4" borderId="7" xfId="0" applyFont="true" applyBorder="true" applyAlignment="false" applyProtection="false">
      <alignment horizontal="general" vertical="bottom" textRotation="0" wrapText="false" indent="0" shrinkToFit="false"/>
      <protection locked="true" hidden="false"/>
    </xf>
    <xf numFmtId="165" fontId="7" fillId="0" borderId="30" xfId="0" applyFont="true" applyBorder="true" applyAlignment="false" applyProtection="false">
      <alignment horizontal="general" vertical="bottom" textRotation="0" wrapText="false" indent="0" shrinkToFit="false"/>
      <protection locked="true" hidden="false"/>
    </xf>
    <xf numFmtId="167" fontId="15" fillId="0" borderId="11" xfId="0" applyFont="true" applyBorder="true" applyAlignment="true" applyProtection="false">
      <alignment horizontal="center" vertical="bottom" textRotation="0" wrapText="false" indent="0" shrinkToFit="false"/>
      <protection locked="true" hidden="false"/>
    </xf>
    <xf numFmtId="164" fontId="7" fillId="0" borderId="31" xfId="19" applyFont="true" applyBorder="true" applyAlignment="true" applyProtection="true">
      <alignment horizontal="center" vertical="center" textRotation="0" wrapText="false" indent="0" shrinkToFit="false"/>
      <protection locked="true" hidden="false"/>
    </xf>
    <xf numFmtId="164" fontId="7" fillId="0" borderId="32" xfId="0" applyFont="true" applyBorder="true" applyAlignment="true" applyProtection="false">
      <alignment horizontal="center" vertical="center" textRotation="0" wrapText="false" indent="0" shrinkToFit="false"/>
      <protection locked="true" hidden="false"/>
    </xf>
    <xf numFmtId="164" fontId="7" fillId="0" borderId="33" xfId="0" applyFont="true" applyBorder="true" applyAlignment="true" applyProtection="false">
      <alignment horizontal="center" vertical="center" textRotation="0" wrapText="false" indent="0" shrinkToFit="false"/>
      <protection locked="true" hidden="false"/>
    </xf>
    <xf numFmtId="164" fontId="7" fillId="0" borderId="34" xfId="0" applyFont="true" applyBorder="true" applyAlignment="true" applyProtection="false">
      <alignment horizontal="center" vertical="center" textRotation="0" wrapText="false" indent="0" shrinkToFit="false"/>
      <protection locked="true" hidden="false"/>
    </xf>
    <xf numFmtId="165" fontId="16" fillId="13" borderId="0" xfId="0" applyFont="true" applyBorder="false" applyAlignment="true" applyProtection="false">
      <alignment horizontal="general" vertical="bottom" textRotation="0" wrapText="true" indent="0" shrinkToFit="false"/>
      <protection locked="true" hidden="false"/>
    </xf>
    <xf numFmtId="165" fontId="16" fillId="14" borderId="0" xfId="0" applyFont="true" applyBorder="false" applyAlignment="true" applyProtection="false">
      <alignment horizontal="center" vertical="bottom" textRotation="0" wrapText="true" indent="0" shrinkToFit="false"/>
      <protection locked="true" hidden="false"/>
    </xf>
    <xf numFmtId="165" fontId="13" fillId="13" borderId="0" xfId="0" applyFont="true" applyBorder="false" applyAlignment="true" applyProtection="false">
      <alignment horizontal="general" vertical="bottom" textRotation="0" wrapText="true" indent="0" shrinkToFit="false"/>
      <protection locked="true" hidden="false"/>
    </xf>
    <xf numFmtId="165" fontId="13" fillId="14" borderId="0" xfId="0" applyFont="true" applyBorder="false" applyAlignment="true" applyProtection="false">
      <alignment horizontal="center" vertical="bottom" textRotation="0" wrapText="true" indent="0" shrinkToFit="false"/>
      <protection locked="true" hidden="false"/>
    </xf>
    <xf numFmtId="165" fontId="7" fillId="14" borderId="0" xfId="0" applyFont="true" applyBorder="false" applyAlignment="true" applyProtection="false">
      <alignment horizontal="center" vertical="center" textRotation="0" wrapText="false" indent="0" shrinkToFit="false"/>
      <protection locked="true" hidden="false"/>
    </xf>
    <xf numFmtId="173" fontId="7" fillId="5" borderId="6" xfId="0" applyFont="true" applyBorder="true" applyAlignment="false" applyProtection="false">
      <alignment horizontal="general" vertical="bottom" textRotation="0" wrapText="false" indent="0" shrinkToFit="false"/>
      <protection locked="true" hidden="false"/>
    </xf>
    <xf numFmtId="174" fontId="7" fillId="0" borderId="6" xfId="0" applyFont="true" applyBorder="true" applyAlignment="false" applyProtection="false">
      <alignment horizontal="general" vertical="bottom" textRotation="0" wrapText="false" indent="0" shrinkToFit="false"/>
      <protection locked="true" hidden="false"/>
    </xf>
    <xf numFmtId="165" fontId="7" fillId="0" borderId="35" xfId="0" applyFont="true" applyBorder="true" applyAlignment="false" applyProtection="false">
      <alignment horizontal="general" vertical="bottom" textRotation="0" wrapText="false" indent="0" shrinkToFit="false"/>
      <protection locked="true" hidden="false"/>
    </xf>
    <xf numFmtId="165" fontId="7" fillId="0" borderId="31" xfId="0" applyFont="true" applyBorder="true" applyAlignment="true" applyProtection="false">
      <alignment horizontal="center" vertical="bottom" textRotation="0" wrapText="false" indent="0" shrinkToFit="false"/>
      <protection locked="true" hidden="false"/>
    </xf>
    <xf numFmtId="165" fontId="7" fillId="15" borderId="31" xfId="0" applyFont="true" applyBorder="true" applyAlignment="true" applyProtection="false">
      <alignment horizontal="center" vertical="bottom" textRotation="0" wrapText="false" indent="0" shrinkToFit="false"/>
      <protection locked="true" hidden="false"/>
    </xf>
    <xf numFmtId="167" fontId="15" fillId="16" borderId="31" xfId="0" applyFont="true" applyBorder="true" applyAlignment="true" applyProtection="false">
      <alignment horizontal="center" vertical="bottom" textRotation="0" wrapText="false" indent="0" shrinkToFit="false"/>
      <protection locked="true" hidden="false"/>
    </xf>
    <xf numFmtId="164" fontId="7" fillId="0" borderId="34" xfId="19" applyFont="true" applyBorder="true" applyAlignment="true" applyProtection="true">
      <alignment horizontal="center" vertical="bottom" textRotation="0" wrapText="false" indent="0" shrinkToFit="false"/>
      <protection locked="true" hidden="false"/>
    </xf>
    <xf numFmtId="167" fontId="13" fillId="0" borderId="31" xfId="0" applyFont="true" applyBorder="true" applyAlignment="true" applyProtection="false">
      <alignment horizontal="center" vertical="bottom" textRotation="0" wrapText="false" indent="0" shrinkToFit="false"/>
      <protection locked="true" hidden="false"/>
    </xf>
    <xf numFmtId="171" fontId="13" fillId="0" borderId="31" xfId="0" applyFont="true" applyBorder="true" applyAlignment="true" applyProtection="false">
      <alignment horizontal="center" vertical="bottom" textRotation="0" wrapText="false" indent="0" shrinkToFit="false"/>
      <protection locked="true" hidden="false"/>
    </xf>
    <xf numFmtId="164" fontId="7" fillId="0" borderId="31" xfId="0" applyFont="true" applyBorder="true" applyAlignment="true" applyProtection="false">
      <alignment horizontal="center" vertical="bottom" textRotation="0" wrapText="false" indent="0" shrinkToFit="false"/>
      <protection locked="true" hidden="false"/>
    </xf>
    <xf numFmtId="172" fontId="7" fillId="0" borderId="31" xfId="0" applyFont="true" applyBorder="true" applyAlignment="true" applyProtection="false">
      <alignment horizontal="center" vertical="center" textRotation="0" wrapText="false" indent="0" shrinkToFit="false"/>
      <protection locked="true" hidden="false"/>
    </xf>
    <xf numFmtId="167" fontId="7" fillId="0" borderId="36" xfId="0" applyFont="true" applyBorder="true" applyAlignment="true" applyProtection="false">
      <alignment horizontal="center" vertical="bottom" textRotation="0" wrapText="false" indent="0" shrinkToFit="false"/>
      <protection locked="true" hidden="false"/>
    </xf>
    <xf numFmtId="167" fontId="7" fillId="0" borderId="31" xfId="0" applyFont="true" applyBorder="true" applyAlignment="true" applyProtection="false">
      <alignment horizontal="center" vertical="bottom" textRotation="0" wrapText="false" indent="0" shrinkToFit="false"/>
      <protection locked="true" hidden="false"/>
    </xf>
    <xf numFmtId="164" fontId="13" fillId="0" borderId="37" xfId="0" applyFont="true" applyBorder="true" applyAlignment="true" applyProtection="false">
      <alignment horizontal="center" vertical="bottom" textRotation="0" wrapText="false" indent="0" shrinkToFit="false"/>
      <protection locked="true" hidden="false"/>
    </xf>
    <xf numFmtId="172" fontId="7" fillId="0" borderId="38" xfId="0" applyFont="true" applyBorder="true" applyAlignment="false" applyProtection="false">
      <alignment horizontal="general" vertical="bottom" textRotation="0" wrapText="false" indent="0" shrinkToFit="false"/>
      <protection locked="true" hidden="false"/>
    </xf>
    <xf numFmtId="165" fontId="7" fillId="11" borderId="39" xfId="0" applyFont="true" applyBorder="true" applyAlignment="true" applyProtection="false">
      <alignment horizontal="general" vertical="bottom" textRotation="0" wrapText="true" indent="0" shrinkToFit="false"/>
      <protection locked="true" hidden="false"/>
    </xf>
    <xf numFmtId="165" fontId="7" fillId="12" borderId="38" xfId="0" applyFont="true" applyBorder="true" applyAlignment="true" applyProtection="false">
      <alignment horizontal="center" vertical="bottom" textRotation="0" wrapText="true" indent="0" shrinkToFit="false"/>
      <protection locked="true" hidden="false"/>
    </xf>
    <xf numFmtId="165" fontId="7" fillId="13" borderId="38" xfId="0" applyFont="true" applyBorder="true" applyAlignment="true" applyProtection="false">
      <alignment horizontal="general" vertical="bottom" textRotation="0" wrapText="true" indent="0" shrinkToFit="false"/>
      <protection locked="true" hidden="false"/>
    </xf>
    <xf numFmtId="165" fontId="7" fillId="14" borderId="38" xfId="0" applyFont="true" applyBorder="true" applyAlignment="true" applyProtection="false">
      <alignment horizontal="center" vertical="bottom" textRotation="0" wrapText="true" indent="0" shrinkToFit="false"/>
      <protection locked="true" hidden="false"/>
    </xf>
    <xf numFmtId="165" fontId="16" fillId="13" borderId="38" xfId="0" applyFont="true" applyBorder="true" applyAlignment="true" applyProtection="false">
      <alignment horizontal="general" vertical="bottom" textRotation="0" wrapText="true" indent="0" shrinkToFit="false"/>
      <protection locked="true" hidden="false"/>
    </xf>
    <xf numFmtId="165" fontId="16" fillId="14" borderId="38" xfId="0" applyFont="true" applyBorder="true" applyAlignment="true" applyProtection="false">
      <alignment horizontal="center" vertical="bottom" textRotation="0" wrapText="true" indent="0" shrinkToFit="false"/>
      <protection locked="true" hidden="false"/>
    </xf>
    <xf numFmtId="165" fontId="13" fillId="13" borderId="38" xfId="0" applyFont="true" applyBorder="true" applyAlignment="true" applyProtection="false">
      <alignment horizontal="general" vertical="bottom" textRotation="0" wrapText="true" indent="0" shrinkToFit="false"/>
      <protection locked="true" hidden="false"/>
    </xf>
    <xf numFmtId="165" fontId="13" fillId="14" borderId="38" xfId="0" applyFont="true" applyBorder="true" applyAlignment="true" applyProtection="false">
      <alignment horizontal="center" vertical="bottom" textRotation="0" wrapText="true" indent="0" shrinkToFit="false"/>
      <protection locked="true" hidden="false"/>
    </xf>
    <xf numFmtId="165" fontId="16" fillId="13" borderId="38" xfId="0" applyFont="true" applyBorder="true" applyAlignment="false" applyProtection="false">
      <alignment horizontal="general" vertical="bottom" textRotation="0" wrapText="false" indent="0" shrinkToFit="false"/>
      <protection locked="true" hidden="false"/>
    </xf>
    <xf numFmtId="165" fontId="7" fillId="14" borderId="40" xfId="0" applyFont="true" applyBorder="true" applyAlignment="true" applyProtection="false">
      <alignment horizontal="center" vertical="bottom" textRotation="0" wrapText="true" indent="0" shrinkToFit="false"/>
      <protection locked="true" hidden="false"/>
    </xf>
    <xf numFmtId="173" fontId="7" fillId="6" borderId="6" xfId="0" applyFont="true" applyBorder="true" applyAlignment="false" applyProtection="false">
      <alignment horizontal="general" vertical="bottom" textRotation="0" wrapText="false" indent="0" shrinkToFit="false"/>
      <protection locked="true" hidden="false"/>
    </xf>
    <xf numFmtId="165" fontId="7" fillId="0" borderId="7" xfId="0" applyFont="true" applyBorder="true" applyAlignment="true" applyProtection="false">
      <alignment horizontal="center" vertical="bottom" textRotation="0" wrapText="false" indent="0" shrinkToFit="false"/>
      <protection locked="true" hidden="false"/>
    </xf>
    <xf numFmtId="165" fontId="7" fillId="15" borderId="7" xfId="0" applyFont="true" applyBorder="true" applyAlignment="true" applyProtection="false">
      <alignment horizontal="center" vertical="bottom" textRotation="0" wrapText="false" indent="0" shrinkToFit="false"/>
      <protection locked="true" hidden="false"/>
    </xf>
    <xf numFmtId="167" fontId="7" fillId="18" borderId="7" xfId="0" applyFont="true" applyBorder="true" applyAlignment="true" applyProtection="false">
      <alignment horizontal="center" vertical="bottom" textRotation="0" wrapText="false" indent="0" shrinkToFit="false"/>
      <protection locked="true" hidden="false"/>
    </xf>
    <xf numFmtId="164" fontId="7" fillId="18" borderId="7" xfId="0" applyFont="true" applyBorder="true" applyAlignment="true" applyProtection="false">
      <alignment horizontal="center" vertical="bottom" textRotation="0" wrapText="false" indent="0" shrinkToFit="false"/>
      <protection locked="true" hidden="false"/>
    </xf>
    <xf numFmtId="170" fontId="13" fillId="0" borderId="7" xfId="0" applyFont="true" applyBorder="true" applyAlignment="true" applyProtection="false">
      <alignment horizontal="center" vertical="center" textRotation="0" wrapText="false" indent="0" shrinkToFit="false"/>
      <protection locked="true" hidden="false"/>
    </xf>
    <xf numFmtId="167" fontId="13" fillId="0" borderId="7" xfId="0" applyFont="true" applyBorder="true" applyAlignment="true" applyProtection="false">
      <alignment horizontal="center" vertical="bottom" textRotation="0" wrapText="false" indent="0" shrinkToFit="false"/>
      <protection locked="true" hidden="false"/>
    </xf>
    <xf numFmtId="171" fontId="13" fillId="0" borderId="7" xfId="0" applyFont="true" applyBorder="true" applyAlignment="true" applyProtection="false">
      <alignment horizontal="center" vertical="bottom" textRotation="0" wrapText="false" indent="0" shrinkToFit="false"/>
      <protection locked="true" hidden="false"/>
    </xf>
    <xf numFmtId="164" fontId="7" fillId="0" borderId="7" xfId="19" applyFont="true" applyBorder="true" applyAlignment="true" applyProtection="true">
      <alignment horizontal="center" vertical="bottom" textRotation="0" wrapText="false" indent="0" shrinkToFit="false"/>
      <protection locked="true" hidden="false"/>
    </xf>
    <xf numFmtId="170" fontId="13" fillId="0" borderId="41" xfId="0" applyFont="true" applyBorder="true" applyAlignment="true" applyProtection="false">
      <alignment horizontal="center" vertical="center" textRotation="0" wrapText="false" indent="0" shrinkToFit="false"/>
      <protection locked="true" hidden="false"/>
    </xf>
    <xf numFmtId="167" fontId="7" fillId="0" borderId="7" xfId="0" applyFont="true" applyBorder="true" applyAlignment="true" applyProtection="false">
      <alignment horizontal="center" vertical="bottom" textRotation="0" wrapText="false" indent="0" shrinkToFit="false"/>
      <protection locked="true" hidden="false"/>
    </xf>
    <xf numFmtId="164" fontId="7" fillId="0" borderId="42" xfId="0" applyFont="true" applyBorder="true" applyAlignment="true" applyProtection="false">
      <alignment horizontal="center" vertical="bottom" textRotation="0" wrapText="false" indent="0" shrinkToFit="false"/>
      <protection locked="true" hidden="false"/>
    </xf>
    <xf numFmtId="164" fontId="7" fillId="0" borderId="20" xfId="0" applyFont="true" applyBorder="true" applyAlignment="true" applyProtection="false">
      <alignment horizontal="center" vertical="center" textRotation="0" wrapText="false" indent="0" shrinkToFit="false"/>
      <protection locked="true" hidden="false"/>
    </xf>
    <xf numFmtId="164" fontId="7" fillId="17" borderId="43" xfId="0" applyFont="true" applyBorder="true" applyAlignment="true" applyProtection="false">
      <alignment horizontal="center" vertical="center" textRotation="0" wrapText="false" indent="0" shrinkToFit="false"/>
      <protection locked="true" hidden="false"/>
    </xf>
    <xf numFmtId="165" fontId="13" fillId="13" borderId="21" xfId="0" applyFont="true" applyBorder="true" applyAlignment="true" applyProtection="false">
      <alignment horizontal="general" vertical="bottom" textRotation="0" wrapText="true" indent="0" shrinkToFit="false"/>
      <protection locked="true" hidden="false"/>
    </xf>
    <xf numFmtId="165" fontId="13" fillId="14" borderId="21" xfId="0" applyFont="true" applyBorder="true" applyAlignment="true" applyProtection="false">
      <alignment horizontal="center" vertical="bottom" textRotation="0" wrapText="true" indent="0" shrinkToFit="false"/>
      <protection locked="true" hidden="false"/>
    </xf>
    <xf numFmtId="173" fontId="7" fillId="7" borderId="6" xfId="0" applyFont="true" applyBorder="true" applyAlignment="false" applyProtection="false">
      <alignment horizontal="general" vertical="bottom" textRotation="0" wrapText="false" indent="0" shrinkToFit="false"/>
      <protection locked="true" hidden="false"/>
    </xf>
    <xf numFmtId="165" fontId="7" fillId="0" borderId="44" xfId="0" applyFont="true" applyBorder="true" applyAlignment="false" applyProtection="false">
      <alignment horizontal="general" vertical="bottom" textRotation="0" wrapText="false" indent="0" shrinkToFit="false"/>
      <protection locked="true" hidden="false"/>
    </xf>
    <xf numFmtId="167" fontId="7" fillId="18" borderId="6" xfId="0" applyFont="true" applyBorder="true" applyAlignment="true" applyProtection="false">
      <alignment horizontal="center" vertical="bottom" textRotation="0" wrapText="false" indent="0" shrinkToFit="false"/>
      <protection locked="true" hidden="false"/>
    </xf>
    <xf numFmtId="164" fontId="7" fillId="18" borderId="6" xfId="0" applyFont="true" applyBorder="true" applyAlignment="true" applyProtection="false">
      <alignment horizontal="center" vertical="bottom" textRotation="0" wrapText="false" indent="0" shrinkToFit="false"/>
      <protection locked="true" hidden="false"/>
    </xf>
    <xf numFmtId="165" fontId="7" fillId="0" borderId="45" xfId="0" applyFont="true" applyBorder="true" applyAlignment="false" applyProtection="false">
      <alignment horizontal="general" vertical="bottom" textRotation="0" wrapText="false" indent="0" shrinkToFit="false"/>
      <protection locked="true" hidden="false"/>
    </xf>
    <xf numFmtId="165" fontId="7" fillId="11" borderId="0" xfId="0" applyFont="true" applyBorder="false" applyAlignment="true" applyProtection="false">
      <alignment horizontal="general" vertical="bottom" textRotation="0" wrapText="true" indent="0" shrinkToFit="false"/>
      <protection locked="true" hidden="false"/>
    </xf>
    <xf numFmtId="165" fontId="13" fillId="19" borderId="0" xfId="0" applyFont="true" applyBorder="false" applyAlignment="true" applyProtection="false">
      <alignment horizontal="general" vertical="bottom" textRotation="0" wrapText="true" indent="0" shrinkToFit="false"/>
      <protection locked="true" hidden="false"/>
    </xf>
    <xf numFmtId="164" fontId="7" fillId="0" borderId="31" xfId="0" applyFont="true" applyBorder="true" applyAlignment="true" applyProtection="false">
      <alignment horizontal="center" vertical="center" textRotation="0" wrapText="false" indent="0" shrinkToFit="false"/>
      <protection locked="true" hidden="false"/>
    </xf>
    <xf numFmtId="164" fontId="13" fillId="0" borderId="31" xfId="19" applyFont="true" applyBorder="true" applyAlignment="true" applyProtection="true">
      <alignment horizontal="center" vertical="center" textRotation="0" wrapText="false" indent="0" shrinkToFit="false"/>
      <protection locked="true" hidden="false"/>
    </xf>
    <xf numFmtId="164" fontId="13" fillId="0" borderId="32" xfId="19" applyFont="true" applyBorder="true" applyAlignment="true" applyProtection="true">
      <alignment horizontal="center" vertical="center" textRotation="0" wrapText="false" indent="0" shrinkToFit="false"/>
      <protection locked="true" hidden="false"/>
    </xf>
    <xf numFmtId="167" fontId="7" fillId="20" borderId="31" xfId="0" applyFont="true" applyBorder="true" applyAlignment="true" applyProtection="false">
      <alignment horizontal="center" vertical="bottom" textRotation="0" wrapText="false" indent="0" shrinkToFit="false"/>
      <protection locked="true" hidden="false"/>
    </xf>
    <xf numFmtId="164" fontId="7" fillId="18" borderId="7" xfId="19" applyFont="true" applyBorder="true" applyAlignment="true" applyProtection="true">
      <alignment horizontal="center" vertical="bottom" textRotation="0" wrapText="false" indent="0" shrinkToFit="false"/>
      <protection locked="true" hidden="false"/>
    </xf>
    <xf numFmtId="164" fontId="7" fillId="0" borderId="7" xfId="0" applyFont="true" applyBorder="true" applyAlignment="true" applyProtection="false">
      <alignment horizontal="center" vertical="bottom" textRotation="0" wrapText="false" indent="0" shrinkToFit="false"/>
      <protection locked="true" hidden="false"/>
    </xf>
    <xf numFmtId="172" fontId="7" fillId="0" borderId="7" xfId="0" applyFont="true" applyBorder="true" applyAlignment="true" applyProtection="false">
      <alignment horizontal="center" vertical="center" textRotation="0" wrapText="false" indent="0" shrinkToFit="false"/>
      <protection locked="true" hidden="false"/>
    </xf>
    <xf numFmtId="164" fontId="13" fillId="0" borderId="42" xfId="0" applyFont="true" applyBorder="true" applyAlignment="true" applyProtection="false">
      <alignment horizontal="center" vertical="bottom" textRotation="0" wrapText="false" indent="0" shrinkToFit="false"/>
      <protection locked="true" hidden="false"/>
    </xf>
    <xf numFmtId="164" fontId="7" fillId="18" borderId="6" xfId="19" applyFont="true" applyBorder="true" applyAlignment="true" applyProtection="true">
      <alignment horizontal="center" vertical="bottom" textRotation="0" wrapText="false" indent="0" shrinkToFit="false"/>
      <protection locked="true" hidden="false"/>
    </xf>
    <xf numFmtId="164" fontId="7" fillId="18" borderId="31" xfId="19" applyFont="true" applyBorder="true" applyAlignment="true" applyProtection="true">
      <alignment horizontal="center" vertical="center" textRotation="0" wrapText="false" indent="0" shrinkToFit="false"/>
      <protection locked="true" hidden="false"/>
    </xf>
    <xf numFmtId="164" fontId="7" fillId="0" borderId="32" xfId="19" applyFont="true" applyBorder="true" applyAlignment="true" applyProtection="true">
      <alignment horizontal="center" vertical="center" textRotation="0" wrapText="false" indent="0" shrinkToFit="false"/>
      <protection locked="true" hidden="false"/>
    </xf>
    <xf numFmtId="165" fontId="14" fillId="13" borderId="0" xfId="0" applyFont="true" applyBorder="false" applyAlignment="true" applyProtection="false">
      <alignment horizontal="general" vertical="bottom" textRotation="0" wrapText="true" indent="0" shrinkToFit="false"/>
      <protection locked="true" hidden="false"/>
    </xf>
    <xf numFmtId="165" fontId="14" fillId="14" borderId="0" xfId="0" applyFont="true" applyBorder="false" applyAlignment="true" applyProtection="false">
      <alignment horizontal="center" vertical="bottom" textRotation="0" wrapText="true" indent="0" shrinkToFit="false"/>
      <protection locked="true" hidden="false"/>
    </xf>
    <xf numFmtId="165" fontId="7" fillId="15" borderId="11" xfId="0" applyFont="true" applyBorder="true" applyAlignment="true" applyProtection="false">
      <alignment horizontal="center" vertical="bottom" textRotation="0" wrapText="false" indent="0" shrinkToFit="false"/>
      <protection locked="true" hidden="false"/>
    </xf>
    <xf numFmtId="164" fontId="7" fillId="18" borderId="46" xfId="19" applyFont="true" applyBorder="true" applyAlignment="true" applyProtection="true">
      <alignment horizontal="center" vertical="bottom" textRotation="0" wrapText="false" indent="0" shrinkToFit="false"/>
      <protection locked="true" hidden="false"/>
    </xf>
    <xf numFmtId="167" fontId="13" fillId="0" borderId="11" xfId="0" applyFont="true" applyBorder="true" applyAlignment="true" applyProtection="false">
      <alignment horizontal="center" vertical="bottom" textRotation="0" wrapText="false" indent="0" shrinkToFit="false"/>
      <protection locked="true" hidden="false"/>
    </xf>
    <xf numFmtId="171" fontId="13" fillId="0" borderId="11" xfId="0" applyFont="true" applyBorder="true" applyAlignment="true" applyProtection="false">
      <alignment horizontal="center" vertical="bottom" textRotation="0" wrapText="false" indent="0" shrinkToFit="false"/>
      <protection locked="true" hidden="false"/>
    </xf>
    <xf numFmtId="164" fontId="7" fillId="0" borderId="11" xfId="0" applyFont="true" applyBorder="true" applyAlignment="true" applyProtection="false">
      <alignment horizontal="center" vertical="bottom" textRotation="0" wrapText="false" indent="0" shrinkToFit="false"/>
      <protection locked="true" hidden="false"/>
    </xf>
    <xf numFmtId="172" fontId="7" fillId="0" borderId="11" xfId="0" applyFont="true" applyBorder="true" applyAlignment="true" applyProtection="false">
      <alignment horizontal="center" vertical="center" textRotation="0" wrapText="false" indent="0" shrinkToFit="false"/>
      <protection locked="true" hidden="false"/>
    </xf>
    <xf numFmtId="164" fontId="13" fillId="0" borderId="47" xfId="0" applyFont="true" applyBorder="true" applyAlignment="true" applyProtection="false">
      <alignment horizontal="center" vertical="bottom" textRotation="0" wrapText="false" indent="0" shrinkToFit="false"/>
      <protection locked="true" hidden="false"/>
    </xf>
    <xf numFmtId="167" fontId="7" fillId="18" borderId="14" xfId="0" applyFont="true" applyBorder="true" applyAlignment="true" applyProtection="false">
      <alignment horizontal="center" vertical="bottom" textRotation="0" wrapText="false" indent="0" shrinkToFit="false"/>
      <protection locked="true" hidden="false"/>
    </xf>
    <xf numFmtId="164" fontId="7" fillId="18" borderId="14" xfId="19" applyFont="true" applyBorder="true" applyAlignment="true" applyProtection="true">
      <alignment horizontal="center" vertical="bottom" textRotation="0" wrapText="false" indent="0" shrinkToFit="false"/>
      <protection locked="true" hidden="false"/>
    </xf>
    <xf numFmtId="170" fontId="13" fillId="0" borderId="14" xfId="0" applyFont="true" applyBorder="true" applyAlignment="true" applyProtection="false">
      <alignment horizontal="center" vertical="center" textRotation="0" wrapText="false" indent="0" shrinkToFit="false"/>
      <protection locked="true" hidden="false"/>
    </xf>
    <xf numFmtId="167" fontId="13" fillId="0" borderId="18" xfId="0" applyFont="true" applyBorder="true" applyAlignment="true" applyProtection="false">
      <alignment horizontal="center" vertical="bottom" textRotation="0" wrapText="false" indent="0" shrinkToFit="false"/>
      <protection locked="true" hidden="false"/>
    </xf>
    <xf numFmtId="164" fontId="7" fillId="0" borderId="14" xfId="0" applyFont="true" applyBorder="true" applyAlignment="true" applyProtection="false">
      <alignment horizontal="center" vertical="bottom" textRotation="0" wrapText="false" indent="0" shrinkToFit="false"/>
      <protection locked="true" hidden="false"/>
    </xf>
    <xf numFmtId="170" fontId="13" fillId="0" borderId="15" xfId="0" applyFont="true" applyBorder="true" applyAlignment="true" applyProtection="false">
      <alignment horizontal="center" vertical="center" textRotation="0" wrapText="false" indent="0" shrinkToFit="false"/>
      <protection locked="true" hidden="false"/>
    </xf>
    <xf numFmtId="164" fontId="7" fillId="21" borderId="20" xfId="0" applyFont="true" applyBorder="true" applyAlignment="true" applyProtection="false">
      <alignment horizontal="center" vertical="center" textRotation="0" wrapText="false" indent="0" shrinkToFit="false"/>
      <protection locked="true" hidden="false"/>
    </xf>
    <xf numFmtId="164" fontId="7" fillId="18" borderId="11" xfId="19" applyFont="true" applyBorder="true" applyAlignment="true" applyProtection="true">
      <alignment horizontal="center" vertical="bottom" textRotation="0" wrapText="false" indent="0" shrinkToFit="false"/>
      <protection locked="true" hidden="false"/>
    </xf>
    <xf numFmtId="167" fontId="13" fillId="0" borderId="10" xfId="0" applyFont="true" applyBorder="true" applyAlignment="true" applyProtection="false">
      <alignment horizontal="center" vertical="bottom" textRotation="0" wrapText="false" indent="0" shrinkToFit="false"/>
      <protection locked="true" hidden="false"/>
    </xf>
    <xf numFmtId="164" fontId="13" fillId="5" borderId="26" xfId="0" applyFont="true" applyBorder="true" applyAlignment="true" applyProtection="false">
      <alignment horizontal="center" vertical="bottom" textRotation="0" wrapText="false" indent="0" shrinkToFit="false"/>
      <protection locked="true" hidden="false"/>
    </xf>
    <xf numFmtId="167" fontId="7" fillId="18" borderId="9" xfId="0" applyFont="true" applyBorder="true" applyAlignment="true" applyProtection="false">
      <alignment horizontal="center" vertical="bottom" textRotation="0" wrapText="false" indent="0" shrinkToFit="false"/>
      <protection locked="true" hidden="false"/>
    </xf>
    <xf numFmtId="165" fontId="17" fillId="13" borderId="0" xfId="0" applyFont="true" applyBorder="false" applyAlignment="false" applyProtection="false">
      <alignment horizontal="general" vertical="bottom" textRotation="0" wrapText="false" indent="0" shrinkToFit="false"/>
      <protection locked="true" hidden="false"/>
    </xf>
    <xf numFmtId="164" fontId="7" fillId="0" borderId="11" xfId="0" applyFont="true" applyBorder="true" applyAlignment="true" applyProtection="false">
      <alignment horizontal="center" vertical="center" textRotation="0" wrapText="false" indent="0" shrinkToFit="false"/>
      <protection locked="true" hidden="false"/>
    </xf>
    <xf numFmtId="165" fontId="7" fillId="15" borderId="48" xfId="0" applyFont="true" applyBorder="true" applyAlignment="true" applyProtection="false">
      <alignment horizontal="center" vertical="bottom" textRotation="0" wrapText="false" indent="0" shrinkToFit="false"/>
      <protection locked="true" hidden="false"/>
    </xf>
    <xf numFmtId="167" fontId="7" fillId="0" borderId="48" xfId="0" applyFont="true" applyBorder="true" applyAlignment="true" applyProtection="false">
      <alignment horizontal="center" vertical="bottom" textRotation="0" wrapText="false" indent="0" shrinkToFit="false"/>
      <protection locked="true" hidden="false"/>
    </xf>
    <xf numFmtId="164" fontId="7" fillId="0" borderId="48" xfId="19" applyFont="true" applyBorder="true" applyAlignment="true" applyProtection="true">
      <alignment horizontal="center" vertical="bottom" textRotation="0" wrapText="false" indent="0" shrinkToFit="false"/>
      <protection locked="true" hidden="false"/>
    </xf>
    <xf numFmtId="167" fontId="13" fillId="0" borderId="3" xfId="0" applyFont="true" applyBorder="true" applyAlignment="true" applyProtection="false">
      <alignment horizontal="center" vertical="bottom" textRotation="0" wrapText="false" indent="0" shrinkToFit="false"/>
      <protection locked="true" hidden="false"/>
    </xf>
    <xf numFmtId="172" fontId="7" fillId="0" borderId="48" xfId="0" applyFont="true" applyBorder="true" applyAlignment="true" applyProtection="false">
      <alignment horizontal="center" vertical="bottom" textRotation="0" wrapText="false" indent="0" shrinkToFit="false"/>
      <protection locked="true" hidden="false"/>
    </xf>
    <xf numFmtId="164" fontId="7" fillId="0" borderId="31" xfId="19" applyFont="true" applyBorder="true" applyAlignment="true" applyProtection="true">
      <alignment horizontal="center" vertical="bottom" textRotation="0" wrapText="false" indent="0" shrinkToFit="false"/>
      <protection locked="true" hidden="false"/>
    </xf>
    <xf numFmtId="171" fontId="7" fillId="0" borderId="14" xfId="0" applyFont="true" applyBorder="true" applyAlignment="true" applyProtection="false">
      <alignment horizontal="center" vertical="center" textRotation="0" wrapText="false" indent="0" shrinkToFit="false"/>
      <protection locked="true" hidden="false"/>
    </xf>
    <xf numFmtId="164" fontId="13" fillId="22" borderId="42" xfId="0" applyFont="true" applyBorder="true" applyAlignment="true" applyProtection="false">
      <alignment horizontal="center" vertical="bottom" textRotation="0" wrapText="false" indent="0" shrinkToFit="false"/>
      <protection locked="true" hidden="false"/>
    </xf>
    <xf numFmtId="164" fontId="13" fillId="22" borderId="20" xfId="0" applyFont="true" applyBorder="true" applyAlignment="true" applyProtection="false">
      <alignment horizontal="center" vertical="center" textRotation="0" wrapText="false" indent="0" shrinkToFit="false"/>
      <protection locked="true" hidden="false"/>
    </xf>
    <xf numFmtId="165" fontId="7" fillId="22" borderId="0" xfId="0" applyFont="true" applyBorder="false" applyAlignment="false" applyProtection="false">
      <alignment horizontal="general" vertical="bottom" textRotation="0" wrapText="false" indent="0" shrinkToFit="false"/>
      <protection locked="true" hidden="false"/>
    </xf>
    <xf numFmtId="165" fontId="7" fillId="18" borderId="35" xfId="0" applyFont="true" applyBorder="true" applyAlignment="false" applyProtection="false">
      <alignment horizontal="general" vertical="bottom" textRotation="0" wrapText="false" indent="0" shrinkToFit="false"/>
      <protection locked="true" hidden="false"/>
    </xf>
    <xf numFmtId="165" fontId="7" fillId="18" borderId="31" xfId="0" applyFont="true" applyBorder="true" applyAlignment="true" applyProtection="false">
      <alignment horizontal="center" vertical="bottom" textRotation="0" wrapText="false" indent="0" shrinkToFit="false"/>
      <protection locked="true" hidden="false"/>
    </xf>
    <xf numFmtId="164" fontId="7" fillId="18" borderId="31" xfId="19" applyFont="true" applyBorder="true" applyAlignment="true" applyProtection="true">
      <alignment horizontal="center" vertical="bottom" textRotation="0" wrapText="false" indent="0" shrinkToFit="false"/>
      <protection locked="true" hidden="false"/>
    </xf>
    <xf numFmtId="164" fontId="7" fillId="0" borderId="37" xfId="0" applyFont="true" applyBorder="true" applyAlignment="true" applyProtection="false">
      <alignment horizontal="center" vertical="bottom" textRotation="0" wrapText="false" indent="0" shrinkToFit="false"/>
      <protection locked="true" hidden="false"/>
    </xf>
    <xf numFmtId="164" fontId="13" fillId="0" borderId="15" xfId="0" applyFont="true" applyBorder="true" applyAlignment="true" applyProtection="false">
      <alignment horizontal="center" vertical="bottom" textRotation="0" wrapText="false" indent="0" shrinkToFit="false"/>
      <protection locked="true" hidden="false"/>
    </xf>
    <xf numFmtId="164" fontId="13" fillId="0" borderId="43" xfId="0" applyFont="true" applyBorder="true" applyAlignment="true" applyProtection="false">
      <alignment horizontal="center" vertical="center" textRotation="0" wrapText="false" indent="0" shrinkToFit="false"/>
      <protection locked="true" hidden="false"/>
    </xf>
    <xf numFmtId="165" fontId="13" fillId="23" borderId="0" xfId="0" applyFont="true" applyBorder="false" applyAlignment="true" applyProtection="false">
      <alignment horizontal="center" vertical="bottom" textRotation="0" wrapText="true" indent="0" shrinkToFit="false"/>
      <protection locked="true" hidden="false"/>
    </xf>
    <xf numFmtId="165" fontId="13" fillId="23" borderId="0" xfId="0" applyFont="true" applyBorder="false" applyAlignment="true" applyProtection="false">
      <alignment horizontal="general" vertical="bottom" textRotation="0" wrapText="true" indent="0" shrinkToFit="false"/>
      <protection locked="true" hidden="false"/>
    </xf>
    <xf numFmtId="165" fontId="7" fillId="23" borderId="0" xfId="0" applyFont="true" applyBorder="false" applyAlignment="true" applyProtection="false">
      <alignment horizontal="center" vertical="bottom" textRotation="0" wrapText="true" indent="0" shrinkToFit="false"/>
      <protection locked="true" hidden="false"/>
    </xf>
    <xf numFmtId="165" fontId="13" fillId="19" borderId="21" xfId="0" applyFont="true" applyBorder="true" applyAlignment="true" applyProtection="false">
      <alignment horizontal="general" vertical="bottom" textRotation="0" wrapText="true" indent="0" shrinkToFit="false"/>
      <protection locked="true" hidden="false"/>
    </xf>
    <xf numFmtId="165" fontId="13" fillId="23" borderId="21" xfId="0" applyFont="true" applyBorder="true" applyAlignment="true" applyProtection="false">
      <alignment horizontal="center" vertical="bottom" textRotation="0" wrapText="true" indent="0" shrinkToFit="false"/>
      <protection locked="true" hidden="false"/>
    </xf>
    <xf numFmtId="164" fontId="13" fillId="0" borderId="9" xfId="0" applyFont="true" applyBorder="true" applyAlignment="true" applyProtection="false">
      <alignment horizontal="center" vertical="bottom" textRotation="0" wrapText="false" indent="0" shrinkToFit="false"/>
      <protection locked="true" hidden="false"/>
    </xf>
    <xf numFmtId="165" fontId="7" fillId="23" borderId="0" xfId="0" applyFont="true" applyBorder="false" applyAlignment="true" applyProtection="false">
      <alignment horizontal="general" vertical="bottom" textRotation="0" wrapText="true" indent="0" shrinkToFit="false"/>
      <protection locked="true" hidden="false"/>
    </xf>
    <xf numFmtId="165" fontId="12" fillId="19" borderId="0" xfId="0" applyFont="true" applyBorder="false" applyAlignment="true" applyProtection="false">
      <alignment horizontal="general" vertical="bottom" textRotation="0" wrapText="true" indent="0" shrinkToFit="false"/>
      <protection locked="true" hidden="false"/>
    </xf>
    <xf numFmtId="165" fontId="12" fillId="23" borderId="0" xfId="0" applyFont="true" applyBorder="false" applyAlignment="true" applyProtection="false">
      <alignment horizontal="center" vertical="bottom" textRotation="0" wrapText="true" indent="0" shrinkToFit="false"/>
      <protection locked="true" hidden="false"/>
    </xf>
    <xf numFmtId="164" fontId="7" fillId="0" borderId="11" xfId="19" applyFont="true" applyBorder="true" applyAlignment="true" applyProtection="true">
      <alignment horizontal="center" vertical="bottom" textRotation="0" wrapText="false" indent="0" shrinkToFit="false"/>
      <protection locked="true" hidden="false"/>
    </xf>
    <xf numFmtId="164" fontId="7" fillId="0" borderId="37" xfId="19" applyFont="true" applyBorder="true" applyAlignment="true" applyProtection="true">
      <alignment horizontal="center" vertical="center" textRotation="0" wrapText="false" indent="0" shrinkToFit="false"/>
      <protection locked="true" hidden="false"/>
    </xf>
    <xf numFmtId="164" fontId="7" fillId="0" borderId="35" xfId="0" applyFont="true" applyBorder="true" applyAlignment="true" applyProtection="false">
      <alignment horizontal="center" vertical="center" textRotation="0" wrapText="false" indent="0" shrinkToFit="false"/>
      <protection locked="true" hidden="false"/>
    </xf>
    <xf numFmtId="165" fontId="7" fillId="19" borderId="0" xfId="0" applyFont="true" applyBorder="false" applyAlignment="true" applyProtection="false">
      <alignment horizontal="general" vertical="bottom" textRotation="0" wrapText="true" indent="0" shrinkToFit="false"/>
      <protection locked="true" hidden="false"/>
    </xf>
    <xf numFmtId="165" fontId="7" fillId="23" borderId="0" xfId="0" applyFont="true" applyBorder="false" applyAlignment="true" applyProtection="false">
      <alignment horizontal="center" vertical="center" textRotation="0" wrapText="true" indent="0" shrinkToFit="false"/>
      <protection locked="true" hidden="false"/>
    </xf>
    <xf numFmtId="164" fontId="13" fillId="0" borderId="32" xfId="0" applyFont="true" applyBorder="true" applyAlignment="true" applyProtection="false">
      <alignment horizontal="center" vertical="bottom" textRotation="0" wrapText="false" indent="0" shrinkToFit="false"/>
      <protection locked="true" hidden="false"/>
    </xf>
    <xf numFmtId="165" fontId="16" fillId="19" borderId="0" xfId="0" applyFont="true" applyBorder="false" applyAlignment="true" applyProtection="false">
      <alignment horizontal="general" vertical="bottom" textRotation="0" wrapText="true" indent="0" shrinkToFit="false"/>
      <protection locked="true" hidden="false"/>
    </xf>
    <xf numFmtId="165" fontId="16" fillId="23" borderId="0" xfId="0" applyFont="true" applyBorder="false" applyAlignment="true" applyProtection="false">
      <alignment horizontal="center" vertical="bottom" textRotation="0" wrapText="true" indent="0" shrinkToFit="false"/>
      <protection locked="true" hidden="false"/>
    </xf>
    <xf numFmtId="165" fontId="13" fillId="0" borderId="7" xfId="0" applyFont="true" applyBorder="true" applyAlignment="true" applyProtection="false">
      <alignment horizontal="center" vertical="bottom" textRotation="0" wrapText="false" indent="0" shrinkToFit="false"/>
      <protection locked="true" hidden="false"/>
    </xf>
    <xf numFmtId="165" fontId="10" fillId="8" borderId="7" xfId="0" applyFont="true" applyBorder="true" applyAlignment="true" applyProtection="false">
      <alignment horizontal="center" vertical="bottom" textRotation="0" wrapText="false" indent="0" shrinkToFit="false"/>
      <protection locked="true" hidden="false"/>
    </xf>
    <xf numFmtId="171" fontId="10" fillId="8" borderId="7" xfId="0" applyFont="true" applyBorder="true" applyAlignment="true" applyProtection="false">
      <alignment horizontal="center" vertical="bottom" textRotation="0" wrapText="false" indent="0" shrinkToFit="false"/>
      <protection locked="true" hidden="false"/>
    </xf>
    <xf numFmtId="167" fontId="10" fillId="8" borderId="48" xfId="0" applyFont="true" applyBorder="true" applyAlignment="true" applyProtection="false">
      <alignment horizontal="center" vertical="bottom" textRotation="0" wrapText="false" indent="0" shrinkToFit="false"/>
      <protection locked="true" hidden="false"/>
    </xf>
    <xf numFmtId="172" fontId="10" fillId="8" borderId="6" xfId="0" applyFont="true" applyBorder="true" applyAlignment="true" applyProtection="false">
      <alignment horizontal="center" vertical="bottom" textRotation="0" wrapText="false" indent="0" shrinkToFit="false"/>
      <protection locked="true" hidden="false"/>
    </xf>
    <xf numFmtId="172" fontId="10" fillId="8" borderId="48" xfId="0" applyFont="true" applyBorder="true" applyAlignment="true" applyProtection="false">
      <alignment horizontal="center" vertical="bottom" textRotation="0" wrapText="false" indent="0" shrinkToFit="false"/>
      <protection locked="true" hidden="false"/>
    </xf>
    <xf numFmtId="164" fontId="7" fillId="0" borderId="48" xfId="0" applyFont="true" applyBorder="true" applyAlignment="true" applyProtection="false">
      <alignment horizontal="center" vertical="bottom" textRotation="0" wrapText="false" indent="0" shrinkToFit="false"/>
      <protection locked="true" hidden="false"/>
    </xf>
    <xf numFmtId="172" fontId="10" fillId="8" borderId="6" xfId="0" applyFont="true" applyBorder="true" applyAlignment="true" applyProtection="false">
      <alignment horizontal="center" vertical="center" textRotation="0" wrapText="false" indent="0" shrinkToFit="false"/>
      <protection locked="true" hidden="false"/>
    </xf>
    <xf numFmtId="167" fontId="10" fillId="8" borderId="25" xfId="0" applyFont="true" applyBorder="true" applyAlignment="true" applyProtection="false">
      <alignment horizontal="center" vertical="bottom" textRotation="0" wrapText="false" indent="0" shrinkToFit="false"/>
      <protection locked="true" hidden="false"/>
    </xf>
    <xf numFmtId="167" fontId="10" fillId="8" borderId="6" xfId="0" applyFont="true" applyBorder="true" applyAlignment="true" applyProtection="false">
      <alignment horizontal="center" vertical="bottom" textRotation="0" wrapText="false" indent="0" shrinkToFit="false"/>
      <protection locked="true" hidden="false"/>
    </xf>
    <xf numFmtId="164" fontId="7" fillId="17" borderId="27" xfId="0" applyFont="true" applyBorder="true" applyAlignment="true" applyProtection="false">
      <alignment horizontal="center" vertical="center" textRotation="0" wrapText="false" indent="0" shrinkToFit="false"/>
      <protection locked="true" hidden="false"/>
    </xf>
    <xf numFmtId="165" fontId="7" fillId="0" borderId="49" xfId="0" applyFont="true" applyBorder="true" applyAlignment="false" applyProtection="false">
      <alignment horizontal="general" vertical="bottom" textRotation="0" wrapText="false" indent="0" shrinkToFit="false"/>
      <protection locked="true" hidden="false"/>
    </xf>
    <xf numFmtId="165" fontId="7" fillId="0" borderId="50" xfId="0" applyFont="true" applyBorder="true" applyAlignment="true" applyProtection="false">
      <alignment horizontal="center" vertical="bottom" textRotation="0" wrapText="false" indent="0" shrinkToFit="false"/>
      <protection locked="true" hidden="false"/>
    </xf>
    <xf numFmtId="165" fontId="7" fillId="15" borderId="50" xfId="0" applyFont="true" applyBorder="true" applyAlignment="true" applyProtection="false">
      <alignment horizontal="center" vertical="bottom" textRotation="0" wrapText="false" indent="0" shrinkToFit="false"/>
      <protection locked="true" hidden="false"/>
    </xf>
    <xf numFmtId="165" fontId="13" fillId="0" borderId="50" xfId="0" applyFont="true" applyBorder="true" applyAlignment="true" applyProtection="false">
      <alignment horizontal="center" vertical="bottom" textRotation="0" wrapText="false" indent="0" shrinkToFit="false"/>
      <protection locked="true" hidden="false"/>
    </xf>
    <xf numFmtId="164" fontId="7" fillId="0" borderId="50" xfId="19" applyFont="true" applyBorder="true" applyAlignment="true" applyProtection="true">
      <alignment horizontal="center" vertical="bottom" textRotation="0" wrapText="false" indent="0" shrinkToFit="false"/>
      <protection locked="true" hidden="false"/>
    </xf>
    <xf numFmtId="165" fontId="10" fillId="8" borderId="31" xfId="0" applyFont="true" applyBorder="true" applyAlignment="true" applyProtection="false">
      <alignment horizontal="center" vertical="bottom" textRotation="0" wrapText="false" indent="0" shrinkToFit="false"/>
      <protection locked="true" hidden="false"/>
    </xf>
    <xf numFmtId="171" fontId="10" fillId="8" borderId="31" xfId="0" applyFont="true" applyBorder="true" applyAlignment="true" applyProtection="false">
      <alignment horizontal="center" vertical="bottom" textRotation="0" wrapText="false" indent="0" shrinkToFit="false"/>
      <protection locked="true" hidden="false"/>
    </xf>
    <xf numFmtId="167" fontId="10" fillId="8" borderId="31" xfId="0" applyFont="true" applyBorder="true" applyAlignment="true" applyProtection="false">
      <alignment horizontal="center" vertical="bottom" textRotation="0" wrapText="false" indent="0" shrinkToFit="false"/>
      <protection locked="true" hidden="false"/>
    </xf>
    <xf numFmtId="164" fontId="13" fillId="0" borderId="51" xfId="0" applyFont="true" applyBorder="true" applyAlignment="true" applyProtection="false">
      <alignment horizontal="center" vertical="bottom" textRotation="0" wrapText="false" indent="0" shrinkToFit="false"/>
      <protection locked="true" hidden="false"/>
    </xf>
    <xf numFmtId="172" fontId="7" fillId="0" borderId="52" xfId="0" applyFont="true" applyBorder="true" applyAlignment="true" applyProtection="false">
      <alignment horizontal="center" vertical="center" textRotation="0" wrapText="false" indent="0" shrinkToFit="false"/>
      <protection locked="true" hidden="false"/>
    </xf>
    <xf numFmtId="164" fontId="13" fillId="0" borderId="41" xfId="0" applyFont="true" applyBorder="true" applyAlignment="true" applyProtection="false">
      <alignment horizontal="center" vertical="bottom" textRotation="0" wrapText="false" indent="0" shrinkToFit="false"/>
      <protection locked="true" hidden="false"/>
    </xf>
    <xf numFmtId="164" fontId="7" fillId="21" borderId="1" xfId="0" applyFont="true" applyBorder="true" applyAlignment="true" applyProtection="false">
      <alignment horizontal="center" vertical="center" textRotation="0" wrapText="false" indent="0" shrinkToFit="false"/>
      <protection locked="true" hidden="false"/>
    </xf>
    <xf numFmtId="167" fontId="7" fillId="12" borderId="21" xfId="0" applyFont="true" applyBorder="true" applyAlignment="true" applyProtection="false">
      <alignment horizontal="center" vertical="bottom" textRotation="0" wrapText="true" indent="0" shrinkToFit="false"/>
      <protection locked="true" hidden="false"/>
    </xf>
    <xf numFmtId="165" fontId="16" fillId="13" borderId="21" xfId="0" applyFont="true" applyBorder="true" applyAlignment="true" applyProtection="false">
      <alignment horizontal="general" vertical="bottom" textRotation="0" wrapText="true" indent="0" shrinkToFit="false"/>
      <protection locked="true" hidden="false"/>
    </xf>
    <xf numFmtId="165" fontId="16" fillId="14" borderId="21" xfId="0" applyFont="true" applyBorder="true" applyAlignment="true" applyProtection="false">
      <alignment horizontal="center" vertical="bottom" textRotation="0" wrapText="true" indent="0" shrinkToFit="false"/>
      <protection locked="true" hidden="false"/>
    </xf>
    <xf numFmtId="165" fontId="13" fillId="19" borderId="21" xfId="0" applyFont="true" applyBorder="true" applyAlignment="true" applyProtection="false">
      <alignment horizontal="left" vertical="bottom" textRotation="0" wrapText="true" indent="0" shrinkToFit="false"/>
      <protection locked="true" hidden="false"/>
    </xf>
    <xf numFmtId="165" fontId="7" fillId="19" borderId="21" xfId="0" applyFont="true" applyBorder="true" applyAlignment="true" applyProtection="false">
      <alignment horizontal="general" vertical="bottom" textRotation="0" wrapText="true" indent="0" shrinkToFit="false"/>
      <protection locked="true" hidden="false"/>
    </xf>
    <xf numFmtId="165" fontId="7" fillId="23" borderId="21" xfId="0" applyFont="true" applyBorder="true" applyAlignment="true" applyProtection="false">
      <alignment horizontal="center" vertical="bottom" textRotation="0" wrapText="true" indent="0" shrinkToFit="false"/>
      <protection locked="true" hidden="false"/>
    </xf>
    <xf numFmtId="165" fontId="7" fillId="23" borderId="21" xfId="0" applyFont="true" applyBorder="true" applyAlignment="true" applyProtection="false">
      <alignment horizontal="general" vertical="bottom" textRotation="0" wrapText="true" indent="0" shrinkToFit="false"/>
      <protection locked="true" hidden="false"/>
    </xf>
    <xf numFmtId="167" fontId="7" fillId="12" borderId="0" xfId="0" applyFont="true" applyBorder="false" applyAlignment="true" applyProtection="false">
      <alignment horizontal="center" vertical="bottom" textRotation="0" wrapText="true" indent="0" shrinkToFit="false"/>
      <protection locked="true" hidden="false"/>
    </xf>
    <xf numFmtId="164" fontId="7" fillId="18" borderId="12" xfId="19" applyFont="true" applyBorder="true" applyAlignment="true" applyProtection="true">
      <alignment horizontal="center" vertical="center" textRotation="0" wrapText="false" indent="0" shrinkToFit="false"/>
      <protection locked="true" hidden="false"/>
    </xf>
    <xf numFmtId="164" fontId="13" fillId="0" borderId="12" xfId="19" applyFont="true" applyBorder="true" applyAlignment="true" applyProtection="true">
      <alignment horizontal="center" vertical="center" textRotation="0" wrapText="false" indent="0" shrinkToFit="false"/>
      <protection locked="true" hidden="false"/>
    </xf>
    <xf numFmtId="164" fontId="7" fillId="0" borderId="12" xfId="0" applyFont="true" applyBorder="true" applyAlignment="true" applyProtection="false">
      <alignment horizontal="center" vertical="center" textRotation="0" wrapText="false" indent="0" shrinkToFit="false"/>
      <protection locked="true" hidden="false"/>
    </xf>
    <xf numFmtId="167" fontId="7" fillId="0" borderId="26" xfId="0" applyFont="true" applyBorder="true" applyAlignment="true" applyProtection="false">
      <alignment horizontal="center" vertical="bottom" textRotation="0" wrapText="false" indent="0" shrinkToFit="false"/>
      <protection locked="true" hidden="false"/>
    </xf>
    <xf numFmtId="165" fontId="7" fillId="0" borderId="24" xfId="0" applyFont="true" applyBorder="true" applyAlignment="true" applyProtection="false">
      <alignment horizontal="general" vertical="bottom" textRotation="0" wrapText="true" indent="0" shrinkToFit="false"/>
      <protection locked="true" hidden="false"/>
    </xf>
    <xf numFmtId="165" fontId="13" fillId="0" borderId="7" xfId="0" applyFont="true" applyBorder="true" applyAlignment="true" applyProtection="false">
      <alignment horizontal="center" vertical="bottom" textRotation="0" wrapText="true" indent="0" shrinkToFit="false"/>
      <protection locked="true" hidden="false"/>
    </xf>
    <xf numFmtId="165" fontId="7" fillId="15" borderId="7" xfId="0" applyFont="true" applyBorder="true" applyAlignment="true" applyProtection="false">
      <alignment horizontal="center" vertical="bottom" textRotation="0" wrapText="true" indent="0" shrinkToFit="false"/>
      <protection locked="true" hidden="false"/>
    </xf>
    <xf numFmtId="165" fontId="7" fillId="0" borderId="7" xfId="0" applyFont="true" applyBorder="true" applyAlignment="true" applyProtection="false">
      <alignment horizontal="center" vertical="bottom" textRotation="0" wrapText="true" indent="0" shrinkToFit="false"/>
      <protection locked="true" hidden="false"/>
    </xf>
    <xf numFmtId="171" fontId="7" fillId="0" borderId="7" xfId="0" applyFont="true" applyBorder="true" applyAlignment="true" applyProtection="false">
      <alignment horizontal="center" vertical="bottom" textRotation="0" wrapText="true" indent="0" shrinkToFit="false"/>
      <protection locked="true" hidden="false"/>
    </xf>
    <xf numFmtId="172" fontId="7" fillId="0" borderId="48" xfId="0" applyFont="true" applyBorder="true" applyAlignment="true" applyProtection="false">
      <alignment horizontal="center" vertical="center" textRotation="0" wrapText="false" indent="0" shrinkToFit="false"/>
      <protection locked="true" hidden="false"/>
    </xf>
    <xf numFmtId="167" fontId="7" fillId="0" borderId="42" xfId="0" applyFont="true" applyBorder="true" applyAlignment="true" applyProtection="false">
      <alignment horizontal="center" vertical="bottom" textRotation="0" wrapText="false" indent="0" shrinkToFit="false"/>
      <protection locked="true" hidden="false"/>
    </xf>
    <xf numFmtId="164" fontId="7" fillId="21" borderId="0" xfId="0" applyFont="true" applyBorder="false" applyAlignment="true" applyProtection="false">
      <alignment horizontal="center" vertical="center" textRotation="0" wrapText="false" indent="0" shrinkToFit="false"/>
      <protection locked="true" hidden="false"/>
    </xf>
    <xf numFmtId="165" fontId="7" fillId="24" borderId="0" xfId="0" applyFont="true" applyBorder="false" applyAlignment="true" applyProtection="false">
      <alignment horizontal="center" vertical="bottom" textRotation="0" wrapText="true" indent="0" shrinkToFit="false"/>
      <protection locked="true" hidden="false"/>
    </xf>
    <xf numFmtId="165" fontId="16" fillId="23" borderId="0" xfId="0" applyFont="true" applyBorder="false" applyAlignment="true" applyProtection="false">
      <alignment horizontal="center" vertical="center" textRotation="0" wrapText="true" indent="0" shrinkToFit="false"/>
      <protection locked="true" hidden="false"/>
    </xf>
    <xf numFmtId="165" fontId="7" fillId="23" borderId="28" xfId="0" applyFont="true" applyBorder="true" applyAlignment="true" applyProtection="false">
      <alignment horizontal="general" vertical="bottom" textRotation="0" wrapText="true" indent="0" shrinkToFit="false"/>
      <protection locked="true" hidden="false"/>
    </xf>
    <xf numFmtId="165" fontId="7" fillId="0" borderId="35" xfId="0" applyFont="true" applyBorder="true" applyAlignment="true" applyProtection="false">
      <alignment horizontal="general" vertical="bottom" textRotation="0" wrapText="true" indent="0" shrinkToFit="false"/>
      <protection locked="true" hidden="false"/>
    </xf>
    <xf numFmtId="165" fontId="13" fillId="0" borderId="31" xfId="0" applyFont="true" applyBorder="true" applyAlignment="true" applyProtection="false">
      <alignment horizontal="center" vertical="bottom" textRotation="0" wrapText="true" indent="0" shrinkToFit="false"/>
      <protection locked="true" hidden="false"/>
    </xf>
    <xf numFmtId="165" fontId="7" fillId="15" borderId="31" xfId="0" applyFont="true" applyBorder="true" applyAlignment="true" applyProtection="false">
      <alignment horizontal="center" vertical="bottom" textRotation="0" wrapText="true" indent="0" shrinkToFit="false"/>
      <protection locked="true" hidden="false"/>
    </xf>
    <xf numFmtId="165" fontId="7" fillId="0" borderId="31" xfId="0" applyFont="true" applyBorder="true" applyAlignment="true" applyProtection="false">
      <alignment horizontal="center" vertical="bottom" textRotation="0" wrapText="true" indent="0" shrinkToFit="false"/>
      <protection locked="true" hidden="false"/>
    </xf>
    <xf numFmtId="171" fontId="7" fillId="0" borderId="31" xfId="0" applyFont="true" applyBorder="true" applyAlignment="true" applyProtection="false">
      <alignment horizontal="center" vertical="bottom" textRotation="0" wrapText="true" indent="0" shrinkToFit="false"/>
      <protection locked="true" hidden="false"/>
    </xf>
    <xf numFmtId="167" fontId="7" fillId="0" borderId="37" xfId="0" applyFont="true" applyBorder="true" applyAlignment="true" applyProtection="false">
      <alignment horizontal="center" vertical="bottom" textRotation="0" wrapText="false" indent="0" shrinkToFit="false"/>
      <protection locked="true" hidden="false"/>
    </xf>
    <xf numFmtId="165" fontId="7" fillId="24" borderId="38" xfId="0" applyFont="true" applyBorder="true" applyAlignment="true" applyProtection="false">
      <alignment horizontal="center" vertical="bottom" textRotation="0" wrapText="true" indent="0" shrinkToFit="false"/>
      <protection locked="true" hidden="false"/>
    </xf>
    <xf numFmtId="165" fontId="16" fillId="19" borderId="38" xfId="0" applyFont="true" applyBorder="true" applyAlignment="true" applyProtection="false">
      <alignment horizontal="general" vertical="bottom" textRotation="0" wrapText="true" indent="0" shrinkToFit="false"/>
      <protection locked="true" hidden="false"/>
    </xf>
    <xf numFmtId="165" fontId="16" fillId="23" borderId="38" xfId="0" applyFont="true" applyBorder="true" applyAlignment="true" applyProtection="false">
      <alignment horizontal="center" vertical="center" textRotation="0" wrapText="true" indent="0" shrinkToFit="false"/>
      <protection locked="true" hidden="false"/>
    </xf>
    <xf numFmtId="165" fontId="16" fillId="23" borderId="38" xfId="0" applyFont="true" applyBorder="true" applyAlignment="true" applyProtection="false">
      <alignment horizontal="center" vertical="bottom" textRotation="0" wrapText="true" indent="0" shrinkToFit="false"/>
      <protection locked="true" hidden="false"/>
    </xf>
    <xf numFmtId="165" fontId="7" fillId="19" borderId="38" xfId="0" applyFont="true" applyBorder="true" applyAlignment="true" applyProtection="false">
      <alignment horizontal="general" vertical="bottom" textRotation="0" wrapText="true" indent="0" shrinkToFit="false"/>
      <protection locked="true" hidden="false"/>
    </xf>
    <xf numFmtId="165" fontId="7" fillId="23" borderId="38" xfId="0" applyFont="true" applyBorder="true" applyAlignment="true" applyProtection="false">
      <alignment horizontal="general" vertical="bottom" textRotation="0" wrapText="true" indent="0" shrinkToFit="false"/>
      <protection locked="true" hidden="false"/>
    </xf>
    <xf numFmtId="165" fontId="13" fillId="19" borderId="38" xfId="0" applyFont="true" applyBorder="true" applyAlignment="true" applyProtection="false">
      <alignment horizontal="general" vertical="bottom" textRotation="0" wrapText="true" indent="0" shrinkToFit="false"/>
      <protection locked="true" hidden="false"/>
    </xf>
    <xf numFmtId="165" fontId="13" fillId="23" borderId="38" xfId="0" applyFont="true" applyBorder="true" applyAlignment="true" applyProtection="false">
      <alignment horizontal="general" vertical="bottom" textRotation="0" wrapText="true" indent="0" shrinkToFit="false"/>
      <protection locked="true" hidden="false"/>
    </xf>
    <xf numFmtId="165" fontId="7" fillId="23" borderId="40" xfId="0" applyFont="true" applyBorder="true" applyAlignment="true" applyProtection="false">
      <alignment horizontal="general" vertical="bottom" textRotation="0" wrapText="true" indent="0" shrinkToFit="false"/>
      <protection locked="true" hidden="false"/>
    </xf>
    <xf numFmtId="167" fontId="7" fillId="0" borderId="53" xfId="0" applyFont="true" applyBorder="true" applyAlignment="true" applyProtection="false">
      <alignment horizontal="center" vertical="bottom" textRotation="0" wrapText="false" indent="0" shrinkToFit="false"/>
      <protection locked="true" hidden="false"/>
    </xf>
    <xf numFmtId="164" fontId="13" fillId="0" borderId="45" xfId="0" applyFont="true" applyBorder="true" applyAlignment="true" applyProtection="false">
      <alignment horizontal="center" vertical="center" textRotation="0" wrapText="false" indent="0" shrinkToFit="false"/>
      <protection locked="true" hidden="false"/>
    </xf>
    <xf numFmtId="164" fontId="7" fillId="17" borderId="54" xfId="0" applyFont="true" applyBorder="true" applyAlignment="true" applyProtection="false">
      <alignment horizontal="center" vertical="center" textRotation="0" wrapText="false" indent="0" shrinkToFit="false"/>
      <protection locked="true" hidden="false"/>
    </xf>
    <xf numFmtId="164" fontId="7" fillId="0" borderId="11" xfId="19" applyFont="true" applyBorder="true" applyAlignment="true" applyProtection="true">
      <alignment horizontal="center" vertical="center" textRotation="0" wrapText="false" indent="0" shrinkToFit="false"/>
      <protection locked="true" hidden="false"/>
    </xf>
    <xf numFmtId="164" fontId="13" fillId="0" borderId="11" xfId="19" applyFont="true" applyBorder="true" applyAlignment="true" applyProtection="true">
      <alignment horizontal="center" vertical="center" textRotation="0" wrapText="false" indent="0" shrinkToFit="false"/>
      <protection locked="true" hidden="false"/>
    </xf>
    <xf numFmtId="164" fontId="13" fillId="0" borderId="55" xfId="19" applyFont="true" applyBorder="true" applyAlignment="true" applyProtection="true">
      <alignment horizontal="center" vertical="center" textRotation="0" wrapText="false" indent="0" shrinkToFit="false"/>
      <protection locked="true" hidden="false"/>
    </xf>
    <xf numFmtId="164" fontId="7" fillId="0" borderId="55" xfId="0" applyFont="true" applyBorder="true" applyAlignment="true" applyProtection="false">
      <alignment horizontal="center" vertical="center" textRotation="0" wrapText="false" indent="0" shrinkToFit="false"/>
      <protection locked="true" hidden="false"/>
    </xf>
    <xf numFmtId="167" fontId="7" fillId="0" borderId="56" xfId="0" applyFont="true" applyBorder="true" applyAlignment="true" applyProtection="false">
      <alignment horizontal="center" vertical="bottom" textRotation="0" wrapText="false" indent="0" shrinkToFit="false"/>
      <protection locked="true" hidden="false"/>
    </xf>
    <xf numFmtId="165" fontId="7" fillId="0" borderId="52" xfId="0" applyFont="true" applyBorder="true" applyAlignment="true" applyProtection="false">
      <alignment horizontal="center" vertical="bottom" textRotation="0" wrapText="false" indent="0" shrinkToFit="false"/>
      <protection locked="true" hidden="false"/>
    </xf>
    <xf numFmtId="165" fontId="7" fillId="15" borderId="52" xfId="0" applyFont="true" applyBorder="true" applyAlignment="true" applyProtection="false">
      <alignment horizontal="center" vertical="bottom" textRotation="0" wrapText="false" indent="0" shrinkToFit="false"/>
      <protection locked="true" hidden="false"/>
    </xf>
    <xf numFmtId="164" fontId="13" fillId="0" borderId="56" xfId="0" applyFont="true" applyBorder="true" applyAlignment="true" applyProtection="false">
      <alignment horizontal="center" vertical="center" textRotation="0" wrapText="false" indent="0" shrinkToFit="false"/>
      <protection locked="true" hidden="false"/>
    </xf>
    <xf numFmtId="172" fontId="7" fillId="0" borderId="57" xfId="0" applyFont="true" applyBorder="true" applyAlignment="false" applyProtection="false">
      <alignment horizontal="general" vertical="bottom" textRotation="0" wrapText="false" indent="0" shrinkToFit="false"/>
      <protection locked="true" hidden="false"/>
    </xf>
    <xf numFmtId="164" fontId="7" fillId="21" borderId="36" xfId="0" applyFont="true" applyBorder="true" applyAlignment="true" applyProtection="false">
      <alignment horizontal="center" vertical="center" textRotation="0" wrapText="false" indent="0" shrinkToFit="false"/>
      <protection locked="true" hidden="false"/>
    </xf>
    <xf numFmtId="164" fontId="7" fillId="21" borderId="21" xfId="0" applyFont="true" applyBorder="true" applyAlignment="true" applyProtection="false">
      <alignment horizontal="center" vertical="center" textRotation="0" wrapText="false" indent="0" shrinkToFit="false"/>
      <protection locked="true" hidden="false"/>
    </xf>
    <xf numFmtId="165" fontId="7" fillId="11" borderId="21" xfId="0" applyFont="true" applyBorder="true" applyAlignment="true" applyProtection="false">
      <alignment horizontal="general" vertical="bottom" textRotation="0" wrapText="true" indent="0" shrinkToFit="false"/>
      <protection locked="true" hidden="false"/>
    </xf>
    <xf numFmtId="165" fontId="7" fillId="13" borderId="21" xfId="0" applyFont="true" applyBorder="true" applyAlignment="true" applyProtection="false">
      <alignment horizontal="left" vertical="bottom" textRotation="0" wrapText="true" indent="0" shrinkToFit="false"/>
      <protection locked="true" hidden="false"/>
    </xf>
    <xf numFmtId="167" fontId="7" fillId="0" borderId="9" xfId="0" applyFont="true" applyBorder="true" applyAlignment="true" applyProtection="false">
      <alignment horizontal="center" vertical="bottom" textRotation="0" wrapText="false" indent="0" shrinkToFit="false"/>
      <protection locked="true" hidden="false"/>
    </xf>
    <xf numFmtId="164" fontId="7" fillId="18" borderId="58" xfId="19" applyFont="true" applyBorder="true" applyAlignment="true" applyProtection="true">
      <alignment horizontal="center" vertical="center" textRotation="0" wrapText="false" indent="0" shrinkToFit="false"/>
      <protection locked="true" hidden="false"/>
    </xf>
    <xf numFmtId="164" fontId="7" fillId="5" borderId="7" xfId="19" applyFont="true" applyBorder="true" applyAlignment="true" applyProtection="true">
      <alignment horizontal="center" vertical="bottom" textRotation="0" wrapText="false" indent="0" shrinkToFit="false"/>
      <protection locked="true" hidden="false"/>
    </xf>
    <xf numFmtId="164" fontId="7" fillId="21" borderId="38" xfId="0" applyFont="true" applyBorder="true" applyAlignment="true" applyProtection="false">
      <alignment horizontal="center" vertical="center" textRotation="0" wrapText="false" indent="0" shrinkToFit="false"/>
      <protection locked="true" hidden="false"/>
    </xf>
    <xf numFmtId="165" fontId="7" fillId="11" borderId="38" xfId="0" applyFont="true" applyBorder="true" applyAlignment="true" applyProtection="false">
      <alignment horizontal="general" vertical="bottom" textRotation="0" wrapText="true" indent="0" shrinkToFit="false"/>
      <protection locked="true" hidden="false"/>
    </xf>
    <xf numFmtId="170" fontId="7" fillId="0" borderId="7" xfId="0" applyFont="true" applyBorder="true" applyAlignment="true" applyProtection="false">
      <alignment horizontal="center" vertical="center" textRotation="0" wrapText="false" indent="0" shrinkToFit="false"/>
      <protection locked="true" hidden="false"/>
    </xf>
    <xf numFmtId="164" fontId="7" fillId="21" borderId="43" xfId="0" applyFont="true" applyBorder="true" applyAlignment="true" applyProtection="false">
      <alignment horizontal="center" vertical="center" textRotation="0" wrapText="false" indent="0" shrinkToFit="false"/>
      <protection locked="true" hidden="false"/>
    </xf>
    <xf numFmtId="165" fontId="7" fillId="13" borderId="0" xfId="0" applyFont="true" applyBorder="false" applyAlignment="true" applyProtection="false">
      <alignment horizontal="left" vertical="bottom" textRotation="0" wrapText="true" indent="0" shrinkToFit="false"/>
      <protection locked="true" hidden="false"/>
    </xf>
    <xf numFmtId="165" fontId="13" fillId="13" borderId="0" xfId="0" applyFont="true" applyBorder="false" applyAlignment="true" applyProtection="false">
      <alignment horizontal="left" vertical="bottom" textRotation="0" wrapText="true" indent="0" shrinkToFit="false"/>
      <protection locked="true" hidden="false"/>
    </xf>
    <xf numFmtId="165" fontId="16" fillId="13" borderId="0" xfId="0" applyFont="true" applyBorder="false" applyAlignment="true" applyProtection="false">
      <alignment horizontal="left" vertical="bottom" textRotation="0" wrapText="true" indent="0" shrinkToFit="false"/>
      <protection locked="true" hidden="false"/>
    </xf>
    <xf numFmtId="172" fontId="7" fillId="0" borderId="9" xfId="0" applyFont="true" applyBorder="true" applyAlignment="true" applyProtection="false">
      <alignment horizontal="center" vertical="bottom" textRotation="0" wrapText="false" indent="0" shrinkToFit="false"/>
      <protection locked="true" hidden="false"/>
    </xf>
    <xf numFmtId="164" fontId="7" fillId="21" borderId="45" xfId="0" applyFont="true" applyBorder="true" applyAlignment="true" applyProtection="false">
      <alignment horizontal="center" vertical="center" textRotation="0" wrapText="false" indent="0" shrinkToFit="false"/>
      <protection locked="true" hidden="false"/>
    </xf>
    <xf numFmtId="167" fontId="7" fillId="0" borderId="50" xfId="0" applyFont="true" applyBorder="true" applyAlignment="true" applyProtection="false">
      <alignment horizontal="center" vertical="bottom" textRotation="0" wrapText="false" indent="0" shrinkToFit="false"/>
      <protection locked="true" hidden="false"/>
    </xf>
    <xf numFmtId="164" fontId="7" fillId="18" borderId="50" xfId="19" applyFont="true" applyBorder="true" applyAlignment="true" applyProtection="true">
      <alignment horizontal="center" vertical="bottom" textRotation="0" wrapText="false" indent="0" shrinkToFit="false"/>
      <protection locked="true" hidden="false"/>
    </xf>
    <xf numFmtId="167" fontId="13" fillId="0" borderId="50" xfId="0" applyFont="true" applyBorder="true" applyAlignment="true" applyProtection="false">
      <alignment horizontal="center" vertical="bottom" textRotation="0" wrapText="false" indent="0" shrinkToFit="false"/>
      <protection locked="true" hidden="false"/>
    </xf>
    <xf numFmtId="171" fontId="13" fillId="0" borderId="50" xfId="0" applyFont="true" applyBorder="true" applyAlignment="true" applyProtection="false">
      <alignment horizontal="center" vertical="bottom" textRotation="0" wrapText="false" indent="0" shrinkToFit="false"/>
      <protection locked="true" hidden="false"/>
    </xf>
    <xf numFmtId="172" fontId="7" fillId="0" borderId="51" xfId="0" applyFont="true" applyBorder="true" applyAlignment="true" applyProtection="false">
      <alignment horizontal="center" vertical="bottom" textRotation="0" wrapText="false" indent="0" shrinkToFit="false"/>
      <protection locked="true" hidden="false"/>
    </xf>
    <xf numFmtId="164" fontId="7" fillId="0" borderId="50" xfId="0" applyFont="true" applyBorder="true" applyAlignment="true" applyProtection="false">
      <alignment horizontal="center" vertical="bottom" textRotation="0" wrapText="false" indent="0" shrinkToFit="false"/>
      <protection locked="true" hidden="false"/>
    </xf>
    <xf numFmtId="172" fontId="7" fillId="0" borderId="50" xfId="0" applyFont="true" applyBorder="true" applyAlignment="true" applyProtection="false">
      <alignment horizontal="center" vertical="center" textRotation="0" wrapText="false" indent="0" shrinkToFit="false"/>
      <protection locked="true" hidden="false"/>
    </xf>
    <xf numFmtId="165" fontId="14" fillId="13" borderId="38" xfId="0" applyFont="true" applyBorder="true" applyAlignment="true" applyProtection="false">
      <alignment horizontal="general" vertical="bottom" textRotation="0" wrapText="true" indent="0" shrinkToFit="false"/>
      <protection locked="true" hidden="false"/>
    </xf>
    <xf numFmtId="165" fontId="14" fillId="14" borderId="38" xfId="0" applyFont="true" applyBorder="true" applyAlignment="true" applyProtection="false">
      <alignment horizontal="center" vertical="bottom" textRotation="0" wrapText="true" indent="0" shrinkToFit="false"/>
      <protection locked="true" hidden="false"/>
    </xf>
    <xf numFmtId="167" fontId="13" fillId="18" borderId="14" xfId="0" applyFont="true" applyBorder="true" applyAlignment="true" applyProtection="false">
      <alignment horizontal="center" vertical="bottom" textRotation="0" wrapText="false" indent="0" shrinkToFit="false"/>
      <protection locked="true" hidden="false"/>
    </xf>
    <xf numFmtId="164" fontId="13" fillId="18" borderId="14" xfId="19" applyFont="true" applyBorder="true" applyAlignment="true" applyProtection="true">
      <alignment horizontal="center" vertical="bottom" textRotation="0" wrapText="false" indent="0" shrinkToFit="false"/>
      <protection locked="true" hidden="false"/>
    </xf>
    <xf numFmtId="172" fontId="7" fillId="0" borderId="15"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5" fontId="7" fillId="23" borderId="21" xfId="0" applyFont="true" applyBorder="true" applyAlignment="true" applyProtection="false">
      <alignment horizontal="center" vertical="center" textRotation="0" wrapText="true" indent="0" shrinkToFit="false"/>
      <protection locked="true" hidden="false"/>
    </xf>
    <xf numFmtId="167" fontId="13" fillId="18" borderId="6" xfId="0" applyFont="true" applyBorder="true" applyAlignment="true" applyProtection="false">
      <alignment horizontal="center" vertical="bottom" textRotation="0" wrapText="false" indent="0" shrinkToFit="false"/>
      <protection locked="true" hidden="false"/>
    </xf>
    <xf numFmtId="164" fontId="13" fillId="18" borderId="6" xfId="19" applyFont="true" applyBorder="true" applyAlignment="true" applyProtection="true">
      <alignment horizontal="center" vertical="bottom" textRotation="0" wrapText="false" indent="0" shrinkToFit="false"/>
      <protection locked="true" hidden="false"/>
    </xf>
    <xf numFmtId="172" fontId="7" fillId="0" borderId="41" xfId="0" applyFont="true" applyBorder="true" applyAlignment="true" applyProtection="false">
      <alignment horizontal="center" vertical="bottom" textRotation="0" wrapText="false" indent="0" shrinkToFit="false"/>
      <protection locked="true" hidden="false"/>
    </xf>
    <xf numFmtId="165" fontId="14" fillId="19" borderId="0" xfId="0" applyFont="true" applyBorder="false" applyAlignment="true" applyProtection="false">
      <alignment horizontal="general" vertical="bottom" textRotation="0" wrapText="true" indent="0" shrinkToFit="false"/>
      <protection locked="true" hidden="false"/>
    </xf>
    <xf numFmtId="165" fontId="14" fillId="23" borderId="0" xfId="0" applyFont="true" applyBorder="false" applyAlignment="true" applyProtection="false">
      <alignment horizontal="center" vertical="bottom" textRotation="0" wrapText="true" indent="0" shrinkToFit="false"/>
      <protection locked="true" hidden="false"/>
    </xf>
    <xf numFmtId="164" fontId="13" fillId="18" borderId="12" xfId="19" applyFont="true" applyBorder="true" applyAlignment="true" applyProtection="true">
      <alignment horizontal="center" vertical="center" textRotation="0" wrapText="false" indent="0" shrinkToFit="false"/>
      <protection locked="true" hidden="false"/>
    </xf>
    <xf numFmtId="165" fontId="5" fillId="13" borderId="0" xfId="0" applyFont="true" applyBorder="false" applyAlignment="false" applyProtection="false">
      <alignment horizontal="general" vertical="bottom" textRotation="0" wrapText="false" indent="0" shrinkToFit="false"/>
      <protection locked="true" hidden="false"/>
    </xf>
    <xf numFmtId="165" fontId="13" fillId="15" borderId="7" xfId="0" applyFont="true" applyBorder="true" applyAlignment="true" applyProtection="false">
      <alignment horizontal="center" vertical="bottom" textRotation="0" wrapText="true" indent="0" shrinkToFit="false"/>
      <protection locked="true" hidden="false"/>
    </xf>
    <xf numFmtId="164" fontId="13" fillId="18" borderId="7" xfId="19" applyFont="true" applyBorder="true" applyAlignment="true" applyProtection="true">
      <alignment horizontal="center" vertical="bottom" textRotation="0" wrapText="false" indent="0" shrinkToFit="false"/>
      <protection locked="true" hidden="false"/>
    </xf>
    <xf numFmtId="164" fontId="13" fillId="0" borderId="59"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19" borderId="0" xfId="0" applyFont="true" applyBorder="false" applyAlignment="false" applyProtection="false">
      <alignment horizontal="general" vertical="bottom" textRotation="0" wrapText="false" indent="0" shrinkToFit="false"/>
      <protection locked="true" hidden="false"/>
    </xf>
    <xf numFmtId="164" fontId="13" fillId="18" borderId="31" xfId="19" applyFont="true" applyBorder="true" applyAlignment="true" applyProtection="true">
      <alignment horizontal="center" vertical="bottom" textRotation="0" wrapText="false" indent="0" shrinkToFit="false"/>
      <protection locked="true" hidden="false"/>
    </xf>
    <xf numFmtId="164" fontId="13" fillId="0" borderId="34" xfId="0" applyFont="true" applyBorder="true" applyAlignment="true" applyProtection="false">
      <alignment horizontal="center" vertical="bottom" textRotation="0" wrapText="false" indent="0" shrinkToFit="false"/>
      <protection locked="true" hidden="false"/>
    </xf>
    <xf numFmtId="165" fontId="13" fillId="23" borderId="38" xfId="0" applyFont="true" applyBorder="true" applyAlignment="true" applyProtection="false">
      <alignment horizontal="center" vertical="bottom" textRotation="0" wrapText="true" indent="0" shrinkToFit="false"/>
      <protection locked="true" hidden="false"/>
    </xf>
    <xf numFmtId="165" fontId="7" fillId="23" borderId="38" xfId="0" applyFont="true" applyBorder="true" applyAlignment="true" applyProtection="false">
      <alignment horizontal="center" vertical="bottom" textRotation="0" wrapText="true" indent="0" shrinkToFit="false"/>
      <protection locked="true" hidden="false"/>
    </xf>
    <xf numFmtId="165" fontId="7" fillId="19" borderId="38" xfId="0" applyFont="true" applyBorder="true" applyAlignment="false" applyProtection="false">
      <alignment horizontal="general" vertical="bottom" textRotation="0" wrapText="false" indent="0" shrinkToFit="false"/>
      <protection locked="true" hidden="false"/>
    </xf>
    <xf numFmtId="165" fontId="7" fillId="23" borderId="38" xfId="0" applyFont="true" applyBorder="true" applyAlignment="true" applyProtection="false">
      <alignment horizontal="center" vertical="center" textRotation="0" wrapText="true" indent="0" shrinkToFit="false"/>
      <protection locked="true" hidden="false"/>
    </xf>
    <xf numFmtId="165" fontId="7" fillId="19" borderId="38" xfId="0" applyFont="true" applyBorder="true" applyAlignment="true" applyProtection="false">
      <alignment horizontal="left" vertical="bottom" textRotation="0" wrapText="true" indent="0" shrinkToFit="false"/>
      <protection locked="true" hidden="false"/>
    </xf>
    <xf numFmtId="167" fontId="7" fillId="18" borderId="31" xfId="0" applyFont="true" applyBorder="true" applyAlignment="true" applyProtection="false">
      <alignment horizontal="center" vertical="bottom" textRotation="0" wrapText="false" indent="0" shrinkToFit="false"/>
      <protection locked="true" hidden="false"/>
    </xf>
    <xf numFmtId="164" fontId="7" fillId="0" borderId="34" xfId="19" applyFont="true" applyBorder="true" applyAlignment="true" applyProtection="true">
      <alignment horizontal="center" vertical="center" textRotation="0" wrapText="false" indent="0" shrinkToFit="false"/>
      <protection locked="true" hidden="false"/>
    </xf>
    <xf numFmtId="164" fontId="7" fillId="0" borderId="51" xfId="19" applyFont="true" applyBorder="true" applyAlignment="true" applyProtection="true">
      <alignment horizontal="center" vertical="bottom" textRotation="0" wrapText="false" indent="0" shrinkToFit="false"/>
      <protection locked="true" hidden="false"/>
    </xf>
    <xf numFmtId="164" fontId="7" fillId="18" borderId="11" xfId="19" applyFont="true" applyBorder="true" applyAlignment="true" applyProtection="true">
      <alignment horizontal="center" vertical="center" textRotation="0" wrapText="false" indent="0" shrinkToFit="false"/>
      <protection locked="true" hidden="false"/>
    </xf>
    <xf numFmtId="164" fontId="7" fillId="0" borderId="55" xfId="19" applyFont="true" applyBorder="true" applyAlignment="true" applyProtection="true">
      <alignment horizontal="center" vertical="center" textRotation="0" wrapText="false" indent="0" shrinkToFit="false"/>
      <protection locked="true" hidden="false"/>
    </xf>
    <xf numFmtId="167" fontId="7" fillId="18" borderId="11" xfId="0" applyFont="true" applyBorder="true" applyAlignment="true" applyProtection="false">
      <alignment horizontal="center" vertical="bottom" textRotation="0" wrapText="false" indent="0" shrinkToFit="false"/>
      <protection locked="true" hidden="false"/>
    </xf>
    <xf numFmtId="171" fontId="7" fillId="0" borderId="60" xfId="0" applyFont="true" applyBorder="true" applyAlignment="true" applyProtection="false">
      <alignment horizontal="center" vertical="center" textRotation="0" wrapText="false" indent="0" shrinkToFit="false"/>
      <protection locked="true" hidden="false"/>
    </xf>
    <xf numFmtId="170" fontId="7" fillId="0" borderId="14" xfId="0" applyFont="true" applyBorder="true" applyAlignment="true" applyProtection="false">
      <alignment horizontal="center" vertical="bottom" textRotation="0" wrapText="false" indent="0" shrinkToFit="false"/>
      <protection locked="true" hidden="false"/>
    </xf>
    <xf numFmtId="170" fontId="13" fillId="0" borderId="15" xfId="0" applyFont="true" applyBorder="true" applyAlignment="true" applyProtection="false">
      <alignment horizontal="center"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4" fontId="13" fillId="0" borderId="40" xfId="0" applyFont="true" applyBorder="true" applyAlignment="true" applyProtection="false">
      <alignment horizontal="center"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72" fontId="7" fillId="0" borderId="55" xfId="0" applyFont="true" applyBorder="true" applyAlignment="true" applyProtection="false">
      <alignment horizontal="center" vertical="bottom" textRotation="0" wrapText="false" indent="0" shrinkToFit="false"/>
      <protection locked="true" hidden="false"/>
    </xf>
    <xf numFmtId="164" fontId="7" fillId="0" borderId="55" xfId="0" applyFont="true" applyBorder="true" applyAlignment="true" applyProtection="false">
      <alignment horizontal="center" vertical="bottom" textRotation="0" wrapText="false" indent="0" shrinkToFit="false"/>
      <protection locked="true" hidden="false"/>
    </xf>
    <xf numFmtId="164" fontId="13" fillId="0" borderId="55" xfId="0" applyFont="true" applyBorder="true" applyAlignment="true" applyProtection="false">
      <alignment horizontal="center" vertical="bottom" textRotation="0" wrapText="false" indent="0" shrinkToFit="false"/>
      <protection locked="true" hidden="false"/>
    </xf>
    <xf numFmtId="165" fontId="12" fillId="0" borderId="38" xfId="0" applyFont="true" applyBorder="true" applyAlignment="false" applyProtection="false">
      <alignment horizontal="general" vertical="bottom" textRotation="0" wrapText="false" indent="0" shrinkToFit="false"/>
      <protection locked="true" hidden="false"/>
    </xf>
    <xf numFmtId="165" fontId="7" fillId="0" borderId="61" xfId="0" applyFont="true" applyBorder="true" applyAlignment="false" applyProtection="false">
      <alignment horizontal="general" vertical="bottom" textRotation="0" wrapText="false" indent="0" shrinkToFit="false"/>
      <protection locked="true" hidden="false"/>
    </xf>
    <xf numFmtId="165" fontId="7" fillId="0" borderId="8" xfId="0" applyFont="true" applyBorder="true" applyAlignment="false" applyProtection="false">
      <alignment horizontal="general" vertical="bottom" textRotation="0" wrapText="false" indent="0" shrinkToFit="false"/>
      <protection locked="true" hidden="false"/>
    </xf>
    <xf numFmtId="165" fontId="7" fillId="0" borderId="62" xfId="0" applyFont="true" applyBorder="true" applyAlignment="false" applyProtection="false">
      <alignment horizontal="general" vertical="bottom" textRotation="0" wrapText="false" indent="0" shrinkToFit="false"/>
      <protection locked="true" hidden="false"/>
    </xf>
    <xf numFmtId="170" fontId="7" fillId="0" borderId="15" xfId="0" applyFont="true" applyBorder="true" applyAlignment="true" applyProtection="false">
      <alignment horizontal="center" vertical="bottom" textRotation="0" wrapText="false" indent="0" shrinkToFit="false"/>
      <protection locked="true" hidden="false"/>
    </xf>
    <xf numFmtId="164" fontId="13" fillId="15" borderId="20" xfId="0" applyFont="true" applyBorder="true" applyAlignment="true" applyProtection="false">
      <alignment horizontal="center" vertical="center" textRotation="0" wrapText="false" indent="0" shrinkToFit="false"/>
      <protection locked="true" hidden="false"/>
    </xf>
    <xf numFmtId="165" fontId="12" fillId="0" borderId="61" xfId="0" applyFont="true" applyBorder="true" applyAlignment="false" applyProtection="false">
      <alignment horizontal="general" vertical="bottom" textRotation="0" wrapText="false" indent="0" shrinkToFit="false"/>
      <protection locked="true" hidden="false"/>
    </xf>
    <xf numFmtId="165" fontId="18" fillId="14" borderId="0" xfId="0" applyFont="true" applyBorder="false" applyAlignment="true" applyProtection="false">
      <alignment horizontal="center" vertical="bottom" textRotation="0" wrapText="true" indent="0" shrinkToFit="false"/>
      <protection locked="true" hidden="false"/>
    </xf>
    <xf numFmtId="171" fontId="7" fillId="0" borderId="7" xfId="0" applyFont="true" applyBorder="true" applyAlignment="true" applyProtection="false">
      <alignment horizontal="center" vertical="center" textRotation="0" wrapText="false" indent="0" shrinkToFit="false"/>
      <protection locked="true" hidden="false"/>
    </xf>
    <xf numFmtId="164" fontId="7" fillId="0" borderId="7" xfId="0" applyFont="true" applyBorder="true" applyAlignment="true" applyProtection="false">
      <alignment horizontal="center" vertical="center" textRotation="0" wrapText="false" indent="0" shrinkToFit="false"/>
      <protection locked="true" hidden="false"/>
    </xf>
    <xf numFmtId="165" fontId="12" fillId="0" borderId="8" xfId="0" applyFont="true" applyBorder="true" applyAlignment="false" applyProtection="false">
      <alignment horizontal="general" vertical="bottom" textRotation="0" wrapText="false" indent="0" shrinkToFit="false"/>
      <protection locked="true" hidden="false"/>
    </xf>
    <xf numFmtId="171" fontId="7" fillId="0" borderId="52" xfId="0" applyFont="true" applyBorder="true" applyAlignment="true" applyProtection="false">
      <alignment horizontal="center" vertical="center" textRotation="0" wrapText="false" indent="0" shrinkToFit="false"/>
      <protection locked="true" hidden="false"/>
    </xf>
    <xf numFmtId="165" fontId="12" fillId="0" borderId="2" xfId="0" applyFont="true" applyBorder="true" applyAlignment="false" applyProtection="false">
      <alignment horizontal="general" vertical="bottom" textRotation="0" wrapText="false" indent="0" shrinkToFit="false"/>
      <protection locked="true" hidden="false"/>
    </xf>
    <xf numFmtId="165" fontId="12" fillId="0" borderId="62" xfId="0" applyFont="true" applyBorder="true" applyAlignment="false" applyProtection="false">
      <alignment horizontal="general" vertical="bottom" textRotation="0" wrapText="false" indent="0" shrinkToFit="false"/>
      <protection locked="true" hidden="false"/>
    </xf>
    <xf numFmtId="171" fontId="7" fillId="0" borderId="63" xfId="0" applyFont="true" applyBorder="true" applyAlignment="true" applyProtection="false">
      <alignment horizontal="center" vertical="center" textRotation="0" wrapText="false" indent="0" shrinkToFit="false"/>
      <protection locked="true" hidden="false"/>
    </xf>
    <xf numFmtId="165" fontId="12" fillId="0" borderId="64" xfId="0" applyFont="true" applyBorder="true" applyAlignment="false" applyProtection="false">
      <alignment horizontal="general" vertical="bottom" textRotation="0" wrapText="false" indent="0" shrinkToFit="false"/>
      <protection locked="true" hidden="false"/>
    </xf>
    <xf numFmtId="164" fontId="13" fillId="6" borderId="20" xfId="0" applyFont="true" applyBorder="true" applyAlignment="true" applyProtection="false">
      <alignment horizontal="center" vertical="center" textRotation="0" wrapText="false" indent="0" shrinkToFit="false"/>
      <protection locked="true" hidden="false"/>
    </xf>
    <xf numFmtId="164" fontId="13" fillId="0" borderId="31" xfId="0" applyFont="true" applyBorder="true" applyAlignment="true" applyProtection="false">
      <alignment horizontal="center" vertical="center" textRotation="0" wrapText="false" indent="0" shrinkToFit="false"/>
      <protection locked="true" hidden="false"/>
    </xf>
    <xf numFmtId="164" fontId="7" fillId="0" borderId="32" xfId="0" applyFont="true" applyBorder="true" applyAlignment="true" applyProtection="false">
      <alignment horizontal="center" vertical="bottom" textRotation="0" wrapText="false" indent="0" shrinkToFit="false"/>
      <protection locked="true" hidden="false"/>
    </xf>
    <xf numFmtId="170" fontId="7" fillId="0" borderId="7" xfId="0" applyFont="true" applyBorder="true" applyAlignment="true" applyProtection="false">
      <alignment horizontal="center" vertical="bottom" textRotation="0" wrapText="false" indent="0" shrinkToFit="false"/>
      <protection locked="true" hidden="false"/>
    </xf>
    <xf numFmtId="170" fontId="7" fillId="0" borderId="41" xfId="0" applyFont="true" applyBorder="true" applyAlignment="true" applyProtection="false">
      <alignment horizontal="center" vertical="bottom" textRotation="0" wrapText="false" indent="0" shrinkToFit="false"/>
      <protection locked="true" hidden="false"/>
    </xf>
    <xf numFmtId="164" fontId="13" fillId="0" borderId="31" xfId="19" applyFont="true" applyBorder="true" applyAlignment="true" applyProtection="true">
      <alignment horizontal="center" vertical="bottom" textRotation="0" wrapText="false" indent="0" shrinkToFit="false"/>
      <protection locked="true" hidden="false"/>
    </xf>
    <xf numFmtId="164" fontId="13" fillId="0" borderId="50" xfId="0" applyFont="true" applyBorder="true" applyAlignment="true" applyProtection="false">
      <alignment horizontal="center" vertical="center" textRotation="0" wrapText="false" indent="0" shrinkToFit="false"/>
      <protection locked="true" hidden="false"/>
    </xf>
    <xf numFmtId="165" fontId="12" fillId="0" borderId="65" xfId="0" applyFont="tru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true" applyProtection="false">
      <alignment horizontal="center" vertical="center" textRotation="0" wrapText="false" indent="0" shrinkToFit="false"/>
      <protection locked="true" hidden="false"/>
    </xf>
    <xf numFmtId="164" fontId="7" fillId="0" borderId="6" xfId="0" applyFont="true" applyBorder="true" applyAlignment="true" applyProtection="false">
      <alignment horizontal="center" vertical="center" textRotation="0" wrapText="false" indent="0" shrinkToFit="false"/>
      <protection locked="true" hidden="false"/>
    </xf>
    <xf numFmtId="164" fontId="7" fillId="0" borderId="9" xfId="0" applyFont="true" applyBorder="true" applyAlignment="true" applyProtection="false">
      <alignment horizontal="center" vertical="bottom" textRotation="0" wrapText="false" indent="0" shrinkToFit="false"/>
      <protection locked="true" hidden="false"/>
    </xf>
    <xf numFmtId="167" fontId="13" fillId="20" borderId="14" xfId="0" applyFont="true" applyBorder="true" applyAlignment="true" applyProtection="false">
      <alignment horizontal="center" vertical="bottom" textRotation="0" wrapText="false" indent="0" shrinkToFit="false"/>
      <protection locked="true" hidden="false"/>
    </xf>
    <xf numFmtId="165" fontId="12" fillId="0" borderId="12" xfId="0" applyFont="true" applyBorder="true" applyAlignment="false" applyProtection="false">
      <alignment horizontal="general" vertical="bottom" textRotation="0" wrapText="false" indent="0" shrinkToFit="false"/>
      <protection locked="true" hidden="false"/>
    </xf>
    <xf numFmtId="167" fontId="13" fillId="3" borderId="14" xfId="0" applyFont="true" applyBorder="true" applyAlignment="true" applyProtection="false">
      <alignment horizontal="center" vertical="bottom" textRotation="0" wrapText="false" indent="0" shrinkToFit="false"/>
      <protection locked="true" hidden="false"/>
    </xf>
    <xf numFmtId="164" fontId="13" fillId="0" borderId="14" xfId="19" applyFont="true" applyBorder="true" applyAlignment="true" applyProtection="true">
      <alignment horizontal="center" vertical="bottom" textRotation="0" wrapText="false" indent="0" shrinkToFit="false"/>
      <protection locked="true" hidden="false"/>
    </xf>
    <xf numFmtId="164" fontId="13" fillId="0" borderId="11" xfId="19" applyFont="true" applyBorder="true" applyAlignment="true" applyProtection="true">
      <alignment horizontal="center" vertical="bottom" textRotation="0" wrapText="false" indent="0" shrinkToFit="false"/>
      <protection locked="true" hidden="false"/>
    </xf>
    <xf numFmtId="165" fontId="12" fillId="0" borderId="45" xfId="0" applyFont="true" applyBorder="true" applyAlignment="false" applyProtection="false">
      <alignment horizontal="general" vertical="bottom" textRotation="0" wrapText="false" indent="0" shrinkToFit="false"/>
      <protection locked="true" hidden="false"/>
    </xf>
    <xf numFmtId="165" fontId="18" fillId="14" borderId="21" xfId="0" applyFont="true" applyBorder="true" applyAlignment="true" applyProtection="false">
      <alignment horizontal="center" vertical="bottom" textRotation="0" wrapText="true" indent="0" shrinkToFit="false"/>
      <protection locked="true" hidden="false"/>
    </xf>
    <xf numFmtId="167" fontId="7" fillId="20" borderId="14" xfId="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false" indent="0" shrinkToFit="false"/>
      <protection locked="true" hidden="false"/>
    </xf>
    <xf numFmtId="165" fontId="18" fillId="13" borderId="0" xfId="0" applyFont="true" applyBorder="false" applyAlignment="true" applyProtection="false">
      <alignment horizontal="general" vertical="bottom" textRotation="0" wrapText="true" indent="0" shrinkToFit="false"/>
      <protection locked="true" hidden="false"/>
    </xf>
    <xf numFmtId="165" fontId="18" fillId="14" borderId="38" xfId="0" applyFont="true" applyBorder="true" applyAlignment="true" applyProtection="false">
      <alignment horizontal="center"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true" applyProtection="false">
      <alignment horizontal="center" vertical="bottom" textRotation="0" wrapText="true" indent="0" shrinkToFit="false"/>
      <protection locked="true" hidden="false"/>
    </xf>
    <xf numFmtId="167" fontId="9" fillId="0" borderId="0" xfId="0" applyFont="true" applyBorder="false" applyAlignment="true" applyProtection="false">
      <alignment horizontal="center" vertical="bottom" textRotation="0" wrapText="true" indent="0" shrinkToFit="false"/>
      <protection locked="true" hidden="false"/>
    </xf>
    <xf numFmtId="164" fontId="7" fillId="0" borderId="0" xfId="19" applyFont="true" applyBorder="true" applyAlignment="true" applyProtection="true">
      <alignment horizontal="center" vertical="bottom" textRotation="0" wrapText="false" indent="0" shrinkToFit="false"/>
      <protection locked="true" hidden="false"/>
    </xf>
    <xf numFmtId="164" fontId="7" fillId="0" borderId="0" xfId="19"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center" vertical="bottom" textRotation="0" wrapText="tru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5" fontId="7" fillId="25" borderId="6" xfId="0" applyFont="true" applyBorder="true" applyAlignment="true" applyProtection="false">
      <alignment horizontal="center" vertical="bottom" textRotation="0" wrapText="false" indent="0" shrinkToFit="false"/>
      <protection locked="true" hidden="false"/>
    </xf>
    <xf numFmtId="167" fontId="7" fillId="26" borderId="6" xfId="0" applyFont="true" applyBorder="true" applyAlignment="true" applyProtection="false">
      <alignment horizontal="center" vertical="bottom" textRotation="0" wrapText="false" indent="0" shrinkToFit="false"/>
      <protection locked="true" hidden="false"/>
    </xf>
    <xf numFmtId="165" fontId="7" fillId="0" borderId="6" xfId="0" applyFont="true" applyBorder="true" applyAlignment="true" applyProtection="false">
      <alignment horizontal="center" vertical="center" textRotation="0" wrapText="true" indent="0" shrinkToFit="false"/>
      <protection locked="true" hidden="false"/>
    </xf>
    <xf numFmtId="165" fontId="7" fillId="0" borderId="55" xfId="0" applyFont="true" applyBorder="true" applyAlignment="true" applyProtection="false">
      <alignment horizontal="center" vertical="center" textRotation="0" wrapText="true" indent="0" shrinkToFit="false"/>
      <protection locked="true" hidden="false"/>
    </xf>
    <xf numFmtId="165" fontId="7" fillId="0" borderId="11" xfId="0" applyFont="true" applyBorder="true" applyAlignment="true" applyProtection="false">
      <alignment horizontal="center" vertical="center"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7" fillId="0" borderId="6" xfId="0" applyFont="true" applyBorder="true" applyAlignment="false" applyProtection="false">
      <alignment horizontal="general" vertical="bottom" textRotation="0" wrapText="false" indent="0" shrinkToFit="false"/>
      <protection locked="true" hidden="false"/>
    </xf>
    <xf numFmtId="165" fontId="7" fillId="0" borderId="66" xfId="0" applyFont="true" applyBorder="true" applyAlignment="true" applyProtection="false">
      <alignment horizontal="center" vertical="bottom" textRotation="0" wrapText="true" indent="0" shrinkToFit="false"/>
      <protection locked="true" hidden="false"/>
    </xf>
    <xf numFmtId="165" fontId="7" fillId="0" borderId="3" xfId="0" applyFont="true" applyBorder="true" applyAlignment="true" applyProtection="false">
      <alignment horizontal="center" vertical="bottom" textRotation="0" wrapText="false" indent="0" shrinkToFit="false"/>
      <protection locked="true" hidden="false"/>
    </xf>
    <xf numFmtId="165" fontId="7" fillId="27" borderId="6" xfId="0" applyFont="true" applyBorder="true" applyAlignment="true" applyProtection="false">
      <alignment horizontal="center" vertical="center" textRotation="0" wrapText="true" indent="0" shrinkToFit="false"/>
      <protection locked="true" hidden="false"/>
    </xf>
    <xf numFmtId="172" fontId="7" fillId="27" borderId="6" xfId="0" applyFont="true" applyBorder="true" applyAlignment="true" applyProtection="false">
      <alignment horizontal="center" vertical="center" textRotation="0" wrapText="false" indent="0" shrinkToFit="false"/>
      <protection locked="true" hidden="false"/>
    </xf>
    <xf numFmtId="165" fontId="7" fillId="27" borderId="6" xfId="0" applyFont="true" applyBorder="true" applyAlignment="true" applyProtection="false">
      <alignment horizontal="general" vertical="center" textRotation="0" wrapText="true" indent="0" shrinkToFit="false"/>
      <protection locked="true" hidden="false"/>
    </xf>
    <xf numFmtId="164" fontId="7" fillId="27" borderId="6" xfId="19" applyFont="true" applyBorder="true" applyAlignment="true" applyProtection="true">
      <alignment horizontal="center" vertical="center" textRotation="0" wrapText="false" indent="0" shrinkToFit="false"/>
      <protection locked="true" hidden="false"/>
    </xf>
    <xf numFmtId="165" fontId="7" fillId="27" borderId="6" xfId="0" applyFont="true" applyBorder="true" applyAlignment="true" applyProtection="false">
      <alignment horizontal="general" vertical="center" textRotation="0" wrapText="false" indent="0" shrinkToFit="false"/>
      <protection locked="true" hidden="false"/>
    </xf>
    <xf numFmtId="165" fontId="7" fillId="27" borderId="6" xfId="0" applyFont="true" applyBorder="true" applyAlignment="true" applyProtection="false">
      <alignment horizontal="center" vertical="bottom" textRotation="0" wrapText="false" indent="0" shrinkToFit="false"/>
      <protection locked="true" hidden="false"/>
    </xf>
    <xf numFmtId="165" fontId="19" fillId="0" borderId="0" xfId="0" applyFont="true" applyBorder="false" applyAlignment="false" applyProtection="false">
      <alignment horizontal="general" vertical="bottom" textRotation="0" wrapText="false" indent="0" shrinkToFit="false"/>
      <protection locked="true" hidden="false"/>
    </xf>
    <xf numFmtId="165" fontId="19" fillId="0" borderId="0" xfId="0" applyFont="true" applyBorder="false" applyAlignment="true" applyProtection="false">
      <alignment horizontal="center" vertical="bottom" textRotation="0" wrapText="false" indent="0" shrinkToFit="false"/>
      <protection locked="true" hidden="false"/>
    </xf>
    <xf numFmtId="164" fontId="19" fillId="0" borderId="0" xfId="19" applyFont="true" applyBorder="true" applyAlignment="true" applyProtection="true">
      <alignment horizontal="general" vertical="bottom" textRotation="0" wrapText="false" indent="0" shrinkToFit="false"/>
      <protection locked="true" hidden="false"/>
    </xf>
    <xf numFmtId="165" fontId="0" fillId="0" borderId="0" xfId="160" applyFont="true" applyBorder="false" applyAlignment="false" applyProtection="false">
      <alignment horizontal="general" vertical="bottom" textRotation="0" wrapText="false" indent="0" shrinkToFit="false"/>
      <protection locked="true" hidden="false"/>
    </xf>
    <xf numFmtId="165" fontId="0" fillId="0" borderId="6" xfId="0" applyFont="true" applyBorder="true" applyAlignment="false" applyProtection="false">
      <alignment horizontal="general" vertical="bottom" textRotation="0" wrapText="false" indent="0" shrinkToFit="false"/>
      <protection locked="true" hidden="false"/>
    </xf>
    <xf numFmtId="165" fontId="0" fillId="0" borderId="67" xfId="161" applyFont="false" applyBorder="true" applyAlignment="false" applyProtection="false">
      <alignment horizontal="general" vertical="bottom" textRotation="0" wrapText="false" indent="0" shrinkToFit="false"/>
      <protection locked="true" hidden="false"/>
    </xf>
    <xf numFmtId="165" fontId="0" fillId="0" borderId="14" xfId="160" applyFont="true" applyBorder="true" applyAlignment="false" applyProtection="false">
      <alignment horizontal="general" vertical="bottom" textRotation="0" wrapText="false" indent="0" shrinkToFit="false"/>
      <protection locked="true" hidden="false"/>
    </xf>
    <xf numFmtId="165" fontId="0" fillId="0" borderId="61" xfId="161" applyFont="false" applyBorder="true" applyAlignment="false" applyProtection="false">
      <alignment horizontal="general" vertical="bottom" textRotation="0" wrapText="false" indent="0" shrinkToFit="false"/>
      <protection locked="true" hidden="false"/>
    </xf>
    <xf numFmtId="165" fontId="0" fillId="0" borderId="68" xfId="161" applyFont="false" applyBorder="true" applyAlignment="false" applyProtection="false">
      <alignment horizontal="general" vertical="bottom" textRotation="0" wrapText="false" indent="0" shrinkToFit="false"/>
      <protection locked="true" hidden="false"/>
    </xf>
    <xf numFmtId="165" fontId="0" fillId="0" borderId="44" xfId="160" applyFont="true" applyBorder="true" applyAlignment="false" applyProtection="false">
      <alignment horizontal="general" vertical="bottom" textRotation="0" wrapText="false" indent="0" shrinkToFit="false"/>
      <protection locked="true" hidden="false"/>
    </xf>
    <xf numFmtId="165" fontId="0" fillId="0" borderId="41" xfId="163" applyFont="true" applyBorder="true" applyAlignment="false" applyProtection="false">
      <alignment horizontal="left" vertical="bottom" textRotation="0" wrapText="false" indent="0" shrinkToFit="false"/>
      <protection locked="true" hidden="false"/>
    </xf>
    <xf numFmtId="165" fontId="0" fillId="0" borderId="2" xfId="163" applyFont="true" applyBorder="true" applyAlignment="false" applyProtection="false">
      <alignment horizontal="left" vertical="bottom" textRotation="0" wrapText="false" indent="0" shrinkToFit="false"/>
      <protection locked="true" hidden="false"/>
    </xf>
    <xf numFmtId="165" fontId="0" fillId="0" borderId="69" xfId="163" applyFont="true" applyBorder="true" applyAlignment="true" applyProtection="false">
      <alignment horizontal="left" vertical="bottom" textRotation="0" wrapText="true" indent="0" shrinkToFit="false"/>
      <protection locked="true" hidden="false"/>
    </xf>
    <xf numFmtId="165" fontId="0" fillId="0" borderId="30" xfId="163" applyFont="true" applyBorder="true" applyAlignment="false" applyProtection="false">
      <alignment horizontal="left" vertical="bottom" textRotation="0" wrapText="false" indent="0" shrinkToFit="false"/>
      <protection locked="true" hidden="false"/>
    </xf>
    <xf numFmtId="165" fontId="0" fillId="0" borderId="55" xfId="162" applyFont="false" applyBorder="true" applyAlignment="false" applyProtection="false">
      <alignment horizontal="general" vertical="bottom" textRotation="0" wrapText="false" indent="0" shrinkToFit="false"/>
      <protection locked="true" hidden="false"/>
    </xf>
    <xf numFmtId="165" fontId="0" fillId="0" borderId="57" xfId="162" applyFont="false" applyBorder="true" applyAlignment="false" applyProtection="false">
      <alignment horizontal="general" vertical="bottom" textRotation="0" wrapText="false" indent="0" shrinkToFit="false"/>
      <protection locked="true" hidden="false"/>
    </xf>
    <xf numFmtId="165" fontId="0" fillId="0" borderId="65" xfId="162" applyFont="false" applyBorder="true" applyAlignment="false" applyProtection="false">
      <alignment horizontal="general" vertical="bottom" textRotation="0" wrapText="false" indent="0" shrinkToFit="false"/>
      <protection locked="true" hidden="false"/>
    </xf>
    <xf numFmtId="165" fontId="0" fillId="0" borderId="29" xfId="163" applyFont="true" applyBorder="true" applyAlignment="false" applyProtection="false">
      <alignment horizontal="left" vertical="bottom" textRotation="0" wrapText="false" indent="0" shrinkToFit="false"/>
      <protection locked="true" hidden="false"/>
    </xf>
    <xf numFmtId="165" fontId="0" fillId="0" borderId="66" xfId="162" applyFont="false" applyBorder="true" applyAlignment="false" applyProtection="false">
      <alignment horizontal="general" vertical="bottom" textRotation="0" wrapText="false" indent="0" shrinkToFit="false"/>
      <protection locked="true" hidden="false"/>
    </xf>
    <xf numFmtId="165" fontId="0" fillId="0" borderId="0" xfId="162" applyFont="false" applyBorder="false" applyAlignment="false" applyProtection="false">
      <alignment horizontal="general" vertical="bottom" textRotation="0" wrapText="false" indent="0" shrinkToFit="false"/>
      <protection locked="true" hidden="false"/>
    </xf>
    <xf numFmtId="165" fontId="0" fillId="0" borderId="0" xfId="162" applyFont="false" applyBorder="false" applyAlignment="false" applyProtection="false">
      <alignment horizontal="general" vertical="bottom" textRotation="0" wrapText="false" indent="0" shrinkToFit="false"/>
      <protection locked="true" hidden="false"/>
    </xf>
    <xf numFmtId="165" fontId="0" fillId="0" borderId="28" xfId="162" applyFont="false" applyBorder="true" applyAlignment="false" applyProtection="false">
      <alignment horizontal="general" vertical="bottom" textRotation="0" wrapText="false" indent="0" shrinkToFit="false"/>
      <protection locked="true" hidden="false"/>
    </xf>
    <xf numFmtId="165" fontId="0" fillId="0" borderId="49" xfId="163" applyFont="true" applyBorder="true" applyAlignment="false" applyProtection="false">
      <alignment horizontal="left" vertical="bottom" textRotation="0" wrapText="false" indent="0" shrinkToFit="false"/>
      <protection locked="true" hidden="false"/>
    </xf>
    <xf numFmtId="165" fontId="0" fillId="0" borderId="51" xfId="162" applyFont="false" applyBorder="true" applyAlignment="false" applyProtection="false">
      <alignment horizontal="general" vertical="bottom" textRotation="0" wrapText="false" indent="0" shrinkToFit="false"/>
      <protection locked="true" hidden="false"/>
    </xf>
    <xf numFmtId="165" fontId="0" fillId="0" borderId="38" xfId="162" applyFont="false" applyBorder="true" applyAlignment="false" applyProtection="false">
      <alignment horizontal="general" vertical="bottom" textRotation="0" wrapText="false" indent="0" shrinkToFit="false"/>
      <protection locked="true" hidden="false"/>
    </xf>
    <xf numFmtId="165" fontId="0" fillId="0" borderId="38" xfId="162" applyFont="false" applyBorder="true" applyAlignment="false" applyProtection="false">
      <alignment horizontal="general" vertical="bottom" textRotation="0" wrapText="false" indent="0" shrinkToFit="false"/>
      <protection locked="true" hidden="false"/>
    </xf>
    <xf numFmtId="165" fontId="0" fillId="0" borderId="40" xfId="162" applyFont="false" applyBorder="true" applyAlignment="false" applyProtection="false">
      <alignment horizontal="general" vertical="bottom" textRotation="0" wrapText="false" indent="0" shrinkToFit="false"/>
      <protection locked="true" hidden="false"/>
    </xf>
    <xf numFmtId="165" fontId="20" fillId="0" borderId="0" xfId="0" applyFont="true" applyBorder="true" applyAlignment="true" applyProtection="false">
      <alignment horizontal="center" vertical="bottom" textRotation="0" wrapText="false" indent="0" shrinkToFit="false"/>
      <protection locked="true" hidden="false"/>
    </xf>
    <xf numFmtId="165" fontId="21" fillId="0" borderId="0" xfId="0" applyFont="true" applyBorder="false" applyAlignment="false" applyProtection="false">
      <alignment horizontal="general" vertical="bottom" textRotation="0" wrapText="false" indent="0" shrinkToFit="false"/>
      <protection locked="true" hidden="false"/>
    </xf>
    <xf numFmtId="165" fontId="21" fillId="0" borderId="13" xfId="0" applyFont="true" applyBorder="true" applyAlignment="false" applyProtection="false">
      <alignment horizontal="general" vertical="bottom" textRotation="0" wrapText="false" indent="0" shrinkToFit="false"/>
      <protection locked="true" hidden="false"/>
    </xf>
    <xf numFmtId="165" fontId="21" fillId="0" borderId="14" xfId="0" applyFont="true" applyBorder="true" applyAlignment="false" applyProtection="false">
      <alignment horizontal="general" vertical="bottom" textRotation="0" wrapText="false" indent="0" shrinkToFit="false"/>
      <protection locked="true" hidden="false"/>
    </xf>
    <xf numFmtId="165" fontId="21" fillId="0" borderId="19" xfId="0" applyFont="true" applyBorder="true" applyAlignment="false" applyProtection="false">
      <alignment horizontal="general" vertical="bottom" textRotation="0" wrapText="false" indent="0" shrinkToFit="false"/>
      <protection locked="true" hidden="false"/>
    </xf>
    <xf numFmtId="165" fontId="0" fillId="0" borderId="44" xfId="0" applyFont="true" applyBorder="true" applyAlignment="false" applyProtection="false">
      <alignment horizontal="general" vertical="bottom" textRotation="0" wrapText="false" indent="0" shrinkToFit="false"/>
      <protection locked="true" hidden="false"/>
    </xf>
    <xf numFmtId="167" fontId="0" fillId="0" borderId="6" xfId="0" applyFont="false" applyBorder="true" applyAlignment="true" applyProtection="false">
      <alignment horizontal="center" vertical="bottom" textRotation="0" wrapText="false" indent="0" shrinkToFit="false"/>
      <protection locked="true" hidden="false"/>
    </xf>
    <xf numFmtId="172" fontId="6" fillId="0" borderId="26" xfId="0" applyFont="true" applyBorder="true" applyAlignment="true" applyProtection="false">
      <alignment horizontal="center" vertical="bottom" textRotation="0" wrapText="fals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true" applyProtection="false">
      <alignment horizontal="center" vertical="bottom" textRotation="0" wrapText="false" indent="0" shrinkToFit="false"/>
      <protection locked="true" hidden="false"/>
    </xf>
    <xf numFmtId="165" fontId="21" fillId="0" borderId="38" xfId="0" applyFont="true" applyBorder="true" applyAlignment="true" applyProtection="false">
      <alignment horizontal="left" vertical="bottom" textRotation="0" wrapText="false" indent="0" shrinkToFit="false"/>
      <protection locked="true" hidden="false"/>
    </xf>
    <xf numFmtId="167" fontId="0" fillId="0" borderId="26" xfId="0" applyFont="false" applyBorder="true" applyAlignment="true" applyProtection="false">
      <alignment horizontal="center" vertical="bottom" textRotation="0" wrapText="false" indent="0" shrinkToFit="false"/>
      <protection locked="true" hidden="false"/>
    </xf>
    <xf numFmtId="165" fontId="0" fillId="0" borderId="35" xfId="0" applyFont="true" applyBorder="true" applyAlignment="false" applyProtection="false">
      <alignment horizontal="general" vertical="bottom" textRotation="0" wrapText="false" indent="0" shrinkToFit="false"/>
      <protection locked="true" hidden="false"/>
    </xf>
    <xf numFmtId="167" fontId="0" fillId="0" borderId="31" xfId="0" applyFont="false" applyBorder="true" applyAlignment="true" applyProtection="false">
      <alignment horizontal="center" vertical="bottom" textRotation="0" wrapText="false" indent="0" shrinkToFit="false"/>
      <protection locked="true" hidden="false"/>
    </xf>
    <xf numFmtId="167" fontId="0" fillId="0" borderId="37" xfId="0" applyFont="false" applyBorder="true" applyAlignment="true" applyProtection="false">
      <alignment horizontal="center" vertical="bottom" textRotation="0" wrapText="false" indent="0" shrinkToFit="false"/>
      <protection locked="true" hidden="false"/>
    </xf>
    <xf numFmtId="172" fontId="6" fillId="0" borderId="37" xfId="0" applyFont="true" applyBorder="true" applyAlignment="true" applyProtection="false">
      <alignment horizontal="center" vertical="bottom" textRotation="0" wrapText="false" indent="0" shrinkToFit="false"/>
      <protection locked="true" hidden="false"/>
    </xf>
    <xf numFmtId="165" fontId="21" fillId="27" borderId="1" xfId="0" applyFont="true" applyBorder="true" applyAlignment="true" applyProtection="false">
      <alignment horizontal="center" vertical="bottom" textRotation="0" wrapText="false" indent="0" shrinkToFit="false"/>
      <protection locked="true" hidden="false"/>
    </xf>
    <xf numFmtId="165" fontId="21" fillId="27" borderId="5" xfId="0" applyFont="true" applyBorder="true" applyAlignment="true" applyProtection="false">
      <alignment horizontal="center" vertical="bottom" textRotation="0" wrapText="false" indent="0" shrinkToFit="false"/>
      <protection locked="true" hidden="false"/>
    </xf>
    <xf numFmtId="165" fontId="21" fillId="26" borderId="5" xfId="0" applyFont="true" applyBorder="true" applyAlignment="true" applyProtection="false">
      <alignment horizontal="center" vertical="bottom" textRotation="0" wrapText="false" indent="0" shrinkToFit="false"/>
      <protection locked="true" hidden="false"/>
    </xf>
    <xf numFmtId="167" fontId="21" fillId="25" borderId="5" xfId="0" applyFont="true" applyBorder="true" applyAlignment="true" applyProtection="false">
      <alignment horizontal="center" vertical="bottom" textRotation="0" wrapText="false" indent="0" shrinkToFit="false"/>
      <protection locked="true" hidden="false"/>
    </xf>
    <xf numFmtId="167" fontId="21" fillId="25" borderId="64" xfId="0" applyFont="true" applyBorder="true" applyAlignment="true" applyProtection="false">
      <alignment horizontal="center" vertical="bottom" textRotation="0" wrapText="false" indent="0" shrinkToFit="false"/>
      <protection locked="true" hidden="false"/>
    </xf>
    <xf numFmtId="172" fontId="0" fillId="27" borderId="22" xfId="0" applyFont="false" applyBorder="true" applyAlignment="true" applyProtection="false">
      <alignment horizontal="center" vertical="bottom" textRotation="0" wrapText="false" indent="0" shrinkToFit="false"/>
      <protection locked="true" hidden="false"/>
    </xf>
    <xf numFmtId="172" fontId="0" fillId="27" borderId="21" xfId="0" applyFont="false" applyBorder="true" applyAlignment="true" applyProtection="false">
      <alignment horizontal="center" vertical="bottom" textRotation="0" wrapText="false" indent="0" shrinkToFit="false"/>
      <protection locked="true" hidden="false"/>
    </xf>
    <xf numFmtId="173" fontId="0" fillId="26" borderId="21" xfId="0" applyFont="false" applyBorder="true" applyAlignment="true" applyProtection="false">
      <alignment horizontal="center" vertical="bottom" textRotation="0" wrapText="false" indent="0" shrinkToFit="false"/>
      <protection locked="true" hidden="false"/>
    </xf>
    <xf numFmtId="171" fontId="0" fillId="26" borderId="21" xfId="0" applyFont="false" applyBorder="true" applyAlignment="true" applyProtection="false">
      <alignment horizontal="center" vertical="bottom" textRotation="0" wrapText="false" indent="0" shrinkToFit="false"/>
      <protection locked="true" hidden="false"/>
    </xf>
    <xf numFmtId="167" fontId="0" fillId="25" borderId="21" xfId="0" applyFont="false" applyBorder="true" applyAlignment="true" applyProtection="false">
      <alignment horizontal="center" vertical="bottom" textRotation="0" wrapText="false" indent="0" shrinkToFit="false"/>
      <protection locked="true" hidden="false"/>
    </xf>
    <xf numFmtId="171" fontId="0" fillId="25" borderId="21" xfId="0" applyFont="false" applyBorder="true" applyAlignment="true" applyProtection="false">
      <alignment horizontal="center" vertical="bottom" textRotation="0" wrapText="false" indent="0" shrinkToFit="false"/>
      <protection locked="true" hidden="false"/>
    </xf>
    <xf numFmtId="171" fontId="0" fillId="25" borderId="23" xfId="0" applyFont="false" applyBorder="true" applyAlignment="true" applyProtection="false">
      <alignment horizontal="center" vertical="bottom" textRotation="0" wrapText="false" indent="0" shrinkToFit="false"/>
      <protection locked="true" hidden="false"/>
    </xf>
    <xf numFmtId="172" fontId="0" fillId="27" borderId="27" xfId="0" applyFont="false" applyBorder="true" applyAlignment="true" applyProtection="false">
      <alignment horizontal="center" vertical="bottom" textRotation="0" wrapText="false" indent="0" shrinkToFit="false"/>
      <protection locked="true" hidden="false"/>
    </xf>
    <xf numFmtId="172" fontId="0" fillId="27" borderId="0" xfId="0" applyFont="false" applyBorder="false" applyAlignment="true" applyProtection="false">
      <alignment horizontal="center" vertical="bottom" textRotation="0" wrapText="false" indent="0" shrinkToFit="false"/>
      <protection locked="true" hidden="false"/>
    </xf>
    <xf numFmtId="173" fontId="0" fillId="26" borderId="0" xfId="0" applyFont="false" applyBorder="false" applyAlignment="true" applyProtection="false">
      <alignment horizontal="center" vertical="bottom" textRotation="0" wrapText="false" indent="0" shrinkToFit="false"/>
      <protection locked="true" hidden="false"/>
    </xf>
    <xf numFmtId="171" fontId="0" fillId="26" borderId="0" xfId="0" applyFont="false" applyBorder="false" applyAlignment="true" applyProtection="false">
      <alignment horizontal="center" vertical="bottom" textRotation="0" wrapText="false" indent="0" shrinkToFit="false"/>
      <protection locked="true" hidden="false"/>
    </xf>
    <xf numFmtId="167" fontId="0" fillId="25" borderId="0" xfId="0" applyFont="false" applyBorder="false" applyAlignment="true" applyProtection="false">
      <alignment horizontal="center" vertical="bottom" textRotation="0" wrapText="false" indent="0" shrinkToFit="false"/>
      <protection locked="true" hidden="false"/>
    </xf>
    <xf numFmtId="171" fontId="0" fillId="25" borderId="0" xfId="0" applyFont="false" applyBorder="false" applyAlignment="true" applyProtection="false">
      <alignment horizontal="center" vertical="bottom" textRotation="0" wrapText="false" indent="0" shrinkToFit="false"/>
      <protection locked="true" hidden="false"/>
    </xf>
    <xf numFmtId="171" fontId="0" fillId="25" borderId="28" xfId="0" applyFont="false" applyBorder="true" applyAlignment="true" applyProtection="false">
      <alignment horizontal="center" vertical="bottom" textRotation="0" wrapText="false" indent="0" shrinkToFit="false"/>
      <protection locked="true" hidden="false"/>
    </xf>
    <xf numFmtId="172" fontId="0" fillId="27" borderId="39" xfId="0" applyFont="false" applyBorder="true" applyAlignment="true" applyProtection="false">
      <alignment horizontal="center" vertical="bottom" textRotation="0" wrapText="false" indent="0" shrinkToFit="false"/>
      <protection locked="true" hidden="false"/>
    </xf>
    <xf numFmtId="172" fontId="0" fillId="27" borderId="38" xfId="0" applyFont="false" applyBorder="true" applyAlignment="true" applyProtection="false">
      <alignment horizontal="center" vertical="bottom" textRotation="0" wrapText="false" indent="0" shrinkToFit="false"/>
      <protection locked="true" hidden="false"/>
    </xf>
    <xf numFmtId="173" fontId="0" fillId="26" borderId="38" xfId="0" applyFont="false" applyBorder="true" applyAlignment="true" applyProtection="false">
      <alignment horizontal="center" vertical="bottom" textRotation="0" wrapText="false" indent="0" shrinkToFit="false"/>
      <protection locked="true" hidden="false"/>
    </xf>
    <xf numFmtId="171" fontId="0" fillId="26" borderId="38" xfId="0" applyFont="false" applyBorder="true" applyAlignment="true" applyProtection="false">
      <alignment horizontal="center" vertical="bottom" textRotation="0" wrapText="false" indent="0" shrinkToFit="false"/>
      <protection locked="true" hidden="false"/>
    </xf>
    <xf numFmtId="167" fontId="0" fillId="25" borderId="38" xfId="0" applyFont="false" applyBorder="true" applyAlignment="true" applyProtection="false">
      <alignment horizontal="center" vertical="bottom" textRotation="0" wrapText="false" indent="0" shrinkToFit="false"/>
      <protection locked="true" hidden="false"/>
    </xf>
    <xf numFmtId="171" fontId="0" fillId="25" borderId="38" xfId="0" applyFont="false" applyBorder="true" applyAlignment="true" applyProtection="false">
      <alignment horizontal="center" vertical="bottom" textRotation="0" wrapText="false" indent="0" shrinkToFit="false"/>
      <protection locked="true" hidden="false"/>
    </xf>
    <xf numFmtId="171" fontId="0" fillId="25" borderId="40" xfId="0" applyFont="false" applyBorder="true" applyAlignment="true" applyProtection="false">
      <alignment horizontal="center" vertical="bottom" textRotation="0" wrapText="false" indent="0" shrinkToFit="false"/>
      <protection locked="true" hidden="false"/>
    </xf>
    <xf numFmtId="167" fontId="7" fillId="0" borderId="0" xfId="0" applyFont="true" applyBorder="false" applyAlignment="false" applyProtection="false">
      <alignment horizontal="general" vertical="bottom" textRotation="0" wrapText="false" indent="0" shrinkToFit="false"/>
      <protection locked="true" hidden="false"/>
    </xf>
    <xf numFmtId="165" fontId="7" fillId="2" borderId="6" xfId="0" applyFont="true" applyBorder="true" applyAlignment="true" applyProtection="false">
      <alignment horizontal="center" vertical="bottom" textRotation="0" wrapText="false" indent="0" shrinkToFit="false"/>
      <protection locked="true" hidden="false"/>
    </xf>
    <xf numFmtId="175" fontId="7" fillId="0" borderId="0" xfId="0" applyFont="true" applyBorder="false" applyAlignment="true" applyProtection="false">
      <alignment horizontal="center" vertical="bottom" textRotation="0" wrapText="false" indent="0" shrinkToFit="false"/>
      <protection locked="true" hidden="false"/>
    </xf>
    <xf numFmtId="171" fontId="7" fillId="0" borderId="0" xfId="0" applyFont="true" applyBorder="false" applyAlignment="true" applyProtection="false">
      <alignment horizontal="center" vertical="bottom" textRotation="0" wrapText="false" indent="0" shrinkToFit="false"/>
      <protection locked="true" hidden="false"/>
    </xf>
    <xf numFmtId="165" fontId="13" fillId="0" borderId="0" xfId="0" applyFont="true" applyBorder="false" applyAlignment="true" applyProtection="false">
      <alignment horizontal="center" vertical="bottom" textRotation="0" wrapText="false" indent="0" shrinkToFit="false"/>
      <protection locked="true" hidden="false"/>
    </xf>
    <xf numFmtId="165" fontId="7" fillId="3" borderId="0" xfId="0" applyFont="true" applyBorder="false" applyAlignment="true" applyProtection="false">
      <alignment horizontal="center" vertical="bottom" textRotation="0" wrapText="false" indent="0" shrinkToFit="false"/>
      <protection locked="true" hidden="false"/>
    </xf>
    <xf numFmtId="165" fontId="16" fillId="0" borderId="0" xfId="0" applyFont="true" applyBorder="false" applyAlignment="true" applyProtection="false">
      <alignment horizontal="center" vertical="bottom" textRotation="0" wrapText="false" indent="0" shrinkToFit="false"/>
      <protection locked="true" hidden="false"/>
    </xf>
    <xf numFmtId="165" fontId="22" fillId="0" borderId="0" xfId="0" applyFont="true" applyBorder="false" applyAlignment="false" applyProtection="false">
      <alignment horizontal="general" vertical="bottom" textRotation="0" wrapText="false" indent="0" shrinkToFit="false"/>
      <protection locked="true" hidden="false"/>
    </xf>
    <xf numFmtId="165" fontId="13" fillId="3" borderId="0" xfId="0" applyFont="true" applyBorder="false" applyAlignment="true" applyProtection="false">
      <alignment horizontal="center" vertical="bottom" textRotation="0" wrapText="false" indent="0" shrinkToFit="false"/>
      <protection locked="true" hidden="false"/>
    </xf>
    <xf numFmtId="171" fontId="13"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5" fontId="13" fillId="0" borderId="0" xfId="0" applyFont="true" applyBorder="false" applyAlignment="false" applyProtection="false">
      <alignment horizontal="general" vertical="bottom" textRotation="0" wrapText="false" indent="0" shrinkToFit="false"/>
      <protection locked="true" hidden="false"/>
    </xf>
    <xf numFmtId="167" fontId="13" fillId="0" borderId="0" xfId="0" applyFont="true" applyBorder="false" applyAlignment="true" applyProtection="false">
      <alignment horizontal="center" vertical="bottom" textRotation="0" wrapText="false" indent="0" shrinkToFit="false"/>
      <protection locked="true" hidden="false"/>
    </xf>
    <xf numFmtId="165" fontId="12" fillId="0" borderId="0" xfId="0" applyFont="true" applyBorder="false" applyAlignment="true" applyProtection="false">
      <alignment horizontal="left" vertical="bottom" textRotation="0" wrapText="false" indent="0" shrinkToFit="false"/>
      <protection locked="true" hidden="false"/>
    </xf>
    <xf numFmtId="173" fontId="7" fillId="0" borderId="0" xfId="0" applyFont="true" applyBorder="false" applyAlignment="true" applyProtection="false">
      <alignment horizontal="center" vertical="bottom" textRotation="0" wrapText="false" indent="0" shrinkToFit="false"/>
      <protection locked="true" hidden="false"/>
    </xf>
    <xf numFmtId="167" fontId="7" fillId="3" borderId="0" xfId="0" applyFont="true" applyBorder="false" applyAlignment="true" applyProtection="false">
      <alignment horizontal="center" vertical="bottom" textRotation="0" wrapText="false" indent="0" shrinkToFit="false"/>
      <protection locked="true" hidden="false"/>
    </xf>
    <xf numFmtId="165" fontId="9" fillId="2" borderId="6" xfId="0" applyFont="true" applyBorder="true" applyAlignment="true" applyProtection="false">
      <alignment horizontal="center" vertical="center" textRotation="0" wrapText="true" indent="0" shrinkToFit="false"/>
      <protection locked="true" hidden="false"/>
    </xf>
    <xf numFmtId="165" fontId="12" fillId="0" borderId="6" xfId="0" applyFont="true" applyBorder="true" applyAlignment="false" applyProtection="false">
      <alignment horizontal="general" vertical="bottom" textRotation="0" wrapText="false" indent="0" shrinkToFit="false"/>
      <protection locked="true" hidden="false"/>
    </xf>
    <xf numFmtId="172" fontId="12" fillId="0" borderId="6" xfId="0" applyFont="true" applyBorder="true" applyAlignment="true" applyProtection="false">
      <alignment horizontal="center" vertical="bottom" textRotation="0" wrapText="false" indent="0" shrinkToFit="false"/>
      <protection locked="true" hidden="false"/>
    </xf>
    <xf numFmtId="165" fontId="23" fillId="15"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24" fillId="28" borderId="6" xfId="0" applyFont="true" applyBorder="true" applyAlignment="true" applyProtection="false">
      <alignment horizontal="center" vertical="center" textRotation="0" wrapText="true" indent="0" shrinkToFit="false"/>
      <protection locked="true" hidden="false"/>
    </xf>
    <xf numFmtId="165" fontId="24" fillId="28" borderId="11" xfId="0" applyFont="true" applyBorder="true" applyAlignment="true" applyProtection="false">
      <alignment horizontal="center" vertical="center" textRotation="0" wrapText="true" indent="0" shrinkToFit="false"/>
      <protection locked="true" hidden="false"/>
    </xf>
    <xf numFmtId="164" fontId="24" fillId="28" borderId="11" xfId="0" applyFont="true" applyBorder="true" applyAlignment="true" applyProtection="false">
      <alignment horizontal="center" vertical="center" textRotation="0" wrapText="true" indent="0" shrinkToFit="false"/>
      <protection locked="true" hidden="false"/>
    </xf>
    <xf numFmtId="165" fontId="24" fillId="28" borderId="57" xfId="0" applyFont="true" applyBorder="true" applyAlignment="true" applyProtection="false">
      <alignment horizontal="center" vertical="center" textRotation="0" wrapText="true" indent="0" shrinkToFit="false"/>
      <protection locked="true" hidden="false"/>
    </xf>
    <xf numFmtId="165" fontId="24" fillId="28" borderId="46" xfId="0" applyFont="true" applyBorder="true" applyAlignment="true" applyProtection="false">
      <alignment horizontal="center" vertical="center" textRotation="0" wrapText="true" indent="0" shrinkToFit="false"/>
      <protection locked="true" hidden="false"/>
    </xf>
    <xf numFmtId="165" fontId="21" fillId="0" borderId="6" xfId="0" applyFont="true" applyBorder="true" applyAlignment="true" applyProtection="false">
      <alignment horizontal="center" vertical="center" textRotation="0" wrapText="true" indent="0" shrinkToFit="false"/>
      <protection locked="true" hidden="false"/>
    </xf>
    <xf numFmtId="165" fontId="24" fillId="18" borderId="6" xfId="0" applyFont="true" applyBorder="true" applyAlignment="true" applyProtection="false">
      <alignment horizontal="center" vertical="center" textRotation="0" wrapText="false" indent="0" shrinkToFit="false"/>
      <protection locked="true" hidden="false"/>
    </xf>
    <xf numFmtId="171" fontId="23" fillId="0" borderId="6" xfId="0" applyFont="true" applyBorder="true" applyAlignment="true" applyProtection="false">
      <alignment horizontal="center" vertical="bottom" textRotation="0" wrapText="false" indent="0" shrinkToFit="false"/>
      <protection locked="true" hidden="false"/>
    </xf>
    <xf numFmtId="176" fontId="25" fillId="0" borderId="6" xfId="0" applyFont="true" applyBorder="true" applyAlignment="true" applyProtection="false">
      <alignment horizontal="center" vertical="center" textRotation="0" wrapText="false" indent="0" shrinkToFit="false"/>
      <protection locked="true" hidden="false"/>
    </xf>
    <xf numFmtId="176" fontId="25" fillId="0" borderId="7" xfId="0" applyFont="true" applyBorder="true" applyAlignment="true" applyProtection="false">
      <alignment horizontal="center" vertical="center" textRotation="0" wrapText="false" indent="0" shrinkToFit="false"/>
      <protection locked="true" hidden="false"/>
    </xf>
    <xf numFmtId="171" fontId="23" fillId="0" borderId="9" xfId="0" applyFont="true" applyBorder="true" applyAlignment="true" applyProtection="false">
      <alignment horizontal="center" vertical="bottom" textRotation="0" wrapText="false" indent="0" shrinkToFit="false"/>
      <protection locked="true" hidden="false"/>
    </xf>
    <xf numFmtId="165" fontId="0" fillId="15" borderId="6" xfId="0" applyFont="false" applyBorder="true" applyAlignment="false" applyProtection="false">
      <alignment horizontal="general" vertical="bottom" textRotation="0" wrapText="false" indent="0" shrinkToFit="false"/>
      <protection locked="true" hidden="false"/>
    </xf>
    <xf numFmtId="171" fontId="23" fillId="0" borderId="10" xfId="0" applyFont="true" applyBorder="true" applyAlignment="true" applyProtection="false">
      <alignment horizontal="center" vertical="center" textRotation="0" wrapText="false" indent="0" shrinkToFit="false"/>
      <protection locked="true" hidden="false"/>
    </xf>
    <xf numFmtId="177" fontId="23" fillId="0" borderId="6" xfId="0" applyFont="true" applyBorder="true" applyAlignment="true" applyProtection="false">
      <alignment horizontal="center" vertical="center" textRotation="0" wrapText="false" indent="0" shrinkToFit="false"/>
      <protection locked="true" hidden="false"/>
    </xf>
    <xf numFmtId="172" fontId="23" fillId="0" borderId="6" xfId="0" applyFont="true" applyBorder="true" applyAlignment="true" applyProtection="false">
      <alignment horizontal="center" vertical="center" textRotation="0" wrapText="false" indent="0" shrinkToFit="false"/>
      <protection locked="true" hidden="false"/>
    </xf>
    <xf numFmtId="171" fontId="23" fillId="0" borderId="0" xfId="0" applyFont="true" applyBorder="false" applyAlignment="true" applyProtection="false">
      <alignment horizontal="center" vertical="center" textRotation="0" wrapText="false" indent="0" shrinkToFit="false"/>
      <protection locked="true" hidden="false"/>
    </xf>
    <xf numFmtId="164" fontId="0" fillId="0" borderId="6" xfId="0" applyFont="false" applyBorder="true" applyAlignment="true" applyProtection="false">
      <alignment horizontal="center" vertical="center" textRotation="0" wrapText="false" indent="0" shrinkToFit="false"/>
      <protection locked="true" hidden="false"/>
    </xf>
    <xf numFmtId="165" fontId="0" fillId="0" borderId="6" xfId="0" applyFont="true" applyBorder="true" applyAlignment="true" applyProtection="false">
      <alignment horizontal="center" vertical="center" textRotation="0" wrapText="false" indent="0" shrinkToFit="false"/>
      <protection locked="true" hidden="false"/>
    </xf>
    <xf numFmtId="171" fontId="26" fillId="7" borderId="6" xfId="0" applyFont="true" applyBorder="true" applyAlignment="true" applyProtection="false">
      <alignment horizontal="center" vertical="bottom" textRotation="0" wrapText="false" indent="0" shrinkToFit="false"/>
      <protection locked="true" hidden="false"/>
    </xf>
    <xf numFmtId="165" fontId="24" fillId="29" borderId="6" xfId="0" applyFont="true" applyBorder="true" applyAlignment="true" applyProtection="false">
      <alignment horizontal="center" vertical="center" textRotation="0" wrapText="false" indent="0" shrinkToFit="false"/>
      <protection locked="true" hidden="false"/>
    </xf>
    <xf numFmtId="171" fontId="23" fillId="29" borderId="6" xfId="0" applyFont="true" applyBorder="true" applyAlignment="true" applyProtection="false">
      <alignment horizontal="center" vertical="bottom" textRotation="0" wrapText="false" indent="0" shrinkToFit="false"/>
      <protection locked="true" hidden="false"/>
    </xf>
    <xf numFmtId="176" fontId="25" fillId="29" borderId="6" xfId="0" applyFont="true" applyBorder="true" applyAlignment="true" applyProtection="false">
      <alignment horizontal="center" vertical="center" textRotation="0" wrapText="false" indent="0" shrinkToFit="false"/>
      <protection locked="true" hidden="false"/>
    </xf>
    <xf numFmtId="171" fontId="23" fillId="29" borderId="9"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true" indent="0" shrinkToFit="false"/>
      <protection locked="true" hidden="false"/>
    </xf>
    <xf numFmtId="165" fontId="5" fillId="30" borderId="20" xfId="0" applyFont="true" applyBorder="true" applyAlignment="true" applyProtection="false">
      <alignment horizontal="center" vertical="center" textRotation="0" wrapText="false" indent="0" shrinkToFit="false"/>
      <protection locked="true" hidden="false"/>
    </xf>
    <xf numFmtId="165" fontId="5" fillId="30" borderId="64" xfId="0" applyFont="true" applyBorder="true" applyAlignment="true" applyProtection="false">
      <alignment horizontal="center" vertical="center" textRotation="0" wrapText="false" indent="0" shrinkToFit="false"/>
      <protection locked="true" hidden="false"/>
    </xf>
    <xf numFmtId="165" fontId="5" fillId="30" borderId="64" xfId="0" applyFont="true" applyBorder="true" applyAlignment="true" applyProtection="false">
      <alignment horizontal="center" vertical="center" textRotation="0" wrapText="true" indent="0" shrinkToFit="false"/>
      <protection locked="true" hidden="false"/>
    </xf>
    <xf numFmtId="165" fontId="5" fillId="30" borderId="0" xfId="0" applyFont="true" applyBorder="false" applyAlignment="true" applyProtection="false">
      <alignment horizontal="center" vertical="bottom" textRotation="0" wrapText="false" indent="0" shrinkToFit="false"/>
      <protection locked="true" hidden="false"/>
    </xf>
    <xf numFmtId="165" fontId="5" fillId="0" borderId="43" xfId="0" applyFont="true" applyBorder="true" applyAlignment="true" applyProtection="false">
      <alignment horizontal="general" vertical="center" textRotation="0" wrapText="true" indent="0" shrinkToFit="false"/>
      <protection locked="true" hidden="false"/>
    </xf>
    <xf numFmtId="165" fontId="5" fillId="0" borderId="40" xfId="0" applyFont="true" applyBorder="true" applyAlignment="false" applyProtection="false">
      <alignment horizontal="general" vertical="bottom" textRotation="0" wrapText="false" indent="0" shrinkToFit="false"/>
      <protection locked="true" hidden="false"/>
    </xf>
    <xf numFmtId="165" fontId="5" fillId="0" borderId="38" xfId="0" applyFont="true" applyBorder="true" applyAlignment="true" applyProtection="false">
      <alignment horizontal="general" vertical="bottom" textRotation="0" wrapText="true" indent="0" shrinkToFit="false"/>
      <protection locked="true" hidden="false"/>
    </xf>
    <xf numFmtId="165" fontId="5" fillId="0" borderId="20" xfId="0" applyFont="true" applyBorder="true" applyAlignment="false" applyProtection="false">
      <alignment horizontal="general" vertical="bottom" textRotation="0" wrapText="false" indent="0" shrinkToFit="false"/>
      <protection locked="true" hidden="false"/>
    </xf>
    <xf numFmtId="165" fontId="25" fillId="0" borderId="0" xfId="0" applyFont="true" applyBorder="false" applyAlignment="false" applyProtection="false">
      <alignment horizontal="general" vertical="bottom" textRotation="0" wrapText="false" indent="0" shrinkToFit="false"/>
      <protection locked="true" hidden="false"/>
    </xf>
    <xf numFmtId="165" fontId="5" fillId="0" borderId="43"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5" fillId="30" borderId="11" xfId="0" applyFont="true" applyBorder="true" applyAlignment="true" applyProtection="false">
      <alignment horizontal="center" vertical="center" textRotation="0" wrapText="true" indent="0" shrinkToFit="false"/>
      <protection locked="true" hidden="false"/>
    </xf>
    <xf numFmtId="165" fontId="5" fillId="30" borderId="46" xfId="0" applyFont="true" applyBorder="true" applyAlignment="true" applyProtection="false">
      <alignment horizontal="center" vertical="center" textRotation="0" wrapText="false" indent="0" shrinkToFit="false"/>
      <protection locked="true" hidden="false"/>
    </xf>
    <xf numFmtId="165" fontId="5" fillId="3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5" fillId="30" borderId="6" xfId="0" applyFont="true" applyBorder="true" applyAlignment="true" applyProtection="false">
      <alignment horizontal="center" vertical="center" textRotation="0" wrapText="false" indent="0" shrinkToFit="false"/>
      <protection locked="true" hidden="false"/>
    </xf>
    <xf numFmtId="165" fontId="5" fillId="0" borderId="6" xfId="0" applyFont="true" applyBorder="true" applyAlignment="true" applyProtection="false">
      <alignment horizontal="center" vertical="center" textRotation="0" wrapText="false" indent="0" shrinkToFit="false"/>
      <protection locked="true" hidden="false"/>
    </xf>
    <xf numFmtId="165" fontId="5" fillId="0" borderId="10" xfId="0" applyFont="true" applyBorder="true" applyAlignment="true" applyProtection="false">
      <alignment horizontal="center" vertical="center" textRotation="0" wrapText="false" indent="0" shrinkToFit="false"/>
      <protection locked="true" hidden="false"/>
    </xf>
    <xf numFmtId="165" fontId="5" fillId="0" borderId="7" xfId="0" applyFont="true" applyBorder="true" applyAlignment="true" applyProtection="false">
      <alignment horizontal="center" vertical="center" textRotation="0" wrapText="false" indent="0" shrinkToFit="false"/>
      <protection locked="true" hidden="false"/>
    </xf>
    <xf numFmtId="165" fontId="5" fillId="0" borderId="59"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5" fontId="28" fillId="30" borderId="6" xfId="0" applyFont="true" applyBorder="true" applyAlignment="true" applyProtection="false">
      <alignment horizontal="general" vertical="center" textRotation="0" wrapText="false" indent="0" shrinkToFit="false"/>
      <protection locked="true" hidden="false"/>
    </xf>
    <xf numFmtId="165" fontId="28" fillId="30" borderId="10" xfId="0" applyFont="true" applyBorder="true" applyAlignment="true" applyProtection="false">
      <alignment horizontal="general" vertical="center" textRotation="0" wrapText="false" indent="0" shrinkToFit="false"/>
      <protection locked="true" hidden="false"/>
    </xf>
    <xf numFmtId="165" fontId="28" fillId="30" borderId="10" xfId="0" applyFont="true" applyBorder="true" applyAlignment="true" applyProtection="false">
      <alignment horizontal="center" vertical="center" textRotation="0" wrapText="true" indent="0" shrinkToFit="false"/>
      <protection locked="true" hidden="false"/>
    </xf>
    <xf numFmtId="165" fontId="5" fillId="0" borderId="7" xfId="0" applyFont="true" applyBorder="true" applyAlignment="true" applyProtection="false">
      <alignment horizontal="general" vertical="bottom" textRotation="0" wrapText="true" indent="0" shrinkToFit="false"/>
      <protection locked="true" hidden="false"/>
    </xf>
    <xf numFmtId="165" fontId="5" fillId="5" borderId="59" xfId="0" applyFont="true" applyBorder="true" applyAlignment="true" applyProtection="false">
      <alignment horizontal="general" vertical="center" textRotation="0" wrapText="false" indent="0" shrinkToFit="false"/>
      <protection locked="true" hidden="false"/>
    </xf>
    <xf numFmtId="165" fontId="5" fillId="5" borderId="59" xfId="0" applyFont="true" applyBorder="true" applyAlignment="true" applyProtection="false">
      <alignment horizontal="general" vertical="center" textRotation="0" wrapText="true" indent="0" shrinkToFit="false"/>
      <protection locked="true" hidden="false"/>
    </xf>
    <xf numFmtId="165" fontId="5" fillId="0" borderId="66" xfId="0" applyFont="true" applyBorder="true" applyAlignment="true" applyProtection="false">
      <alignment horizontal="center" vertical="center" textRotation="0" wrapText="false" indent="0" shrinkToFit="false"/>
      <protection locked="true" hidden="false"/>
    </xf>
    <xf numFmtId="165" fontId="5" fillId="4" borderId="59" xfId="0" applyFont="true" applyBorder="true" applyAlignment="true" applyProtection="false">
      <alignment horizontal="general" vertical="center" textRotation="0" wrapText="false" indent="0" shrinkToFit="false"/>
      <protection locked="true" hidden="false"/>
    </xf>
    <xf numFmtId="165" fontId="5" fillId="4" borderId="59" xfId="0" applyFont="true" applyBorder="true" applyAlignment="true" applyProtection="false">
      <alignment horizontal="general" vertical="center" textRotation="0" wrapText="true" indent="0" shrinkToFit="false"/>
      <protection locked="true" hidden="false"/>
    </xf>
    <xf numFmtId="165" fontId="5" fillId="0" borderId="66" xfId="0" applyFont="true" applyBorder="true" applyAlignment="true" applyProtection="false">
      <alignment horizontal="center" vertical="center" textRotation="0" wrapText="true" indent="0" shrinkToFit="false"/>
      <protection locked="true" hidden="false"/>
    </xf>
    <xf numFmtId="165" fontId="29"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35" fillId="15" borderId="0" xfId="0" applyFont="true" applyBorder="true" applyAlignment="true" applyProtection="false">
      <alignment horizontal="center" vertical="bottom" textRotation="0" wrapText="false" indent="0" shrinkToFit="false"/>
      <protection locked="true" hidden="false"/>
    </xf>
    <xf numFmtId="165" fontId="36" fillId="0" borderId="0" xfId="0" applyFont="true" applyBorder="false" applyAlignment="true" applyProtection="false">
      <alignment horizontal="center" vertical="bottom" textRotation="0" wrapText="true" indent="0" shrinkToFit="false"/>
      <protection locked="true" hidden="false"/>
    </xf>
    <xf numFmtId="165" fontId="37" fillId="0" borderId="0" xfId="0" applyFont="true" applyBorder="false" applyAlignment="true" applyProtection="false">
      <alignment horizontal="general" vertical="bottom" textRotation="0" wrapText="true" indent="0" shrinkToFit="false"/>
      <protection locked="true" hidden="false"/>
    </xf>
    <xf numFmtId="165" fontId="37" fillId="0" borderId="0" xfId="0" applyFont="true" applyBorder="false" applyAlignment="true" applyProtection="false">
      <alignment horizontal="center" vertical="bottom" textRotation="0" wrapText="true" indent="0" shrinkToFit="false"/>
      <protection locked="true" hidden="false"/>
    </xf>
    <xf numFmtId="165" fontId="37" fillId="0" borderId="0" xfId="0" applyFont="true" applyBorder="false" applyAlignment="true" applyProtection="false">
      <alignment horizontal="left" vertical="bottom" textRotation="0" wrapText="true" indent="0" shrinkToFit="false"/>
      <protection locked="true" hidden="false"/>
    </xf>
    <xf numFmtId="165" fontId="36" fillId="0" borderId="0" xfId="0" applyFont="true" applyBorder="false" applyAlignment="true" applyProtection="false">
      <alignment horizontal="center" vertical="bottom" textRotation="0" wrapText="false" indent="0" shrinkToFit="false"/>
      <protection locked="true" hidden="false"/>
    </xf>
    <xf numFmtId="165" fontId="36" fillId="0" borderId="0" xfId="0" applyFont="true" applyBorder="false" applyAlignment="false" applyProtection="false">
      <alignment horizontal="general" vertical="bottom" textRotation="0" wrapText="false" indent="0" shrinkToFit="false"/>
      <protection locked="true" hidden="false"/>
    </xf>
    <xf numFmtId="165" fontId="38" fillId="0" borderId="0" xfId="0" applyFont="true" applyBorder="false" applyAlignment="true" applyProtection="false">
      <alignment horizontal="center" vertical="bottom" textRotation="0" wrapText="false" indent="0" shrinkToFit="false"/>
      <protection locked="true" hidden="false"/>
    </xf>
    <xf numFmtId="165" fontId="39" fillId="0" borderId="0" xfId="0" applyFont="true" applyBorder="false" applyAlignment="true" applyProtection="false">
      <alignment horizontal="center" vertical="bottom" textRotation="0" wrapText="false" indent="0" shrinkToFit="false"/>
      <protection locked="true" hidden="false"/>
    </xf>
    <xf numFmtId="172" fontId="27" fillId="0" borderId="0" xfId="0" applyFont="true" applyBorder="false" applyAlignment="true" applyProtection="false">
      <alignment horizontal="center" vertical="center" textRotation="0" wrapText="false" indent="0" shrinkToFit="false"/>
      <protection locked="true" hidden="false"/>
    </xf>
    <xf numFmtId="165" fontId="27"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5" fontId="41" fillId="0" borderId="0" xfId="0" applyFont="true" applyBorder="false" applyAlignment="true" applyProtection="false">
      <alignment horizontal="center" vertical="bottom" textRotation="0" wrapText="false" indent="0" shrinkToFit="false"/>
      <protection locked="true" hidden="false"/>
    </xf>
    <xf numFmtId="165" fontId="41" fillId="0" borderId="0" xfId="0" applyFont="true" applyBorder="false" applyAlignment="true" applyProtection="false">
      <alignment horizontal="center" vertical="bottom" textRotation="0" wrapText="true" indent="0" shrinkToFit="false"/>
      <protection locked="true" hidden="false"/>
    </xf>
    <xf numFmtId="165" fontId="6" fillId="28" borderId="0" xfId="0" applyFont="true" applyBorder="false" applyAlignment="true" applyProtection="false">
      <alignment horizontal="center" vertical="center" textRotation="0" wrapText="true" indent="0" shrinkToFit="false"/>
      <protection locked="true" hidden="false"/>
    </xf>
    <xf numFmtId="165" fontId="0" fillId="28" borderId="0" xfId="0" applyFont="true" applyBorder="false" applyAlignment="true" applyProtection="false">
      <alignment horizontal="center" vertical="center" textRotation="0" wrapText="true" indent="0" shrinkToFit="false"/>
      <protection locked="true" hidden="false"/>
    </xf>
    <xf numFmtId="167" fontId="0" fillId="28" borderId="0" xfId="0" applyFont="false" applyBorder="false" applyAlignment="true" applyProtection="false">
      <alignment horizontal="center" vertical="bottom" textRotation="0" wrapText="false" indent="0" shrinkToFit="false"/>
      <protection locked="true" hidden="false"/>
    </xf>
    <xf numFmtId="164" fontId="6" fillId="28" borderId="0" xfId="19" applyFont="true" applyBorder="true" applyAlignment="true" applyProtection="true">
      <alignment horizontal="center" vertical="bottom" textRotation="0" wrapText="false" indent="0" shrinkToFit="false"/>
      <protection locked="true" hidden="false"/>
    </xf>
    <xf numFmtId="167" fontId="42" fillId="28" borderId="0" xfId="0" applyFont="true" applyBorder="false" applyAlignment="true" applyProtection="false">
      <alignment horizontal="center"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7" fontId="43" fillId="0" borderId="0" xfId="0" applyFont="true" applyBorder="false" applyAlignment="false" applyProtection="false">
      <alignment horizontal="general" vertical="bottom" textRotation="0" wrapText="false" indent="0" shrinkToFit="false"/>
      <protection locked="true" hidden="false"/>
    </xf>
    <xf numFmtId="167" fontId="6" fillId="28" borderId="0" xfId="0" applyFont="true" applyBorder="false" applyAlignment="true" applyProtection="false">
      <alignment horizontal="center" vertical="bottom" textRotation="0" wrapText="false" indent="0" shrinkToFit="false"/>
      <protection locked="true" hidden="false"/>
    </xf>
    <xf numFmtId="164" fontId="6" fillId="28" borderId="0" xfId="0" applyFont="true" applyBorder="false" applyAlignment="true" applyProtection="false">
      <alignment horizontal="center" vertical="bottom" textRotation="0" wrapText="false" indent="0" shrinkToFit="false"/>
      <protection locked="true" hidden="false"/>
    </xf>
    <xf numFmtId="164" fontId="6" fillId="0" borderId="0" xfId="19" applyFont="true" applyBorder="true" applyAlignment="true" applyProtection="true">
      <alignment horizontal="center" vertical="bottom" textRotation="0" wrapText="false" indent="0" shrinkToFit="false"/>
      <protection locked="true" hidden="false"/>
    </xf>
    <xf numFmtId="167" fontId="4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79" fontId="0" fillId="0" borderId="0" xfId="0" applyFont="false" applyBorder="false" applyAlignment="false" applyProtection="false">
      <alignment horizontal="general" vertical="bottom" textRotation="0" wrapText="false" indent="0" shrinkToFit="false"/>
      <protection locked="true" hidden="false"/>
    </xf>
    <xf numFmtId="165" fontId="37" fillId="0" borderId="0" xfId="0" applyFont="true" applyBorder="false" applyAlignment="true" applyProtection="false">
      <alignment horizontal="center" vertical="bottom" textRotation="0" wrapText="false" indent="0" shrinkToFit="false"/>
      <protection locked="true" hidden="false"/>
    </xf>
    <xf numFmtId="172" fontId="6" fillId="0" borderId="0" xfId="0" applyFont="true" applyBorder="false" applyAlignment="true" applyProtection="false">
      <alignment horizontal="right" vertical="bottom" textRotation="0" wrapText="false" indent="0" shrinkToFit="false"/>
      <protection locked="true" hidden="false"/>
    </xf>
    <xf numFmtId="165" fontId="36" fillId="0" borderId="0" xfId="0" applyFont="true" applyBorder="false" applyAlignment="true" applyProtection="false">
      <alignment horizontal="general" vertical="bottom" textRotation="0" wrapText="true" indent="0" shrinkToFit="false"/>
      <protection locked="true" hidden="false"/>
    </xf>
    <xf numFmtId="165" fontId="37" fillId="0" borderId="0" xfId="0" applyFont="true" applyBorder="false" applyAlignment="false" applyProtection="false">
      <alignment horizontal="general" vertical="bottom" textRotation="0" wrapText="false" indent="0" shrinkToFit="false"/>
      <protection locked="true" hidden="false"/>
    </xf>
    <xf numFmtId="165" fontId="37" fillId="0" borderId="0" xfId="0" applyFont="true" applyBorder="false" applyAlignment="true" applyProtection="false">
      <alignment horizontal="left" vertical="bottom" textRotation="0" wrapText="false" indent="0" shrinkToFit="false"/>
      <protection locked="true" hidden="false"/>
    </xf>
    <xf numFmtId="165" fontId="38"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7" fontId="0" fillId="28" borderId="0" xfId="0" applyFont="true" applyBorder="false" applyAlignment="true" applyProtection="false">
      <alignment horizontal="center" vertical="bottom" textRotation="0" wrapText="true" indent="0" shrinkToFit="false"/>
      <protection locked="true" hidden="false"/>
    </xf>
    <xf numFmtId="165" fontId="44" fillId="0" borderId="0" xfId="0" applyFont="true" applyBorder="false" applyAlignment="false" applyProtection="false">
      <alignment horizontal="general" vertical="bottom" textRotation="0" wrapText="false" indent="0" shrinkToFit="false"/>
      <protection locked="true" hidden="false"/>
    </xf>
    <xf numFmtId="165" fontId="36" fillId="0" borderId="6" xfId="0" applyFont="true" applyBorder="true" applyAlignment="false" applyProtection="false">
      <alignment horizontal="general" vertical="bottom" textRotation="0" wrapText="false" indent="0" shrinkToFit="false"/>
      <protection locked="true" hidden="false"/>
    </xf>
    <xf numFmtId="165" fontId="36" fillId="0" borderId="6" xfId="0" applyFont="true" applyBorder="true" applyAlignment="true" applyProtection="false">
      <alignment horizontal="center" vertical="bottom" textRotation="0" wrapText="false" indent="0" shrinkToFit="false"/>
      <protection locked="true" hidden="false"/>
    </xf>
    <xf numFmtId="165" fontId="36" fillId="0" borderId="6" xfId="0" applyFont="true" applyBorder="true" applyAlignment="true" applyProtection="false">
      <alignment horizontal="center" vertical="bottom" textRotation="0" wrapText="true" indent="0" shrinkToFit="false"/>
      <protection locked="true" hidden="false"/>
    </xf>
    <xf numFmtId="172" fontId="38" fillId="0" borderId="6" xfId="0" applyFont="true" applyBorder="true" applyAlignment="true" applyProtection="false">
      <alignment horizontal="center" vertical="bottom" textRotation="0" wrapText="false" indent="0" shrinkToFit="false"/>
      <protection locked="true" hidden="false"/>
    </xf>
    <xf numFmtId="167" fontId="38" fillId="0" borderId="6" xfId="0" applyFont="true" applyBorder="true" applyAlignment="true" applyProtection="false">
      <alignment horizontal="center" vertical="bottom" textRotation="0" wrapText="false" indent="0" shrinkToFit="false"/>
      <protection locked="true" hidden="false"/>
    </xf>
    <xf numFmtId="165" fontId="45" fillId="0" borderId="0" xfId="0" applyFont="true" applyBorder="false" applyAlignment="false" applyProtection="false">
      <alignment horizontal="general" vertical="bottom" textRotation="0" wrapText="false" indent="0" shrinkToFit="false"/>
      <protection locked="true" hidden="false"/>
    </xf>
    <xf numFmtId="165" fontId="36" fillId="0" borderId="0" xfId="0" applyFont="true" applyBorder="false" applyAlignment="true" applyProtection="false">
      <alignment horizontal="left" vertical="bottom" textRotation="0" wrapText="false" indent="0" shrinkToFit="false"/>
      <protection locked="true" hidden="false"/>
    </xf>
    <xf numFmtId="165" fontId="36" fillId="0" borderId="0" xfId="0" applyFont="true" applyBorder="true" applyAlignment="true" applyProtection="false">
      <alignment horizontal="center" vertical="bottom" textRotation="0" wrapText="true" indent="0" shrinkToFit="false"/>
      <protection locked="true" hidden="false"/>
    </xf>
    <xf numFmtId="167" fontId="38" fillId="0" borderId="0" xfId="0" applyFont="true" applyBorder="false" applyAlignment="true" applyProtection="false">
      <alignment horizontal="center" vertical="bottom" textRotation="0" wrapText="false" indent="0" shrinkToFit="false"/>
      <protection locked="true" hidden="false"/>
    </xf>
    <xf numFmtId="173" fontId="38" fillId="0" borderId="0" xfId="0" applyFont="true" applyBorder="false" applyAlignment="true" applyProtection="false">
      <alignment horizontal="center" vertical="bottom" textRotation="0" wrapText="false" indent="0" shrinkToFit="false"/>
      <protection locked="true" hidden="false"/>
    </xf>
    <xf numFmtId="165" fontId="21" fillId="0" borderId="0" xfId="0" applyFont="true" applyBorder="true" applyAlignment="true" applyProtection="false">
      <alignment horizontal="center" vertical="bottom" textRotation="0" wrapText="false" indent="0" shrinkToFit="false"/>
      <protection locked="true" hidden="false"/>
    </xf>
    <xf numFmtId="165" fontId="21" fillId="0" borderId="0" xfId="0" applyFont="true" applyBorder="false" applyAlignment="true" applyProtection="false">
      <alignment horizontal="center" vertical="bottom" textRotation="0" wrapText="false" indent="0" shrinkToFit="false"/>
      <protection locked="true" hidden="false"/>
    </xf>
    <xf numFmtId="173" fontId="0" fillId="0" borderId="0" xfId="0" applyFont="false" applyBorder="false" applyAlignment="true" applyProtection="false">
      <alignment horizontal="center" vertical="bottom" textRotation="0" wrapText="false" indent="0" shrinkToFit="false"/>
      <protection locked="true" hidden="false"/>
    </xf>
    <xf numFmtId="165" fontId="46" fillId="0" borderId="0" xfId="0" applyFont="true" applyBorder="false" applyAlignment="true" applyProtection="false">
      <alignment horizontal="center" vertical="bottom" textRotation="0" wrapText="false" indent="0" shrinkToFit="false"/>
      <protection locked="true" hidden="false"/>
    </xf>
    <xf numFmtId="179"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xf numFmtId="180" fontId="0" fillId="0" borderId="0" xfId="17" applyFont="true" applyBorder="true" applyAlignment="true" applyProtection="true">
      <alignment horizontal="general" vertical="bottom" textRotation="0" wrapText="false" indent="0" shrinkToFit="false"/>
      <protection locked="true" hidden="false"/>
    </xf>
    <xf numFmtId="165" fontId="6" fillId="0" borderId="0" xfId="0" applyFont="true" applyBorder="true" applyAlignment="true" applyProtection="false">
      <alignment horizontal="center" vertical="bottom" textRotation="0" wrapText="false" indent="0" shrinkToFit="false"/>
      <protection locked="true" hidden="false"/>
    </xf>
    <xf numFmtId="165" fontId="21" fillId="0" borderId="54" xfId="0" applyFont="true" applyBorder="true" applyAlignment="true" applyProtection="false">
      <alignment horizontal="center" vertical="bottom" textRotation="0" wrapText="false" indent="0" shrinkToFit="false"/>
      <protection locked="true" hidden="false"/>
    </xf>
    <xf numFmtId="165" fontId="21" fillId="0" borderId="0" xfId="0" applyFont="true" applyBorder="false" applyAlignment="true" applyProtection="false">
      <alignment horizontal="center" vertical="bottom" textRotation="0" wrapText="true" indent="0" shrinkToFit="false"/>
      <protection locked="true" hidden="false"/>
    </xf>
    <xf numFmtId="165" fontId="21" fillId="0" borderId="27" xfId="0" applyFont="true" applyBorder="true" applyAlignment="true" applyProtection="false">
      <alignment horizontal="center" vertical="bottom" textRotation="0" wrapText="true" indent="0" shrinkToFit="false"/>
      <protection locked="true" hidden="false"/>
    </xf>
    <xf numFmtId="165" fontId="21" fillId="0" borderId="28" xfId="0" applyFont="true" applyBorder="true" applyAlignment="true" applyProtection="false">
      <alignment horizontal="center"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72" fontId="0" fillId="31" borderId="57" xfId="0" applyFont="false" applyBorder="true" applyAlignment="false" applyProtection="false">
      <alignment horizontal="general" vertical="bottom" textRotation="0" wrapText="false" indent="0" shrinkToFit="false"/>
      <protection locked="true" hidden="false"/>
    </xf>
    <xf numFmtId="173" fontId="0" fillId="31" borderId="57" xfId="0" applyFont="false" applyBorder="true" applyAlignment="true" applyProtection="false">
      <alignment horizontal="center" vertical="bottom" textRotation="0" wrapText="false" indent="0" shrinkToFit="false"/>
      <protection locked="true" hidden="false"/>
    </xf>
    <xf numFmtId="172" fontId="0" fillId="31" borderId="57" xfId="0" applyFont="false" applyBorder="true" applyAlignment="true" applyProtection="false">
      <alignment horizontal="center" vertical="bottom" textRotation="0" wrapText="false" indent="0" shrinkToFit="false"/>
      <protection locked="true" hidden="false"/>
    </xf>
    <xf numFmtId="179" fontId="0" fillId="0" borderId="57" xfId="0" applyFont="false" applyBorder="true" applyAlignment="true" applyProtection="false">
      <alignment horizontal="center" vertical="bottom" textRotation="0" wrapText="false" indent="0" shrinkToFit="false"/>
      <protection locked="true" hidden="false"/>
    </xf>
    <xf numFmtId="179" fontId="6" fillId="0" borderId="57" xfId="0" applyFont="true" applyBorder="true" applyAlignment="true" applyProtection="false">
      <alignment horizontal="center" vertical="bottom" textRotation="0" wrapText="false" indent="0" shrinkToFit="false"/>
      <protection locked="true" hidden="false"/>
    </xf>
    <xf numFmtId="179" fontId="0" fillId="0" borderId="57" xfId="0" applyFont="true" applyBorder="true" applyAlignment="true" applyProtection="false">
      <alignment horizontal="center" vertical="bottom" textRotation="0" wrapText="false" indent="0" shrinkToFit="false"/>
      <protection locked="true" hidden="false"/>
    </xf>
    <xf numFmtId="172" fontId="0" fillId="0" borderId="27" xfId="0" applyFont="false" applyBorder="true" applyAlignment="true" applyProtection="false">
      <alignment horizontal="center" vertical="bottom" textRotation="0" wrapText="false" indent="0" shrinkToFit="false"/>
      <protection locked="true" hidden="false"/>
    </xf>
    <xf numFmtId="172" fontId="0" fillId="31" borderId="28" xfId="0" applyFont="false" applyBorder="true" applyAlignment="false" applyProtection="false">
      <alignment horizontal="general" vertical="bottom" textRotation="0" wrapText="false" indent="0" shrinkToFit="false"/>
      <protection locked="true" hidden="false"/>
    </xf>
    <xf numFmtId="172" fontId="0" fillId="31" borderId="0" xfId="0" applyFont="false" applyBorder="true" applyAlignment="true" applyProtection="false">
      <alignment horizontal="center" vertical="center" textRotation="0" wrapText="false" indent="0" shrinkToFit="false"/>
      <protection locked="true" hidden="false"/>
    </xf>
    <xf numFmtId="172" fontId="0" fillId="31" borderId="0" xfId="0" applyFont="false" applyBorder="false" applyAlignment="false" applyProtection="false">
      <alignment horizontal="general" vertical="bottom" textRotation="0" wrapText="false" indent="0" shrinkToFit="false"/>
      <protection locked="true" hidden="false"/>
    </xf>
    <xf numFmtId="173" fontId="0" fillId="31" borderId="0" xfId="0" applyFont="false" applyBorder="false" applyAlignment="true" applyProtection="false">
      <alignment horizontal="center" vertical="bottom" textRotation="0" wrapText="false" indent="0" shrinkToFit="false"/>
      <protection locked="true" hidden="false"/>
    </xf>
    <xf numFmtId="172" fontId="0" fillId="31" borderId="0" xfId="0" applyFont="false" applyBorder="false" applyAlignment="true" applyProtection="false">
      <alignment horizontal="center" vertical="bottom" textRotation="0" wrapText="false" indent="0" shrinkToFit="false"/>
      <protection locked="true" hidden="false"/>
    </xf>
    <xf numFmtId="179" fontId="6" fillId="0" borderId="0" xfId="0" applyFont="true" applyBorder="false" applyAlignment="true" applyProtection="false">
      <alignment horizontal="center" vertical="bottom" textRotation="0" wrapText="false" indent="0" shrinkToFit="false"/>
      <protection locked="true" hidden="false"/>
    </xf>
    <xf numFmtId="179" fontId="0" fillId="0" borderId="0" xfId="0" applyFont="true" applyBorder="false" applyAlignment="true" applyProtection="false">
      <alignment horizontal="center" vertical="bottom" textRotation="0" wrapText="false" indent="0" shrinkToFit="false"/>
      <protection locked="true" hidden="false"/>
    </xf>
    <xf numFmtId="179" fontId="6" fillId="0" borderId="2" xfId="0" applyFont="true" applyBorder="true" applyAlignment="true" applyProtection="false">
      <alignment horizontal="center" vertical="bottom" textRotation="0" wrapText="false" indent="0" shrinkToFit="false"/>
      <protection locked="true" hidden="false"/>
    </xf>
    <xf numFmtId="172" fontId="0" fillId="32" borderId="57" xfId="0" applyFont="false" applyBorder="true" applyAlignment="false" applyProtection="false">
      <alignment horizontal="general" vertical="bottom" textRotation="0" wrapText="false" indent="0" shrinkToFit="false"/>
      <protection locked="true" hidden="false"/>
    </xf>
    <xf numFmtId="173" fontId="0" fillId="32" borderId="57" xfId="0" applyFont="false" applyBorder="true" applyAlignment="true" applyProtection="false">
      <alignment horizontal="center" vertical="bottom" textRotation="0" wrapText="false" indent="0" shrinkToFit="false"/>
      <protection locked="true" hidden="false"/>
    </xf>
    <xf numFmtId="172" fontId="0" fillId="32" borderId="57" xfId="0" applyFont="false" applyBorder="true" applyAlignment="true" applyProtection="false">
      <alignment horizontal="center" vertical="bottom" textRotation="0" wrapText="false" indent="0" shrinkToFit="false"/>
      <protection locked="true" hidden="false"/>
    </xf>
    <xf numFmtId="172" fontId="0" fillId="32" borderId="28" xfId="0" applyFont="false" applyBorder="true" applyAlignment="false" applyProtection="false">
      <alignment horizontal="general" vertical="bottom" textRotation="0" wrapText="false" indent="0" shrinkToFit="false"/>
      <protection locked="true" hidden="false"/>
    </xf>
    <xf numFmtId="172" fontId="0" fillId="32" borderId="0" xfId="0" applyFont="false" applyBorder="true" applyAlignment="true" applyProtection="false">
      <alignment horizontal="center" vertical="center" textRotation="0" wrapText="false" indent="0" shrinkToFit="false"/>
      <protection locked="true" hidden="false"/>
    </xf>
    <xf numFmtId="172" fontId="0" fillId="32" borderId="0" xfId="0" applyFont="false" applyBorder="false" applyAlignment="false" applyProtection="false">
      <alignment horizontal="general" vertical="bottom" textRotation="0" wrapText="false" indent="0" shrinkToFit="false"/>
      <protection locked="true" hidden="false"/>
    </xf>
    <xf numFmtId="173" fontId="0" fillId="32" borderId="0" xfId="0" applyFont="false" applyBorder="false" applyAlignment="true" applyProtection="false">
      <alignment horizontal="center" vertical="bottom" textRotation="0" wrapText="false" indent="0" shrinkToFit="false"/>
      <protection locked="true" hidden="false"/>
    </xf>
    <xf numFmtId="172" fontId="0" fillId="32" borderId="0" xfId="0" applyFont="false" applyBorder="false" applyAlignment="true" applyProtection="false">
      <alignment horizontal="center" vertical="bottom" textRotation="0" wrapText="false" indent="0" shrinkToFit="false"/>
      <protection locked="true" hidden="false"/>
    </xf>
    <xf numFmtId="179" fontId="0" fillId="4" borderId="57" xfId="0" applyFont="false" applyBorder="true" applyAlignment="true" applyProtection="false">
      <alignment horizontal="center" vertical="bottom" textRotation="0" wrapText="false" indent="0" shrinkToFit="false"/>
      <protection locked="true" hidden="false"/>
    </xf>
    <xf numFmtId="179" fontId="0" fillId="4" borderId="0" xfId="0" applyFont="false" applyBorder="false" applyAlignment="true" applyProtection="false">
      <alignment horizontal="center" vertical="bottom" textRotation="0" wrapText="false" indent="0" shrinkToFit="false"/>
      <protection locked="true" hidden="false"/>
    </xf>
    <xf numFmtId="165" fontId="0" fillId="32" borderId="2" xfId="0" applyFont="true" applyBorder="true" applyAlignment="false" applyProtection="false">
      <alignment horizontal="general" vertical="bottom" textRotation="0" wrapText="false" indent="0" shrinkToFit="false"/>
      <protection locked="true" hidden="false"/>
    </xf>
    <xf numFmtId="173" fontId="0" fillId="32" borderId="2" xfId="0" applyFont="false" applyBorder="true" applyAlignment="true" applyProtection="false">
      <alignment horizontal="center" vertical="bottom" textRotation="0" wrapText="false" indent="0" shrinkToFit="false"/>
      <protection locked="true" hidden="false"/>
    </xf>
    <xf numFmtId="172" fontId="0" fillId="32" borderId="2" xfId="0" applyFont="false" applyBorder="true" applyAlignment="true" applyProtection="false">
      <alignment horizontal="center" vertical="bottom" textRotation="0" wrapText="false" indent="0" shrinkToFit="false"/>
      <protection locked="true" hidden="false"/>
    </xf>
    <xf numFmtId="179" fontId="0" fillId="0" borderId="2" xfId="0" applyFont="false" applyBorder="true" applyAlignment="true" applyProtection="false">
      <alignment horizontal="center" vertical="bottom" textRotation="0" wrapText="false" indent="0" shrinkToFit="false"/>
      <protection locked="true" hidden="false"/>
    </xf>
    <xf numFmtId="179" fontId="0" fillId="0" borderId="2" xfId="0" applyFont="true" applyBorder="true" applyAlignment="true" applyProtection="false">
      <alignment horizontal="center" vertical="bottom" textRotation="0" wrapText="false" indent="0" shrinkToFit="false"/>
      <protection locked="true" hidden="false"/>
    </xf>
    <xf numFmtId="165" fontId="0" fillId="32" borderId="0" xfId="0" applyFont="fals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5" fontId="0" fillId="31" borderId="0" xfId="0" applyFont="false" applyBorder="false" applyAlignment="true" applyProtection="false">
      <alignment horizontal="center" vertical="center" textRotation="0" wrapText="false" indent="0" shrinkToFit="false"/>
      <protection locked="true" hidden="false"/>
    </xf>
    <xf numFmtId="172" fontId="0" fillId="31" borderId="0" xfId="0" applyFont="false" applyBorder="true" applyAlignment="true" applyProtection="false">
      <alignment horizontal="center" vertical="center" textRotation="0" wrapText="true" indent="0" shrinkToFit="false"/>
      <protection locked="true" hidden="false"/>
    </xf>
    <xf numFmtId="172" fontId="0" fillId="31" borderId="2" xfId="0" applyFont="false" applyBorder="true" applyAlignment="false" applyProtection="false">
      <alignment horizontal="general" vertical="bottom" textRotation="0" wrapText="false" indent="0" shrinkToFit="false"/>
      <protection locked="true" hidden="false"/>
    </xf>
    <xf numFmtId="173" fontId="0" fillId="31" borderId="2" xfId="0" applyFont="false" applyBorder="true" applyAlignment="true" applyProtection="false">
      <alignment horizontal="center" vertical="bottom" textRotation="0" wrapText="false" indent="0" shrinkToFit="false"/>
      <protection locked="true" hidden="false"/>
    </xf>
    <xf numFmtId="172" fontId="0" fillId="31" borderId="2" xfId="0" applyFont="false" applyBorder="true" applyAlignment="true" applyProtection="false">
      <alignment horizontal="center" vertical="bottom" textRotation="0" wrapText="false" indent="0" shrinkToFit="false"/>
      <protection locked="true" hidden="false"/>
    </xf>
    <xf numFmtId="165" fontId="28" fillId="0" borderId="55" xfId="0" applyFont="true" applyBorder="true" applyAlignment="true" applyProtection="false">
      <alignment horizontal="center" vertical="bottom" textRotation="0" wrapText="false" indent="0" shrinkToFit="false"/>
      <protection locked="true" hidden="false"/>
    </xf>
    <xf numFmtId="165" fontId="28" fillId="0" borderId="57" xfId="0" applyFont="true" applyBorder="true" applyAlignment="true" applyProtection="false">
      <alignment horizontal="center" vertical="bottom" textRotation="0" wrapText="false" indent="0" shrinkToFit="false"/>
      <protection locked="true" hidden="false"/>
    </xf>
    <xf numFmtId="165" fontId="28" fillId="0" borderId="46" xfId="0" applyFont="true" applyBorder="true" applyAlignment="true" applyProtection="false">
      <alignment horizontal="center" vertical="bottom" textRotation="0" wrapText="false" indent="0" shrinkToFit="false"/>
      <protection locked="true" hidden="false"/>
    </xf>
    <xf numFmtId="165" fontId="6" fillId="0" borderId="66" xfId="0" applyFont="true" applyBorder="true" applyAlignment="true" applyProtection="false">
      <alignment horizontal="left" vertical="bottom" textRotation="0" wrapText="true" indent="0" shrinkToFit="false"/>
      <protection locked="true" hidden="false"/>
    </xf>
    <xf numFmtId="165" fontId="0" fillId="0" borderId="3" xfId="0" applyFont="false" applyBorder="true" applyAlignment="true" applyProtection="false">
      <alignment horizontal="center" vertical="bottom" textRotation="0" wrapText="false" indent="0" shrinkToFit="false"/>
      <protection locked="true" hidden="false"/>
    </xf>
    <xf numFmtId="165" fontId="6" fillId="0" borderId="41" xfId="0" applyFont="true" applyBorder="true" applyAlignment="true" applyProtection="false">
      <alignment horizontal="left" vertical="bottom" textRotation="0" wrapText="true" indent="0" shrinkToFit="false"/>
      <protection locked="true" hidden="false"/>
    </xf>
    <xf numFmtId="172" fontId="0" fillId="0" borderId="2" xfId="0" applyFont="false" applyBorder="true" applyAlignment="true" applyProtection="false">
      <alignment horizontal="center" vertical="bottom" textRotation="0" wrapText="false" indent="0" shrinkToFit="false"/>
      <protection locked="true" hidden="false"/>
    </xf>
    <xf numFmtId="172" fontId="0" fillId="0" borderId="59" xfId="0" applyFont="false" applyBorder="true" applyAlignment="true" applyProtection="false">
      <alignment horizontal="center" vertical="bottom" textRotation="0" wrapText="false" indent="0" shrinkToFit="false"/>
      <protection locked="true" hidden="false"/>
    </xf>
    <xf numFmtId="165" fontId="21" fillId="0" borderId="0" xfId="0" applyFont="true" applyBorder="false" applyAlignment="true" applyProtection="false">
      <alignment horizontal="right" vertical="bottom" textRotation="0" wrapText="false" indent="0" shrinkToFit="false"/>
      <protection locked="true" hidden="false"/>
    </xf>
    <xf numFmtId="181" fontId="0" fillId="0" borderId="0" xfId="17" applyFont="true" applyBorder="true" applyAlignment="true" applyProtection="true">
      <alignment horizontal="center" vertical="bottom" textRotation="0" wrapText="false" indent="0" shrinkToFit="false"/>
      <protection locked="true" hidden="false"/>
    </xf>
    <xf numFmtId="181" fontId="0" fillId="0" borderId="0" xfId="0" applyFont="false" applyBorder="false" applyAlignment="false" applyProtection="false">
      <alignment horizontal="general" vertical="bottom" textRotation="0" wrapText="false" indent="0" shrinkToFit="false"/>
      <protection locked="true" hidden="false"/>
    </xf>
    <xf numFmtId="179" fontId="21" fillId="33" borderId="11" xfId="0" applyFont="true" applyBorder="true" applyAlignment="true" applyProtection="false">
      <alignment horizontal="center" vertical="bottom" textRotation="0" wrapText="false" indent="0" shrinkToFit="false"/>
      <protection locked="true" hidden="false"/>
    </xf>
    <xf numFmtId="179" fontId="21" fillId="34" borderId="11" xfId="0" applyFont="true" applyBorder="true" applyAlignment="true" applyProtection="false">
      <alignment horizontal="center" vertical="bottom" textRotation="0" wrapText="false" indent="0" shrinkToFit="false"/>
      <protection locked="true" hidden="false"/>
    </xf>
    <xf numFmtId="165" fontId="21" fillId="0" borderId="11" xfId="0" applyFont="true" applyBorder="true" applyAlignment="true" applyProtection="false">
      <alignment horizontal="left" vertical="bottom" textRotation="0" wrapText="false" indent="0" shrinkToFit="false"/>
      <protection locked="true" hidden="false"/>
    </xf>
    <xf numFmtId="172" fontId="0" fillId="33" borderId="48" xfId="0" applyFont="false" applyBorder="true" applyAlignment="true" applyProtection="false">
      <alignment horizontal="center" vertical="bottom" textRotation="0" wrapText="false" indent="0" shrinkToFit="false"/>
      <protection locked="true" hidden="false"/>
    </xf>
    <xf numFmtId="172" fontId="0" fillId="34" borderId="48" xfId="0" applyFont="false" applyBorder="true" applyAlignment="true" applyProtection="false">
      <alignment horizontal="center" vertical="bottom" textRotation="0" wrapText="false" indent="0" shrinkToFit="false"/>
      <protection locked="true" hidden="false"/>
    </xf>
    <xf numFmtId="165" fontId="21" fillId="0" borderId="48" xfId="0" applyFont="true" applyBorder="true" applyAlignment="true" applyProtection="false">
      <alignment horizontal="left" vertical="bottom" textRotation="0" wrapText="false" indent="0" shrinkToFit="false"/>
      <protection locked="true" hidden="false"/>
    </xf>
    <xf numFmtId="180" fontId="6" fillId="33" borderId="48" xfId="17" applyFont="true" applyBorder="true" applyAlignment="true" applyProtection="true">
      <alignment horizontal="center" vertical="bottom" textRotation="0" wrapText="false" indent="0" shrinkToFit="false"/>
      <protection locked="true" hidden="false"/>
    </xf>
    <xf numFmtId="180" fontId="6" fillId="34" borderId="48" xfId="17" applyFont="true" applyBorder="true" applyAlignment="true" applyProtection="true">
      <alignment horizontal="center" vertical="bottom" textRotation="0" wrapText="false" indent="0" shrinkToFit="false"/>
      <protection locked="true" hidden="false"/>
    </xf>
    <xf numFmtId="180" fontId="0" fillId="33" borderId="48" xfId="0" applyFont="false" applyBorder="true" applyAlignment="true" applyProtection="false">
      <alignment horizontal="center" vertical="bottom" textRotation="0" wrapText="false" indent="0" shrinkToFit="false"/>
      <protection locked="true" hidden="false"/>
    </xf>
    <xf numFmtId="180" fontId="0" fillId="34" borderId="48" xfId="0" applyFont="false" applyBorder="true" applyAlignment="true" applyProtection="false">
      <alignment horizontal="center" vertical="bottom" textRotation="0" wrapText="false" indent="0" shrinkToFit="false"/>
      <protection locked="true" hidden="false"/>
    </xf>
    <xf numFmtId="165" fontId="21" fillId="0" borderId="7" xfId="0" applyFont="true" applyBorder="true" applyAlignment="true" applyProtection="false">
      <alignment horizontal="left" vertical="bottom" textRotation="0" wrapText="false" indent="0" shrinkToFit="false"/>
      <protection locked="true" hidden="false"/>
    </xf>
    <xf numFmtId="180" fontId="21" fillId="33" borderId="7" xfId="0" applyFont="true" applyBorder="true" applyAlignment="true" applyProtection="false">
      <alignment horizontal="center" vertical="bottom" textRotation="0" wrapText="false" indent="0" shrinkToFit="false"/>
      <protection locked="true" hidden="false"/>
    </xf>
    <xf numFmtId="180" fontId="21" fillId="34" borderId="7" xfId="0" applyFont="true" applyBorder="true" applyAlignment="true" applyProtection="false">
      <alignment horizontal="center" vertical="bottom" textRotation="0" wrapText="false" indent="0" shrinkToFit="false"/>
      <protection locked="true" hidden="false"/>
    </xf>
    <xf numFmtId="179" fontId="0" fillId="35" borderId="0" xfId="0" applyFont="false" applyBorder="false" applyAlignment="true" applyProtection="false">
      <alignment horizontal="center" vertical="bottom" textRotation="0" wrapText="false" indent="0" shrinkToFit="false"/>
      <protection locked="true" hidden="false"/>
    </xf>
    <xf numFmtId="179" fontId="0" fillId="26" borderId="0" xfId="0" applyFont="false" applyBorder="false" applyAlignment="true" applyProtection="false">
      <alignment horizontal="center" vertical="bottom" textRotation="0" wrapText="false" indent="0" shrinkToFit="false"/>
      <protection locked="true" hidden="false"/>
    </xf>
    <xf numFmtId="165" fontId="6" fillId="35" borderId="0" xfId="0" applyFont="true" applyBorder="true" applyAlignment="true" applyProtection="false">
      <alignment horizontal="center" vertical="bottom" textRotation="0" wrapText="false" indent="0" shrinkToFit="false"/>
      <protection locked="true" hidden="false"/>
    </xf>
    <xf numFmtId="165" fontId="6" fillId="26" borderId="0" xfId="0" applyFont="true" applyBorder="true" applyAlignment="true" applyProtection="false">
      <alignment horizontal="center" vertical="bottom" textRotation="0" wrapText="false" indent="0" shrinkToFit="false"/>
      <protection locked="true" hidden="false"/>
    </xf>
    <xf numFmtId="179" fontId="0" fillId="5" borderId="0" xfId="0" applyFont="false" applyBorder="false" applyAlignment="true" applyProtection="false">
      <alignment horizontal="center" vertical="bottom" textRotation="0" wrapText="false" indent="0" shrinkToFit="false"/>
      <protection locked="true" hidden="false"/>
    </xf>
    <xf numFmtId="165" fontId="6" fillId="5" borderId="0" xfId="0" applyFont="true" applyBorder="true" applyAlignment="true" applyProtection="false">
      <alignment horizontal="center" vertical="bottom" textRotation="0" wrapText="false" indent="0" shrinkToFit="false"/>
      <protection locked="true" hidden="false"/>
    </xf>
    <xf numFmtId="165" fontId="0" fillId="36" borderId="0" xfId="0" applyFont="true" applyBorder="false" applyAlignment="false" applyProtection="false">
      <alignment horizontal="general" vertical="bottom" textRotation="0" wrapText="false" indent="0" shrinkToFit="false"/>
      <protection locked="true" hidden="false"/>
    </xf>
    <xf numFmtId="165" fontId="0" fillId="36" borderId="0" xfId="0" applyFont="true" applyBorder="false" applyAlignment="true" applyProtection="false">
      <alignment horizontal="center" vertical="bottom" textRotation="0" wrapText="false" indent="0" shrinkToFit="false"/>
      <protection locked="true" hidden="false"/>
    </xf>
    <xf numFmtId="166" fontId="0" fillId="0" borderId="0" xfId="17" applyFont="true" applyBorder="true" applyAlignment="true" applyProtection="true">
      <alignment horizontal="center" vertical="bottom" textRotation="0" wrapText="false" indent="0" shrinkToFit="false"/>
      <protection locked="true" hidden="false"/>
    </xf>
    <xf numFmtId="166" fontId="0" fillId="0" borderId="0" xfId="17" applyFont="true" applyBorder="true" applyAlignment="true" applyProtection="true">
      <alignment horizontal="general" vertical="bottom" textRotation="0" wrapText="false" indent="0" shrinkToFit="false"/>
      <protection locked="true" hidden="false"/>
    </xf>
    <xf numFmtId="165" fontId="36" fillId="27" borderId="13" xfId="0" applyFont="true" applyBorder="true" applyAlignment="false" applyProtection="false">
      <alignment horizontal="general" vertical="bottom" textRotation="0" wrapText="false" indent="0" shrinkToFit="false"/>
      <protection locked="true" hidden="false"/>
    </xf>
    <xf numFmtId="165" fontId="36" fillId="27" borderId="14" xfId="0" applyFont="true" applyBorder="true" applyAlignment="true" applyProtection="false">
      <alignment horizontal="center" vertical="bottom" textRotation="0" wrapText="false" indent="0" shrinkToFit="false"/>
      <protection locked="true" hidden="false"/>
    </xf>
    <xf numFmtId="165" fontId="36" fillId="27" borderId="14" xfId="0" applyFont="true" applyBorder="true" applyAlignment="false" applyProtection="false">
      <alignment horizontal="general" vertical="bottom" textRotation="0" wrapText="false" indent="0" shrinkToFit="false"/>
      <protection locked="true" hidden="false"/>
    </xf>
    <xf numFmtId="165" fontId="36" fillId="27" borderId="19" xfId="0" applyFont="true" applyBorder="true" applyAlignment="true" applyProtection="false">
      <alignment horizontal="center" vertical="bottom" textRotation="0" wrapText="false" indent="0" shrinkToFit="false"/>
      <protection locked="true" hidden="false"/>
    </xf>
    <xf numFmtId="165" fontId="36" fillId="27" borderId="44" xfId="0" applyFont="true" applyBorder="true" applyAlignment="true" applyProtection="false">
      <alignment horizontal="center" vertical="bottom" textRotation="0" wrapText="false" indent="0" shrinkToFit="false"/>
      <protection locked="true" hidden="false"/>
    </xf>
    <xf numFmtId="167" fontId="38" fillId="27" borderId="6" xfId="0" applyFont="true" applyBorder="true" applyAlignment="true" applyProtection="false">
      <alignment horizontal="center" vertical="bottom" textRotation="0" wrapText="false" indent="0" shrinkToFit="false"/>
      <protection locked="true" hidden="false"/>
    </xf>
    <xf numFmtId="172" fontId="38" fillId="27" borderId="6" xfId="0" applyFont="true" applyBorder="true" applyAlignment="true" applyProtection="false">
      <alignment horizontal="center" vertical="bottom" textRotation="0" wrapText="false" indent="0" shrinkToFit="false"/>
      <protection locked="true" hidden="false"/>
    </xf>
    <xf numFmtId="165" fontId="0" fillId="27" borderId="6" xfId="0" applyFont="false" applyBorder="true" applyAlignment="false" applyProtection="false">
      <alignment horizontal="general" vertical="bottom" textRotation="0" wrapText="false" indent="0" shrinkToFit="false"/>
      <protection locked="true" hidden="false"/>
    </xf>
    <xf numFmtId="165" fontId="0" fillId="27" borderId="26" xfId="0" applyFont="false" applyBorder="true" applyAlignment="false" applyProtection="false">
      <alignment horizontal="general" vertical="bottom" textRotation="0" wrapText="false" indent="0" shrinkToFit="false"/>
      <protection locked="true" hidden="false"/>
    </xf>
    <xf numFmtId="182" fontId="0" fillId="0" borderId="0" xfId="0" applyFont="false" applyBorder="false" applyAlignment="false" applyProtection="false">
      <alignment horizontal="general" vertical="bottom" textRotation="0" wrapText="false" indent="0" shrinkToFit="false"/>
      <protection locked="true" hidden="false"/>
    </xf>
    <xf numFmtId="165" fontId="36" fillId="27" borderId="44" xfId="0" applyFont="true" applyBorder="true" applyAlignment="true" applyProtection="false">
      <alignment horizontal="center" vertical="bottom" textRotation="0" wrapText="true" indent="0" shrinkToFit="false"/>
      <protection locked="true" hidden="false"/>
    </xf>
    <xf numFmtId="165" fontId="38" fillId="27" borderId="26" xfId="0" applyFont="true" applyBorder="true" applyAlignment="true" applyProtection="false">
      <alignment horizontal="center" vertical="bottom" textRotation="0" wrapText="false" indent="0" shrinkToFit="false"/>
      <protection locked="true" hidden="false"/>
    </xf>
    <xf numFmtId="165" fontId="36" fillId="27" borderId="35" xfId="0" applyFont="true" applyBorder="true" applyAlignment="true" applyProtection="false">
      <alignment horizontal="center" vertical="bottom" textRotation="0" wrapText="false" indent="0" shrinkToFit="false"/>
      <protection locked="true" hidden="false"/>
    </xf>
    <xf numFmtId="167" fontId="36" fillId="27" borderId="31" xfId="0" applyFont="true" applyBorder="true" applyAlignment="true" applyProtection="false">
      <alignment horizontal="center" vertical="bottom" textRotation="0" wrapText="false" indent="0" shrinkToFit="false"/>
      <protection locked="true" hidden="false"/>
    </xf>
    <xf numFmtId="172" fontId="36" fillId="27" borderId="31" xfId="0" applyFont="true" applyBorder="true" applyAlignment="true" applyProtection="false">
      <alignment horizontal="center" vertical="bottom" textRotation="0" wrapText="false" indent="0" shrinkToFit="false"/>
      <protection locked="true" hidden="false"/>
    </xf>
    <xf numFmtId="165" fontId="21" fillId="27" borderId="31" xfId="0" applyFont="true" applyBorder="true" applyAlignment="false" applyProtection="false">
      <alignment horizontal="general" vertical="bottom" textRotation="0" wrapText="false" indent="0" shrinkToFit="false"/>
      <protection locked="true" hidden="false"/>
    </xf>
    <xf numFmtId="165" fontId="21" fillId="27" borderId="37" xfId="0" applyFont="true" applyBorder="true" applyAlignment="false" applyProtection="false">
      <alignment horizontal="general" vertical="bottom" textRotation="0" wrapText="false" indent="0" shrinkToFit="false"/>
      <protection locked="true" hidden="false"/>
    </xf>
    <xf numFmtId="165" fontId="36" fillId="35" borderId="22" xfId="0" applyFont="true" applyBorder="true" applyAlignment="false" applyProtection="false">
      <alignment horizontal="general" vertical="bottom" textRotation="0" wrapText="false" indent="0" shrinkToFit="false"/>
      <protection locked="true" hidden="false"/>
    </xf>
    <xf numFmtId="165" fontId="0" fillId="35" borderId="21" xfId="0" applyFont="false" applyBorder="true" applyAlignment="false" applyProtection="false">
      <alignment horizontal="general" vertical="bottom" textRotation="0" wrapText="false" indent="0" shrinkToFit="false"/>
      <protection locked="true" hidden="false"/>
    </xf>
    <xf numFmtId="165" fontId="0" fillId="35" borderId="23" xfId="0" applyFont="false" applyBorder="true" applyAlignment="false" applyProtection="false">
      <alignment horizontal="general" vertical="bottom" textRotation="0" wrapText="false" indent="0" shrinkToFit="false"/>
      <protection locked="true" hidden="false"/>
    </xf>
    <xf numFmtId="165" fontId="36" fillId="35" borderId="6" xfId="0" applyFont="true" applyBorder="true" applyAlignment="false" applyProtection="false">
      <alignment horizontal="general" vertical="bottom" textRotation="0" wrapText="false" indent="0" shrinkToFit="false"/>
      <protection locked="true" hidden="false"/>
    </xf>
    <xf numFmtId="165" fontId="36" fillId="35" borderId="6" xfId="0" applyFont="true" applyBorder="true" applyAlignment="true" applyProtection="false">
      <alignment horizontal="center" vertical="bottom" textRotation="0" wrapText="false" indent="0" shrinkToFit="false"/>
      <protection locked="true" hidden="false"/>
    </xf>
    <xf numFmtId="167" fontId="38" fillId="35" borderId="6" xfId="0" applyFont="true" applyBorder="true" applyAlignment="true" applyProtection="false">
      <alignment horizontal="center" vertical="bottom" textRotation="0" wrapText="false" indent="0" shrinkToFit="false"/>
      <protection locked="true" hidden="false"/>
    </xf>
    <xf numFmtId="165" fontId="36" fillId="35" borderId="6" xfId="0" applyFont="true" applyBorder="true" applyAlignment="true" applyProtection="false">
      <alignment horizontal="center" vertical="center" textRotation="0" wrapText="true" indent="0" shrinkToFit="false"/>
      <protection locked="true" hidden="false"/>
    </xf>
    <xf numFmtId="167" fontId="38" fillId="35" borderId="6"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5" fontId="36" fillId="37" borderId="22" xfId="0" applyFont="true" applyBorder="true" applyAlignment="false" applyProtection="false">
      <alignment horizontal="general" vertical="bottom" textRotation="0" wrapText="false" indent="0" shrinkToFit="false"/>
      <protection locked="true" hidden="false"/>
    </xf>
    <xf numFmtId="165" fontId="36" fillId="37" borderId="21" xfId="0" applyFont="true" applyBorder="true" applyAlignment="false" applyProtection="false">
      <alignment horizontal="general" vertical="bottom" textRotation="0" wrapText="false" indent="0" shrinkToFit="false"/>
      <protection locked="true" hidden="false"/>
    </xf>
    <xf numFmtId="165" fontId="36" fillId="37" borderId="21" xfId="0" applyFont="true" applyBorder="true" applyAlignment="true" applyProtection="false">
      <alignment horizontal="center" vertical="bottom" textRotation="0" wrapText="false" indent="0" shrinkToFit="false"/>
      <protection locked="true" hidden="false"/>
    </xf>
    <xf numFmtId="165" fontId="36" fillId="37" borderId="23" xfId="0" applyFont="true" applyBorder="true" applyAlignment="false" applyProtection="false">
      <alignment horizontal="general" vertical="bottom" textRotation="0" wrapText="false" indent="0" shrinkToFit="false"/>
      <protection locked="true" hidden="false"/>
    </xf>
    <xf numFmtId="165" fontId="36" fillId="37" borderId="27" xfId="0" applyFont="true" applyBorder="true" applyAlignment="true" applyProtection="false">
      <alignment horizontal="center" vertical="bottom" textRotation="0" wrapText="false" indent="0" shrinkToFit="false"/>
      <protection locked="true" hidden="false"/>
    </xf>
    <xf numFmtId="167" fontId="38" fillId="37" borderId="0" xfId="0" applyFont="true" applyBorder="false" applyAlignment="true" applyProtection="false">
      <alignment horizontal="center" vertical="bottom" textRotation="0" wrapText="false" indent="0" shrinkToFit="false"/>
      <protection locked="true" hidden="false"/>
    </xf>
    <xf numFmtId="171" fontId="38" fillId="37" borderId="0" xfId="0" applyFont="true" applyBorder="false" applyAlignment="true" applyProtection="false">
      <alignment horizontal="center" vertical="bottom" textRotation="0" wrapText="false" indent="0" shrinkToFit="false"/>
      <protection locked="true" hidden="false"/>
    </xf>
    <xf numFmtId="171" fontId="38" fillId="37" borderId="28" xfId="0" applyFont="true" applyBorder="true" applyAlignment="true" applyProtection="false">
      <alignment horizontal="center" vertical="bottom" textRotation="0" wrapText="false" indent="0" shrinkToFit="false"/>
      <protection locked="true" hidden="false"/>
    </xf>
    <xf numFmtId="165" fontId="36" fillId="37" borderId="27" xfId="0" applyFont="true" applyBorder="true" applyAlignment="true" applyProtection="false">
      <alignment horizontal="center" vertical="bottom" textRotation="0" wrapText="true" indent="0" shrinkToFit="false"/>
      <protection locked="true" hidden="false"/>
    </xf>
    <xf numFmtId="165" fontId="0" fillId="0" borderId="5" xfId="0" applyFont="false" applyBorder="true" applyAlignment="false" applyProtection="false">
      <alignment horizontal="general" vertical="bottom" textRotation="0" wrapText="false" indent="0" shrinkToFit="false"/>
      <protection locked="true" hidden="false"/>
    </xf>
    <xf numFmtId="165" fontId="36" fillId="38" borderId="22" xfId="0" applyFont="true" applyBorder="true" applyAlignment="false" applyProtection="false">
      <alignment horizontal="general" vertical="bottom" textRotation="0" wrapText="false" indent="0" shrinkToFit="false"/>
      <protection locked="true" hidden="false"/>
    </xf>
    <xf numFmtId="165" fontId="0" fillId="38" borderId="21" xfId="0" applyFont="false" applyBorder="true" applyAlignment="false" applyProtection="false">
      <alignment horizontal="general" vertical="bottom" textRotation="0" wrapText="false" indent="0" shrinkToFit="false"/>
      <protection locked="true" hidden="false"/>
    </xf>
    <xf numFmtId="165" fontId="0" fillId="38" borderId="23" xfId="0" applyFont="false" applyBorder="true" applyAlignment="false" applyProtection="false">
      <alignment horizontal="general" vertical="bottom" textRotation="0" wrapText="false" indent="0" shrinkToFit="false"/>
      <protection locked="true" hidden="false"/>
    </xf>
    <xf numFmtId="165" fontId="36" fillId="38" borderId="27" xfId="0" applyFont="true" applyBorder="true" applyAlignment="false" applyProtection="false">
      <alignment horizontal="general" vertical="bottom" textRotation="0" wrapText="false" indent="0" shrinkToFit="false"/>
      <protection locked="true" hidden="false"/>
    </xf>
    <xf numFmtId="165" fontId="36" fillId="38" borderId="0" xfId="0" applyFont="true" applyBorder="false" applyAlignment="false" applyProtection="false">
      <alignment horizontal="general" vertical="bottom" textRotation="0" wrapText="false" indent="0" shrinkToFit="false"/>
      <protection locked="true" hidden="false"/>
    </xf>
    <xf numFmtId="165" fontId="36" fillId="38" borderId="0" xfId="0" applyFont="true" applyBorder="false" applyAlignment="true" applyProtection="false">
      <alignment horizontal="center" vertical="bottom" textRotation="0" wrapText="false" indent="0" shrinkToFit="false"/>
      <protection locked="true" hidden="false"/>
    </xf>
    <xf numFmtId="165" fontId="36" fillId="38" borderId="28" xfId="0" applyFont="true" applyBorder="true" applyAlignment="true" applyProtection="false">
      <alignment horizontal="center" vertical="bottom" textRotation="0" wrapText="false" indent="0" shrinkToFit="false"/>
      <protection locked="true" hidden="false"/>
    </xf>
    <xf numFmtId="165" fontId="36" fillId="38" borderId="27" xfId="0" applyFont="true" applyBorder="true" applyAlignment="true" applyProtection="false">
      <alignment horizontal="center" vertical="bottom" textRotation="0" wrapText="false" indent="0" shrinkToFit="false"/>
      <protection locked="true" hidden="false"/>
    </xf>
    <xf numFmtId="173" fontId="38" fillId="38" borderId="0" xfId="0" applyFont="true" applyBorder="false" applyAlignment="true" applyProtection="false">
      <alignment horizontal="center" vertical="bottom" textRotation="0" wrapText="false" indent="0" shrinkToFit="false"/>
      <protection locked="true" hidden="false"/>
    </xf>
    <xf numFmtId="167" fontId="38" fillId="38" borderId="0" xfId="0" applyFont="true" applyBorder="false" applyAlignment="true" applyProtection="false">
      <alignment horizontal="center" vertical="bottom" textRotation="0" wrapText="false" indent="0" shrinkToFit="false"/>
      <protection locked="true" hidden="false"/>
    </xf>
    <xf numFmtId="167" fontId="38" fillId="38" borderId="28" xfId="0" applyFont="true" applyBorder="true" applyAlignment="true" applyProtection="false">
      <alignment horizontal="center" vertical="bottom" textRotation="0" wrapText="false" indent="0" shrinkToFit="false"/>
      <protection locked="true" hidden="false"/>
    </xf>
    <xf numFmtId="167" fontId="38" fillId="0" borderId="38" xfId="0" applyFont="true" applyBorder="true" applyAlignment="true" applyProtection="false">
      <alignment horizontal="center" vertical="bottom" textRotation="0" wrapText="false" indent="0" shrinkToFit="false"/>
      <protection locked="true" hidden="false"/>
    </xf>
    <xf numFmtId="165" fontId="36" fillId="13" borderId="22" xfId="0" applyFont="true" applyBorder="true" applyAlignment="true" applyProtection="false">
      <alignment horizontal="center" vertical="bottom" textRotation="0" wrapText="false" indent="0" shrinkToFit="false"/>
      <protection locked="true" hidden="false"/>
    </xf>
    <xf numFmtId="165" fontId="36" fillId="13" borderId="21" xfId="0" applyFont="true" applyBorder="true" applyAlignment="true" applyProtection="false">
      <alignment horizontal="center" vertical="bottom" textRotation="0" wrapText="false" indent="0" shrinkToFit="false"/>
      <protection locked="true" hidden="false"/>
    </xf>
    <xf numFmtId="165" fontId="36" fillId="13" borderId="21" xfId="0" applyFont="true" applyBorder="true" applyAlignment="false" applyProtection="false">
      <alignment horizontal="general" vertical="bottom" textRotation="0" wrapText="false" indent="0" shrinkToFit="false"/>
      <protection locked="true" hidden="false"/>
    </xf>
    <xf numFmtId="165" fontId="36" fillId="13" borderId="23" xfId="0" applyFont="true" applyBorder="true" applyAlignment="true" applyProtection="false">
      <alignment horizontal="center" vertical="bottom" textRotation="0" wrapText="false" indent="0" shrinkToFit="false"/>
      <protection locked="true" hidden="false"/>
    </xf>
    <xf numFmtId="165" fontId="36" fillId="13" borderId="27" xfId="0" applyFont="true" applyBorder="true" applyAlignment="true" applyProtection="false">
      <alignment horizontal="center" vertical="bottom" textRotation="0" wrapText="false" indent="0" shrinkToFit="false"/>
      <protection locked="true" hidden="false"/>
    </xf>
    <xf numFmtId="167" fontId="38" fillId="13" borderId="0" xfId="0" applyFont="true" applyBorder="false" applyAlignment="true" applyProtection="false">
      <alignment horizontal="center" vertical="bottom" textRotation="0" wrapText="false" indent="0" shrinkToFit="false"/>
      <protection locked="true" hidden="false"/>
    </xf>
    <xf numFmtId="167" fontId="38" fillId="13" borderId="28" xfId="0" applyFont="true" applyBorder="true" applyAlignment="true" applyProtection="false">
      <alignment horizontal="center" vertical="bottom" textRotation="0" wrapText="false" indent="0" shrinkToFit="false"/>
      <protection locked="true" hidden="false"/>
    </xf>
    <xf numFmtId="165" fontId="36" fillId="13" borderId="39" xfId="0" applyFont="true" applyBorder="true" applyAlignment="true" applyProtection="false">
      <alignment horizontal="center" vertical="bottom" textRotation="0" wrapText="false" indent="0" shrinkToFit="false"/>
      <protection locked="true" hidden="false"/>
    </xf>
    <xf numFmtId="167" fontId="38" fillId="13" borderId="38" xfId="0" applyFont="true" applyBorder="true" applyAlignment="true" applyProtection="false">
      <alignment horizontal="center" vertical="bottom" textRotation="0" wrapText="false" indent="0" shrinkToFit="false"/>
      <protection locked="true" hidden="false"/>
    </xf>
    <xf numFmtId="167" fontId="38" fillId="13" borderId="40" xfId="0" applyFont="true" applyBorder="true" applyAlignment="true" applyProtection="false">
      <alignment horizontal="center" vertical="bottom" textRotation="0" wrapText="false" indent="0" shrinkToFit="false"/>
      <protection locked="true" hidden="false"/>
    </xf>
    <xf numFmtId="165" fontId="36" fillId="13" borderId="22" xfId="0" applyFont="true" applyBorder="true" applyAlignment="true" applyProtection="false">
      <alignment horizontal="center" vertical="bottom" textRotation="0" wrapText="true" indent="0" shrinkToFit="false"/>
      <protection locked="true" hidden="false"/>
    </xf>
    <xf numFmtId="165" fontId="38" fillId="13" borderId="21" xfId="0" applyFont="true" applyBorder="true" applyAlignment="true" applyProtection="false">
      <alignment horizontal="center" vertical="bottom" textRotation="0" wrapText="false" indent="0" shrinkToFit="false"/>
      <protection locked="true" hidden="false"/>
    </xf>
    <xf numFmtId="167" fontId="38" fillId="13" borderId="21" xfId="0" applyFont="true" applyBorder="true" applyAlignment="true" applyProtection="false">
      <alignment horizontal="center" vertical="bottom" textRotation="0" wrapText="false" indent="0" shrinkToFit="false"/>
      <protection locked="true" hidden="false"/>
    </xf>
    <xf numFmtId="167" fontId="38" fillId="13" borderId="23" xfId="0" applyFont="true" applyBorder="true" applyAlignment="true" applyProtection="false">
      <alignment horizontal="center" vertical="bottom" textRotation="0" wrapText="false" indent="0" shrinkToFit="false"/>
      <protection locked="true" hidden="false"/>
    </xf>
    <xf numFmtId="165" fontId="36" fillId="13" borderId="0" xfId="0" applyFont="true" applyBorder="false" applyAlignment="true" applyProtection="false">
      <alignment horizontal="center" vertical="bottom" textRotation="0" wrapText="false" indent="0" shrinkToFit="false"/>
      <protection locked="true" hidden="false"/>
    </xf>
    <xf numFmtId="167" fontId="36" fillId="13" borderId="0" xfId="0" applyFont="true" applyBorder="false" applyAlignment="true" applyProtection="false">
      <alignment horizontal="center" vertical="bottom" textRotation="0" wrapText="false" indent="0" shrinkToFit="false"/>
      <protection locked="true" hidden="false"/>
    </xf>
    <xf numFmtId="167" fontId="36" fillId="13" borderId="28" xfId="0" applyFont="true" applyBorder="true" applyAlignment="true" applyProtection="false">
      <alignment horizontal="center" vertical="bottom" textRotation="0" wrapText="false" indent="0" shrinkToFit="false"/>
      <protection locked="true" hidden="false"/>
    </xf>
    <xf numFmtId="165" fontId="41" fillId="0" borderId="0" xfId="0" applyFont="true" applyBorder="false" applyAlignment="false" applyProtection="false">
      <alignment horizontal="general" vertical="bottom" textRotation="0" wrapText="false" indent="0" shrinkToFit="false"/>
      <protection locked="true" hidden="false"/>
    </xf>
    <xf numFmtId="165" fontId="52" fillId="0" borderId="0" xfId="0" applyFont="true" applyBorder="false" applyAlignment="true" applyProtection="false">
      <alignment horizontal="center" vertical="bottom" textRotation="0" wrapText="false" indent="0" shrinkToFit="false"/>
      <protection locked="true" hidden="false"/>
    </xf>
    <xf numFmtId="167" fontId="52" fillId="0" borderId="0" xfId="0" applyFont="true" applyBorder="false" applyAlignment="true" applyProtection="false">
      <alignment horizontal="center" vertical="bottom" textRotation="0" wrapText="false" indent="0" shrinkToFit="false"/>
      <protection locked="true" hidden="false"/>
    </xf>
    <xf numFmtId="165" fontId="53" fillId="0" borderId="0" xfId="0" applyFont="true" applyBorder="false" applyAlignment="false" applyProtection="false">
      <alignment horizontal="general" vertical="bottom" textRotation="0" wrapText="false" indent="0" shrinkToFit="false"/>
      <protection locked="true" hidden="false"/>
    </xf>
    <xf numFmtId="167" fontId="54" fillId="0" borderId="0" xfId="0" applyFont="true" applyBorder="false" applyAlignment="true" applyProtection="false">
      <alignment horizontal="center" vertical="bottom" textRotation="0" wrapText="false" indent="0" shrinkToFit="false"/>
      <protection locked="true" hidden="false"/>
    </xf>
    <xf numFmtId="165" fontId="55" fillId="0" borderId="0" xfId="0" applyFont="true" applyBorder="false" applyAlignment="false" applyProtection="false">
      <alignment horizontal="general" vertical="bottom" textRotation="0" wrapText="false" indent="0" shrinkToFit="false"/>
      <protection locked="true" hidden="false"/>
    </xf>
    <xf numFmtId="165" fontId="54" fillId="0" borderId="0" xfId="0" applyFont="true" applyBorder="false" applyAlignment="true" applyProtection="false">
      <alignment horizontal="center" vertical="bottom" textRotation="0" wrapText="false" indent="0" shrinkToFit="false"/>
      <protection locked="true" hidden="false"/>
    </xf>
    <xf numFmtId="165" fontId="56" fillId="0" borderId="0" xfId="0" applyFont="true" applyBorder="false" applyAlignment="true" applyProtection="false">
      <alignment horizontal="center" vertical="bottom" textRotation="0" wrapText="false" indent="0" shrinkToFit="false"/>
      <protection locked="true" hidden="false"/>
    </xf>
    <xf numFmtId="167" fontId="21" fillId="0" borderId="0" xfId="96" applyFont="true" applyBorder="false" applyAlignment="true" applyProtection="false">
      <alignment horizontal="right" vertical="bottom" textRotation="0" wrapText="false" indent="0" shrinkToFit="false"/>
      <protection locked="true" hidden="false"/>
    </xf>
    <xf numFmtId="167" fontId="6" fillId="0" borderId="0" xfId="0" applyFont="true" applyBorder="false" applyAlignment="true" applyProtection="false">
      <alignment horizontal="center" vertical="bottom" textRotation="0" wrapText="false" indent="0" shrinkToFit="false"/>
      <protection locked="true" hidden="false"/>
    </xf>
    <xf numFmtId="167" fontId="45" fillId="0" borderId="0" xfId="96" applyFont="true" applyBorder="false" applyAlignment="true" applyProtection="false">
      <alignment horizontal="right" vertical="bottom" textRotation="0" wrapText="false" indent="0" shrinkToFit="false"/>
      <protection locked="true" hidden="false"/>
    </xf>
    <xf numFmtId="167" fontId="43" fillId="0" borderId="0" xfId="0" applyFont="true" applyBorder="false" applyAlignment="true" applyProtection="false">
      <alignment horizontal="center" vertical="bottom" textRotation="0" wrapText="false" indent="0" shrinkToFit="false"/>
      <protection locked="true" hidden="false"/>
    </xf>
    <xf numFmtId="167" fontId="55" fillId="0" borderId="0" xfId="96" applyFont="true" applyBorder="false" applyAlignment="true" applyProtection="false">
      <alignment horizontal="center" vertical="bottom" textRotation="0" wrapText="false" indent="0" shrinkToFit="false"/>
      <protection locked="true" hidden="false"/>
    </xf>
    <xf numFmtId="165" fontId="55" fillId="0" borderId="0" xfId="96" applyFont="true" applyBorder="false" applyAlignment="false" applyProtection="false">
      <alignment horizontal="general" vertical="bottom" textRotation="0" wrapText="false" indent="0" shrinkToFit="false"/>
      <protection locked="true" hidden="false"/>
    </xf>
    <xf numFmtId="165" fontId="41" fillId="38" borderId="22" xfId="0" applyFont="true" applyBorder="true" applyAlignment="true" applyProtection="false">
      <alignment horizontal="left" vertical="bottom" textRotation="0" wrapText="false" indent="0" shrinkToFit="false"/>
      <protection locked="true" hidden="false"/>
    </xf>
    <xf numFmtId="165" fontId="0" fillId="38" borderId="27" xfId="0" applyFont="false" applyBorder="true" applyAlignment="false" applyProtection="false">
      <alignment horizontal="general" vertical="bottom" textRotation="0" wrapText="false" indent="0" shrinkToFit="false"/>
      <protection locked="true" hidden="false"/>
    </xf>
    <xf numFmtId="165" fontId="56" fillId="38" borderId="0" xfId="0" applyFont="true" applyBorder="false" applyAlignment="true" applyProtection="false">
      <alignment horizontal="center" vertical="bottom" textRotation="0" wrapText="false" indent="0" shrinkToFit="false"/>
      <protection locked="true" hidden="false"/>
    </xf>
    <xf numFmtId="165" fontId="56" fillId="38" borderId="28" xfId="0" applyFont="true" applyBorder="true" applyAlignment="true" applyProtection="false">
      <alignment horizontal="center" vertical="bottom" textRotation="0" wrapText="false" indent="0" shrinkToFit="false"/>
      <protection locked="true" hidden="false"/>
    </xf>
    <xf numFmtId="172" fontId="0" fillId="38" borderId="27" xfId="0" applyFont="false" applyBorder="true" applyAlignment="true" applyProtection="false">
      <alignment horizontal="right" vertical="bottom" textRotation="0" wrapText="false" indent="0" shrinkToFit="false"/>
      <protection locked="true" hidden="false"/>
    </xf>
    <xf numFmtId="171" fontId="0" fillId="38" borderId="0" xfId="0" applyFont="false" applyBorder="false" applyAlignment="true" applyProtection="false">
      <alignment horizontal="center" vertical="bottom" textRotation="0" wrapText="false" indent="0" shrinkToFit="false"/>
      <protection locked="true" hidden="false"/>
    </xf>
    <xf numFmtId="172" fontId="0" fillId="38" borderId="0" xfId="0" applyFont="false" applyBorder="false" applyAlignment="true" applyProtection="false">
      <alignment horizontal="center" vertical="bottom" textRotation="0" wrapText="false" indent="0" shrinkToFit="false"/>
      <protection locked="true" hidden="false"/>
    </xf>
    <xf numFmtId="171" fontId="0" fillId="38" borderId="28" xfId="0" applyFont="false" applyBorder="true" applyAlignment="true" applyProtection="false">
      <alignment horizontal="center" vertical="bottom" textRotation="0" wrapText="false" indent="0" shrinkToFit="false"/>
      <protection locked="true" hidden="false"/>
    </xf>
    <xf numFmtId="165" fontId="6" fillId="38" borderId="39" xfId="0" applyFont="true" applyBorder="true" applyAlignment="true" applyProtection="false">
      <alignment horizontal="right" vertical="bottom" textRotation="0" wrapText="false" indent="0" shrinkToFit="false"/>
      <protection locked="true" hidden="false"/>
    </xf>
    <xf numFmtId="171" fontId="0" fillId="38" borderId="38" xfId="0" applyFont="false" applyBorder="true" applyAlignment="true" applyProtection="false">
      <alignment horizontal="center" vertical="bottom" textRotation="0" wrapText="false" indent="0" shrinkToFit="false"/>
      <protection locked="true" hidden="false"/>
    </xf>
    <xf numFmtId="172" fontId="0" fillId="38" borderId="38" xfId="0" applyFont="false" applyBorder="true" applyAlignment="true" applyProtection="false">
      <alignment horizontal="center" vertical="bottom" textRotation="0" wrapText="false" indent="0" shrinkToFit="false"/>
      <protection locked="true" hidden="false"/>
    </xf>
    <xf numFmtId="171" fontId="0" fillId="38" borderId="40" xfId="0" applyFont="false" applyBorder="true" applyAlignment="true" applyProtection="false">
      <alignment horizontal="center" vertical="bottom" textRotation="0" wrapText="false" indent="0" shrinkToFit="false"/>
      <protection locked="true" hidden="false"/>
    </xf>
    <xf numFmtId="165" fontId="41" fillId="39" borderId="22" xfId="0" applyFont="true" applyBorder="true" applyAlignment="false" applyProtection="false">
      <alignment horizontal="general" vertical="bottom" textRotation="0" wrapText="false" indent="0" shrinkToFit="false"/>
      <protection locked="true" hidden="false"/>
    </xf>
    <xf numFmtId="165" fontId="0" fillId="39" borderId="21" xfId="0" applyFont="false" applyBorder="true" applyAlignment="false" applyProtection="false">
      <alignment horizontal="general" vertical="bottom" textRotation="0" wrapText="false" indent="0" shrinkToFit="false"/>
      <protection locked="true" hidden="false"/>
    </xf>
    <xf numFmtId="165" fontId="56" fillId="39" borderId="21" xfId="0" applyFont="true" applyBorder="true" applyAlignment="true" applyProtection="false">
      <alignment horizontal="center" vertical="bottom" textRotation="0" wrapText="false" indent="0" shrinkToFit="false"/>
      <protection locked="true" hidden="false"/>
    </xf>
    <xf numFmtId="165" fontId="0" fillId="39" borderId="23" xfId="0" applyFont="false" applyBorder="true" applyAlignment="false" applyProtection="false">
      <alignment horizontal="general" vertical="bottom" textRotation="0" wrapText="false" indent="0" shrinkToFit="false"/>
      <protection locked="true" hidden="false"/>
    </xf>
    <xf numFmtId="165" fontId="0" fillId="39" borderId="27" xfId="0" applyFont="false" applyBorder="true" applyAlignment="false" applyProtection="false">
      <alignment horizontal="general" vertical="bottom" textRotation="0" wrapText="false" indent="0" shrinkToFit="false"/>
      <protection locked="true" hidden="false"/>
    </xf>
    <xf numFmtId="165" fontId="56" fillId="39" borderId="0" xfId="0" applyFont="true" applyBorder="false" applyAlignment="true" applyProtection="false">
      <alignment horizontal="center" vertical="bottom" textRotation="0" wrapText="false" indent="0" shrinkToFit="false"/>
      <protection locked="true" hidden="false"/>
    </xf>
    <xf numFmtId="165" fontId="56" fillId="39" borderId="28" xfId="0" applyFont="true" applyBorder="true" applyAlignment="true" applyProtection="false">
      <alignment horizontal="center" vertical="bottom" textRotation="0" wrapText="false" indent="0" shrinkToFit="false"/>
      <protection locked="true" hidden="false"/>
    </xf>
    <xf numFmtId="172" fontId="0" fillId="39" borderId="27" xfId="0" applyFont="false" applyBorder="true" applyAlignment="true" applyProtection="false">
      <alignment horizontal="center" vertical="bottom" textRotation="0" wrapText="false" indent="0" shrinkToFit="false"/>
      <protection locked="true" hidden="false"/>
    </xf>
    <xf numFmtId="171" fontId="0" fillId="39" borderId="0" xfId="0" applyFont="false" applyBorder="false" applyAlignment="true" applyProtection="false">
      <alignment horizontal="center" vertical="bottom" textRotation="0" wrapText="false" indent="0" shrinkToFit="false"/>
      <protection locked="true" hidden="false"/>
    </xf>
    <xf numFmtId="172" fontId="0" fillId="39" borderId="0" xfId="0" applyFont="false" applyBorder="false" applyAlignment="true" applyProtection="false">
      <alignment horizontal="center" vertical="bottom" textRotation="0" wrapText="false" indent="0" shrinkToFit="false"/>
      <protection locked="true" hidden="false"/>
    </xf>
    <xf numFmtId="171" fontId="0" fillId="39" borderId="28" xfId="0" applyFont="false" applyBorder="true" applyAlignment="true" applyProtection="false">
      <alignment horizontal="center" vertical="bottom" textRotation="0" wrapText="false" indent="0" shrinkToFit="false"/>
      <protection locked="true" hidden="false"/>
    </xf>
    <xf numFmtId="172" fontId="0" fillId="39" borderId="39" xfId="0" applyFont="false" applyBorder="true" applyAlignment="true" applyProtection="false">
      <alignment horizontal="center" vertical="bottom" textRotation="0" wrapText="false" indent="0" shrinkToFit="false"/>
      <protection locked="true" hidden="false"/>
    </xf>
    <xf numFmtId="171" fontId="0" fillId="39" borderId="38" xfId="0" applyFont="false" applyBorder="true" applyAlignment="true" applyProtection="false">
      <alignment horizontal="center" vertical="bottom" textRotation="0" wrapText="false" indent="0" shrinkToFit="false"/>
      <protection locked="true" hidden="false"/>
    </xf>
    <xf numFmtId="172" fontId="0" fillId="39" borderId="38" xfId="0" applyFont="false" applyBorder="true" applyAlignment="true" applyProtection="false">
      <alignment horizontal="center" vertical="bottom" textRotation="0" wrapText="false" indent="0" shrinkToFit="false"/>
      <protection locked="true" hidden="false"/>
    </xf>
    <xf numFmtId="171" fontId="0" fillId="39" borderId="40" xfId="0" applyFont="false" applyBorder="true" applyAlignment="true" applyProtection="false">
      <alignment horizontal="center" vertical="bottom" textRotation="0" wrapText="false" indent="0" shrinkToFit="false"/>
      <protection locked="true" hidden="false"/>
    </xf>
    <xf numFmtId="165" fontId="55" fillId="0" borderId="0" xfId="0" applyFont="true" applyBorder="fals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72" fontId="0" fillId="0" borderId="0" xfId="0" applyFont="false" applyBorder="true" applyAlignment="true" applyProtection="false">
      <alignment horizontal="center" vertical="center" textRotation="0" wrapText="false" indent="0" shrinkToFit="false"/>
      <protection locked="true" hidden="false"/>
    </xf>
    <xf numFmtId="165" fontId="21" fillId="0" borderId="6" xfId="0" applyFont="true" applyBorder="true" applyAlignment="false" applyProtection="false">
      <alignment horizontal="general" vertical="bottom" textRotation="0" wrapText="false" indent="0" shrinkToFit="false"/>
      <protection locked="true" hidden="false"/>
    </xf>
    <xf numFmtId="165" fontId="21" fillId="0" borderId="6" xfId="0" applyFont="true" applyBorder="true" applyAlignment="true" applyProtection="false">
      <alignment horizontal="center" vertical="bottom" textRotation="0" wrapText="true" indent="0" shrinkToFit="false"/>
      <protection locked="true" hidden="false"/>
    </xf>
    <xf numFmtId="165" fontId="36" fillId="0" borderId="0" xfId="0" applyFont="true" applyBorder="false" applyAlignment="true" applyProtection="false">
      <alignment horizontal="left" vertical="center" textRotation="0" wrapText="false" indent="0" shrinkToFit="false"/>
      <protection locked="true" hidden="false"/>
    </xf>
    <xf numFmtId="165" fontId="6" fillId="0" borderId="6" xfId="0" applyFont="true" applyBorder="true" applyAlignment="true" applyProtection="false">
      <alignment horizontal="center" vertical="center" textRotation="0" wrapText="false" indent="0" shrinkToFit="false"/>
      <protection locked="true" hidden="false"/>
    </xf>
    <xf numFmtId="165" fontId="0" fillId="0" borderId="6" xfId="0" applyFont="false" applyBorder="true" applyAlignment="true" applyProtection="false">
      <alignment horizontal="center" vertical="bottom" textRotation="0" wrapText="false" indent="0" shrinkToFit="false"/>
      <protection locked="true" hidden="false"/>
    </xf>
    <xf numFmtId="165" fontId="6" fillId="0" borderId="6" xfId="0" applyFont="true" applyBorder="true" applyAlignment="true" applyProtection="false">
      <alignment horizontal="center" vertical="bottom" textRotation="0" wrapText="false" indent="0" shrinkToFit="false"/>
      <protection locked="true" hidden="false"/>
    </xf>
    <xf numFmtId="165" fontId="6" fillId="0" borderId="0" xfId="0" applyFont="true" applyBorder="true" applyAlignment="true" applyProtection="false">
      <alignment horizontal="general" vertical="bottom" textRotation="0" wrapText="false" indent="0" shrinkToFit="false"/>
      <protection locked="true" hidden="false"/>
    </xf>
    <xf numFmtId="164" fontId="0" fillId="0" borderId="0" xfId="19" applyFont="true" applyBorder="true" applyAlignment="true" applyProtection="true">
      <alignment horizontal="general" vertical="bottom" textRotation="0" wrapText="false" indent="0" shrinkToFit="false"/>
      <protection locked="true" hidden="false"/>
    </xf>
    <xf numFmtId="167" fontId="6" fillId="0" borderId="0" xfId="0" applyFont="true" applyBorder="false" applyAlignment="false" applyProtection="false">
      <alignment horizontal="general" vertical="bottom" textRotation="0" wrapText="false" indent="0" shrinkToFit="false"/>
      <protection locked="true" hidden="false"/>
    </xf>
    <xf numFmtId="165" fontId="0" fillId="0" borderId="22" xfId="0" applyFont="false" applyBorder="true" applyAlignment="false" applyProtection="false">
      <alignment horizontal="general" vertical="bottom" textRotation="0" wrapText="false" indent="0" shrinkToFit="false"/>
      <protection locked="true" hidden="false"/>
    </xf>
    <xf numFmtId="165" fontId="0" fillId="0" borderId="21" xfId="0" applyFont="false" applyBorder="true" applyAlignment="false" applyProtection="false">
      <alignment horizontal="general" vertical="bottom" textRotation="0" wrapText="false" indent="0" shrinkToFit="false"/>
      <protection locked="true" hidden="false"/>
    </xf>
    <xf numFmtId="165" fontId="6" fillId="0" borderId="21" xfId="0" applyFont="true" applyBorder="true" applyAlignment="false" applyProtection="false">
      <alignment horizontal="general" vertical="bottom" textRotation="0" wrapText="false" indent="0" shrinkToFit="false"/>
      <protection locked="true" hidden="false"/>
    </xf>
    <xf numFmtId="165" fontId="6" fillId="0" borderId="23" xfId="0" applyFont="true" applyBorder="true" applyAlignment="false" applyProtection="false">
      <alignment horizontal="general" vertical="bottom" textRotation="0" wrapText="false" indent="0" shrinkToFit="false"/>
      <protection locked="true" hidden="false"/>
    </xf>
    <xf numFmtId="165" fontId="6" fillId="0" borderId="27" xfId="0" applyFont="true" applyBorder="true" applyAlignment="true" applyProtection="false">
      <alignment horizontal="center" vertical="center" textRotation="0" wrapText="false" indent="0" shrinkToFit="false"/>
      <protection locked="true" hidden="false"/>
    </xf>
    <xf numFmtId="167" fontId="6" fillId="0" borderId="28" xfId="0" applyFont="true" applyBorder="true" applyAlignment="false" applyProtection="false">
      <alignment horizontal="general" vertical="bottom" textRotation="0" wrapText="false" indent="0" shrinkToFit="false"/>
      <protection locked="true" hidden="false"/>
    </xf>
    <xf numFmtId="165" fontId="6" fillId="0" borderId="22" xfId="0" applyFont="true" applyBorder="true" applyAlignment="true" applyProtection="false">
      <alignment horizontal="center" vertical="center" textRotation="0" wrapText="false" indent="0" shrinkToFit="false"/>
      <protection locked="true" hidden="false"/>
    </xf>
    <xf numFmtId="167" fontId="0" fillId="0" borderId="28" xfId="0" applyFont="fals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79" fontId="0" fillId="0" borderId="38" xfId="0" applyFont="false" applyBorder="true" applyAlignment="false" applyProtection="false">
      <alignment horizontal="general" vertical="bottom" textRotation="0" wrapText="false" indent="0" shrinkToFit="false"/>
      <protection locked="true" hidden="false"/>
    </xf>
    <xf numFmtId="167" fontId="0" fillId="0" borderId="38" xfId="0" applyFont="false" applyBorder="true" applyAlignment="false" applyProtection="false">
      <alignment horizontal="general" vertical="bottom" textRotation="0" wrapText="false" indent="0" shrinkToFit="false"/>
      <protection locked="true" hidden="false"/>
    </xf>
    <xf numFmtId="167" fontId="0" fillId="0" borderId="40" xfId="0" applyFont="false" applyBorder="true" applyAlignment="false" applyProtection="false">
      <alignment horizontal="general" vertical="bottom" textRotation="0" wrapText="false" indent="0" shrinkToFit="false"/>
      <protection locked="true" hidden="false"/>
    </xf>
    <xf numFmtId="165" fontId="6" fillId="0" borderId="28"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right" vertical="bottom" textRotation="0" wrapText="false" indent="0" shrinkToFit="false"/>
      <protection locked="true" hidden="false"/>
    </xf>
    <xf numFmtId="165" fontId="6" fillId="0" borderId="39" xfId="0" applyFont="true" applyBorder="true" applyAlignment="true" applyProtection="false">
      <alignment horizontal="center" vertical="center" textRotation="0" wrapText="false" indent="0" shrinkToFit="false"/>
      <protection locked="true" hidden="false"/>
    </xf>
    <xf numFmtId="165" fontId="6" fillId="0" borderId="6" xfId="0" applyFont="true" applyBorder="true" applyAlignment="false" applyProtection="false">
      <alignment horizontal="general" vertical="bottom" textRotation="0" wrapText="false" indent="0" shrinkToFit="false"/>
      <protection locked="true" hidden="false"/>
    </xf>
    <xf numFmtId="179" fontId="0" fillId="0" borderId="6" xfId="0" applyFont="false" applyBorder="true" applyAlignment="false" applyProtection="false">
      <alignment horizontal="general" vertical="bottom" textRotation="0" wrapText="false" indent="0" shrinkToFit="false"/>
      <protection locked="true" hidden="false"/>
    </xf>
    <xf numFmtId="167" fontId="0" fillId="0" borderId="6" xfId="0" applyFont="false" applyBorder="true" applyAlignment="false" applyProtection="false">
      <alignment horizontal="general" vertical="bottom" textRotation="0" wrapText="false" indent="0" shrinkToFit="false"/>
      <protection locked="true" hidden="false"/>
    </xf>
    <xf numFmtId="165" fontId="5" fillId="0" borderId="0" xfId="91" applyFont="false" applyBorder="false" applyAlignment="false" applyProtection="false">
      <alignment horizontal="general" vertical="bottom" textRotation="0" wrapText="false" indent="0" shrinkToFit="false"/>
      <protection locked="true" hidden="false"/>
    </xf>
    <xf numFmtId="165" fontId="5" fillId="15" borderId="0" xfId="91" applyFont="true" applyBorder="false" applyAlignment="false" applyProtection="false">
      <alignment horizontal="general" vertical="bottom" textRotation="0" wrapText="false" indent="0" shrinkToFit="false"/>
      <protection locked="true" hidden="false"/>
    </xf>
    <xf numFmtId="165" fontId="27" fillId="15" borderId="0" xfId="101" applyFont="true" applyBorder="false" applyAlignment="false" applyProtection="false">
      <alignment horizontal="general" vertical="bottom" textRotation="0" wrapText="false" indent="0" shrinkToFit="false"/>
      <protection locked="true" hidden="false"/>
    </xf>
    <xf numFmtId="165" fontId="5" fillId="0" borderId="0" xfId="91" applyFont="false" applyBorder="false" applyAlignment="true" applyProtection="false">
      <alignment horizontal="right" vertical="bottom" textRotation="0" wrapText="false" indent="0" shrinkToFit="false"/>
      <protection locked="true" hidden="false"/>
    </xf>
    <xf numFmtId="165" fontId="70" fillId="0" borderId="0" xfId="91" applyFont="true" applyBorder="false" applyAlignment="false" applyProtection="false">
      <alignment horizontal="general" vertical="bottom" textRotation="0" wrapText="false" indent="0" shrinkToFit="false"/>
      <protection locked="true" hidden="false"/>
    </xf>
    <xf numFmtId="165" fontId="71" fillId="0" borderId="0" xfId="91" applyFont="true" applyBorder="false" applyAlignment="false" applyProtection="false">
      <alignment horizontal="general" vertical="bottom" textRotation="0" wrapText="false" indent="0" shrinkToFit="false"/>
      <protection locked="true" hidden="false"/>
    </xf>
    <xf numFmtId="165" fontId="6" fillId="0" borderId="0" xfId="97" applyFont="false" applyBorder="false" applyAlignment="false" applyProtection="false">
      <alignment horizontal="general" vertical="bottom" textRotation="0" wrapText="false" indent="0" shrinkToFit="false"/>
      <protection locked="true" hidden="false"/>
    </xf>
    <xf numFmtId="165" fontId="6" fillId="0" borderId="0" xfId="97" applyFont="true" applyBorder="false" applyAlignment="true" applyProtection="false">
      <alignment horizontal="center" vertical="bottom" textRotation="0" wrapText="false" indent="0" shrinkToFit="false"/>
      <protection locked="true" hidden="false"/>
    </xf>
    <xf numFmtId="165" fontId="21" fillId="0" borderId="0" xfId="97" applyFont="true" applyBorder="false" applyAlignment="true" applyProtection="false">
      <alignment horizontal="center" vertical="bottom" textRotation="0" wrapText="false" indent="0" shrinkToFit="false"/>
      <protection locked="true" hidden="false"/>
    </xf>
    <xf numFmtId="165" fontId="21" fillId="29" borderId="0" xfId="97" applyFont="true" applyBorder="false" applyAlignment="true" applyProtection="false">
      <alignment horizontal="center" vertical="bottom" textRotation="0" wrapText="false" indent="0" shrinkToFit="false"/>
      <protection locked="true" hidden="false"/>
    </xf>
    <xf numFmtId="164" fontId="21" fillId="0" borderId="0" xfId="19" applyFont="true" applyBorder="true" applyAlignment="true" applyProtection="true">
      <alignment horizontal="center" vertical="bottom" textRotation="0" wrapText="false" indent="0" shrinkToFit="false"/>
      <protection locked="true" hidden="false"/>
    </xf>
    <xf numFmtId="164" fontId="6" fillId="0" borderId="0" xfId="97" applyFont="false" applyBorder="false" applyAlignment="true" applyProtection="false">
      <alignment horizontal="center" vertical="bottom" textRotation="0" wrapText="false" indent="0" shrinkToFit="false"/>
      <protection locked="true" hidden="false"/>
    </xf>
    <xf numFmtId="165" fontId="21" fillId="29" borderId="0" xfId="97" applyFont="true" applyBorder="false" applyAlignment="true" applyProtection="false">
      <alignment horizontal="center" vertical="bottom" textRotation="0" wrapText="true" indent="0" shrinkToFit="false"/>
      <protection locked="true" hidden="false"/>
    </xf>
    <xf numFmtId="165" fontId="6" fillId="0" borderId="0" xfId="97" applyFont="false" applyBorder="false" applyAlignment="true" applyProtection="false">
      <alignment horizontal="center" vertical="bottom" textRotation="0" wrapText="true" indent="0" shrinkToFit="false"/>
      <protection locked="true" hidden="false"/>
    </xf>
    <xf numFmtId="167" fontId="21" fillId="0" borderId="0" xfId="97" applyFont="true" applyBorder="false" applyAlignment="true" applyProtection="false">
      <alignment horizontal="center" vertical="bottom" textRotation="0" wrapText="false" indent="0" shrinkToFit="false"/>
      <protection locked="true" hidden="false"/>
    </xf>
    <xf numFmtId="165" fontId="21" fillId="0" borderId="0" xfId="97" applyFont="true" applyBorder="false" applyAlignment="true" applyProtection="false">
      <alignment horizontal="center" vertical="bottom" textRotation="0" wrapText="true" indent="0" shrinkToFit="false"/>
      <protection locked="true" hidden="false"/>
    </xf>
    <xf numFmtId="164" fontId="21" fillId="0" borderId="0" xfId="97" applyFont="true" applyBorder="false" applyAlignment="true" applyProtection="false">
      <alignment horizontal="center" vertical="bottom" textRotation="0" wrapText="false" indent="0" shrinkToFit="false"/>
      <protection locked="true" hidden="false"/>
    </xf>
    <xf numFmtId="165" fontId="21" fillId="0" borderId="0" xfId="97" applyFont="true" applyBorder="false" applyAlignment="true" applyProtection="false">
      <alignment horizontal="right" vertical="bottom" textRotation="0" wrapText="false" indent="0" shrinkToFit="false"/>
      <protection locked="true" hidden="false"/>
    </xf>
    <xf numFmtId="167" fontId="6" fillId="0" borderId="0" xfId="97" applyFont="false" applyBorder="false" applyAlignment="true" applyProtection="false">
      <alignment horizontal="center" vertical="bottom" textRotation="0" wrapText="false" indent="0" shrinkToFit="false"/>
      <protection locked="true" hidden="false"/>
    </xf>
    <xf numFmtId="165" fontId="83" fillId="0" borderId="0" xfId="0" applyFont="true" applyBorder="true" applyAlignment="true" applyProtection="false">
      <alignment horizontal="left" vertical="bottom" textRotation="0" wrapText="false" indent="0" shrinkToFit="false"/>
      <protection locked="true" hidden="false"/>
    </xf>
    <xf numFmtId="165" fontId="83" fillId="0" borderId="0" xfId="0" applyFont="true" applyBorder="false" applyAlignment="false" applyProtection="false">
      <alignment horizontal="general" vertical="bottom" textRotation="0" wrapText="false" indent="0" shrinkToFit="false"/>
      <protection locked="true" hidden="false"/>
    </xf>
    <xf numFmtId="165" fontId="41" fillId="0" borderId="0" xfId="0" applyFont="true" applyBorder="true" applyAlignment="true" applyProtection="false">
      <alignment horizontal="center" vertical="bottom" textRotation="0" wrapText="false" indent="0" shrinkToFit="false"/>
      <protection locked="true" hidden="false"/>
    </xf>
    <xf numFmtId="165" fontId="6" fillId="0" borderId="6" xfId="0" applyFont="true" applyBorder="true" applyAlignment="true" applyProtection="false">
      <alignment horizontal="right" vertical="bottom" textRotation="0" wrapText="false" indent="0" shrinkToFit="false"/>
      <protection locked="true" hidden="false"/>
    </xf>
    <xf numFmtId="179" fontId="56"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false">
      <alignment horizontal="general" vertical="bottom" textRotation="0" wrapText="true" indent="0" shrinkToFit="false"/>
      <protection locked="true" hidden="false"/>
    </xf>
    <xf numFmtId="165" fontId="43" fillId="0" borderId="6" xfId="0" applyFont="true" applyBorder="true" applyAlignment="false" applyProtection="false">
      <alignment horizontal="general" vertical="bottom" textRotation="0" wrapText="false" indent="0" shrinkToFit="false"/>
      <protection locked="true" hidden="false"/>
    </xf>
    <xf numFmtId="167" fontId="43" fillId="0" borderId="6" xfId="0" applyFont="true" applyBorder="true" applyAlignment="false" applyProtection="false">
      <alignment horizontal="general" vertical="bottom" textRotation="0" wrapText="false" indent="0" shrinkToFit="false"/>
      <protection locked="true" hidden="false"/>
    </xf>
    <xf numFmtId="183" fontId="43" fillId="0" borderId="6" xfId="0" applyFont="true" applyBorder="true" applyAlignment="false" applyProtection="false">
      <alignment horizontal="general" vertical="bottom" textRotation="0" wrapText="false" indent="0" shrinkToFit="false"/>
      <protection locked="true" hidden="false"/>
    </xf>
    <xf numFmtId="183" fontId="6" fillId="0" borderId="6" xfId="0" applyFont="true" applyBorder="true" applyAlignment="false" applyProtection="false">
      <alignment horizontal="general" vertical="bottom" textRotation="0" wrapText="false" indent="0" shrinkToFit="false"/>
      <protection locked="true" hidden="false"/>
    </xf>
    <xf numFmtId="167" fontId="6" fillId="0" borderId="6" xfId="0" applyFont="true" applyBorder="true" applyAlignment="false" applyProtection="false">
      <alignment horizontal="general" vertical="bottom" textRotation="0" wrapText="false" indent="0" shrinkToFit="false"/>
      <protection locked="true" hidden="false"/>
    </xf>
    <xf numFmtId="167" fontId="21" fillId="0" borderId="6" xfId="0" applyFont="true" applyBorder="true" applyAlignment="false" applyProtection="false">
      <alignment horizontal="general" vertical="bottom" textRotation="0" wrapText="false" indent="0" shrinkToFit="false"/>
      <protection locked="true" hidden="false"/>
    </xf>
    <xf numFmtId="167" fontId="21" fillId="0" borderId="0" xfId="0" applyFont="true" applyBorder="false" applyAlignment="true" applyProtection="false">
      <alignment horizontal="center" vertical="center" textRotation="0" wrapText="false" indent="0" shrinkToFit="false"/>
      <protection locked="true" hidden="false"/>
    </xf>
    <xf numFmtId="167" fontId="45" fillId="0" borderId="0" xfId="0" applyFont="true" applyBorder="false" applyAlignment="false" applyProtection="false">
      <alignment horizontal="general" vertical="bottom" textRotation="0" wrapText="false" indent="0" shrinkToFit="false"/>
      <protection locked="true" hidden="false"/>
    </xf>
    <xf numFmtId="167" fontId="21" fillId="0" borderId="0" xfId="0" applyFont="true" applyBorder="false" applyAlignment="false" applyProtection="false">
      <alignment horizontal="general" vertical="bottom" textRotation="0" wrapText="false" indent="0" shrinkToFit="false"/>
      <protection locked="true" hidden="false"/>
    </xf>
    <xf numFmtId="167" fontId="6" fillId="0" borderId="6" xfId="96" applyFont="false" applyBorder="true" applyAlignment="false" applyProtection="false">
      <alignment horizontal="general" vertical="bottom" textRotation="0" wrapText="false" indent="0" shrinkToFit="false"/>
      <protection locked="true" hidden="false"/>
    </xf>
    <xf numFmtId="167" fontId="43" fillId="0" borderId="6" xfId="96" applyFont="true" applyBorder="tru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5" fontId="45" fillId="0" borderId="48" xfId="0" applyFont="true" applyBorder="true" applyAlignment="false" applyProtection="false">
      <alignment horizontal="general" vertical="bottom" textRotation="0" wrapText="false" indent="0" shrinkToFit="false"/>
      <protection locked="true" hidden="false"/>
    </xf>
    <xf numFmtId="165" fontId="21" fillId="0" borderId="48" xfId="0" applyFont="true" applyBorder="true" applyAlignment="false" applyProtection="false">
      <alignment horizontal="general" vertical="bottom" textRotation="0" wrapText="false" indent="0" shrinkToFit="false"/>
      <protection locked="true" hidden="false"/>
    </xf>
    <xf numFmtId="165" fontId="83" fillId="0" borderId="2" xfId="0" applyFont="true" applyBorder="true" applyAlignment="true" applyProtection="false">
      <alignment horizontal="left" vertical="bottom" textRotation="0" wrapText="false" indent="0" shrinkToFit="false"/>
      <protection locked="true" hidden="false"/>
    </xf>
    <xf numFmtId="167" fontId="6" fillId="0" borderId="6" xfId="96" applyFont="true" applyBorder="true" applyAlignment="true" applyProtection="false">
      <alignment horizontal="right" vertical="bottom" textRotation="0" wrapText="false" indent="0" shrinkToFit="false"/>
      <protection locked="true" hidden="false"/>
    </xf>
    <xf numFmtId="165" fontId="84" fillId="0" borderId="2" xfId="0" applyFont="true" applyBorder="true" applyAlignment="true" applyProtection="false">
      <alignment horizontal="left" vertical="bottom" textRotation="0" wrapText="false" indent="0" shrinkToFit="false"/>
      <protection locked="true" hidden="false"/>
    </xf>
    <xf numFmtId="165" fontId="43" fillId="0" borderId="0" xfId="0" applyFont="true" applyBorder="false" applyAlignment="false" applyProtection="false">
      <alignment horizontal="general" vertical="bottom" textRotation="0" wrapText="false" indent="0" shrinkToFit="false"/>
      <protection locked="true" hidden="false"/>
    </xf>
    <xf numFmtId="164" fontId="0" fillId="0" borderId="0" xfId="19" applyFont="true" applyBorder="true" applyAlignment="true" applyProtection="true">
      <alignment horizontal="center" vertical="bottom" textRotation="0" wrapText="false" indent="0" shrinkToFit="false"/>
      <protection locked="true" hidden="false"/>
    </xf>
    <xf numFmtId="167" fontId="0" fillId="0" borderId="0" xfId="19" applyFont="true" applyBorder="true" applyAlignment="true" applyProtection="true">
      <alignment horizontal="center" vertical="bottom" textRotation="0" wrapText="false" indent="0" shrinkToFit="false"/>
      <protection locked="true" hidden="false"/>
    </xf>
    <xf numFmtId="172" fontId="0" fillId="15" borderId="0" xfId="0" applyFont="false" applyBorder="false" applyAlignment="false" applyProtection="false">
      <alignment horizontal="general" vertical="bottom" textRotation="0" wrapText="false" indent="0" shrinkToFit="false"/>
      <protection locked="true" hidden="false"/>
    </xf>
    <xf numFmtId="172" fontId="0" fillId="15" borderId="0" xfId="0" applyFont="false" applyBorder="false" applyAlignment="true" applyProtection="false">
      <alignment horizontal="center" vertical="bottom" textRotation="0" wrapText="false" indent="0" shrinkToFit="false"/>
      <protection locked="true" hidden="false"/>
    </xf>
    <xf numFmtId="164" fontId="6" fillId="15" borderId="0" xfId="19" applyFont="true" applyBorder="true" applyAlignment="true" applyProtection="true">
      <alignment horizontal="center" vertical="bottom" textRotation="0" wrapText="false" indent="0" shrinkToFit="false"/>
      <protection locked="true" hidden="false"/>
    </xf>
    <xf numFmtId="167" fontId="6" fillId="15" borderId="0" xfId="19" applyFont="true" applyBorder="true" applyAlignment="true" applyProtection="true">
      <alignment horizontal="center" vertical="bottom" textRotation="0" wrapText="false" indent="0" shrinkToFit="false"/>
      <protection locked="true" hidden="false"/>
    </xf>
    <xf numFmtId="167" fontId="0" fillId="15" borderId="0" xfId="0" applyFont="false" applyBorder="false" applyAlignment="true" applyProtection="false">
      <alignment horizontal="center"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73" fontId="21" fillId="0" borderId="0" xfId="0" applyFont="true" applyBorder="false" applyAlignment="true" applyProtection="false">
      <alignment horizontal="center" vertical="bottom" textRotation="0" wrapText="true" indent="0" shrinkToFit="false"/>
      <protection locked="true" hidden="false"/>
    </xf>
    <xf numFmtId="165" fontId="21" fillId="40" borderId="0" xfId="0" applyFont="true" applyBorder="false" applyAlignment="true" applyProtection="false">
      <alignment horizontal="center" vertical="bottom" textRotation="0" wrapText="true" indent="0" shrinkToFit="false"/>
      <protection locked="true" hidden="false"/>
    </xf>
    <xf numFmtId="165" fontId="21" fillId="41" borderId="0" xfId="0" applyFont="true" applyBorder="false" applyAlignment="true" applyProtection="false">
      <alignment horizontal="center" vertical="bottom" textRotation="0" wrapText="true" indent="0" shrinkToFit="false"/>
      <protection locked="true" hidden="false"/>
    </xf>
    <xf numFmtId="165" fontId="21" fillId="35" borderId="0" xfId="0" applyFont="true" applyBorder="false" applyAlignment="true" applyProtection="false">
      <alignment horizontal="center" vertical="bottom" textRotation="0" wrapText="true" indent="0" shrinkToFit="false"/>
      <protection locked="true" hidden="false"/>
    </xf>
    <xf numFmtId="172" fontId="0" fillId="40" borderId="0" xfId="0" applyFont="false" applyBorder="false" applyAlignment="false" applyProtection="false">
      <alignment horizontal="general" vertical="bottom" textRotation="0" wrapText="false" indent="0" shrinkToFit="false"/>
      <protection locked="true" hidden="false"/>
    </xf>
    <xf numFmtId="166" fontId="6" fillId="40" borderId="0" xfId="17" applyFont="true" applyBorder="true" applyAlignment="true" applyProtection="true">
      <alignment horizontal="general" vertical="bottom" textRotation="0" wrapText="false" indent="0" shrinkToFit="false"/>
      <protection locked="true" hidden="false"/>
    </xf>
    <xf numFmtId="173" fontId="0" fillId="41" borderId="0" xfId="0" applyFont="false" applyBorder="false" applyAlignment="true" applyProtection="false">
      <alignment horizontal="center" vertical="bottom" textRotation="0" wrapText="false" indent="0" shrinkToFit="false"/>
      <protection locked="true" hidden="false"/>
    </xf>
    <xf numFmtId="172" fontId="0" fillId="41" borderId="0" xfId="0" applyFont="false" applyBorder="false" applyAlignment="false" applyProtection="false">
      <alignment horizontal="general" vertical="bottom" textRotation="0" wrapText="false" indent="0" shrinkToFit="false"/>
      <protection locked="true" hidden="false"/>
    </xf>
    <xf numFmtId="166" fontId="6" fillId="41" borderId="0" xfId="17" applyFont="true" applyBorder="true" applyAlignment="true" applyProtection="true">
      <alignment horizontal="general" vertical="bottom" textRotation="0" wrapText="false" indent="0" shrinkToFit="false"/>
      <protection locked="true" hidden="false"/>
    </xf>
    <xf numFmtId="172" fontId="0" fillId="35" borderId="0" xfId="0" applyFont="false" applyBorder="false" applyAlignment="false" applyProtection="false">
      <alignment horizontal="general" vertical="bottom" textRotation="0" wrapText="false" indent="0" shrinkToFit="false"/>
      <protection locked="true" hidden="false"/>
    </xf>
    <xf numFmtId="166" fontId="6" fillId="35" borderId="0" xfId="17" applyFont="true" applyBorder="true" applyAlignment="true" applyProtection="true">
      <alignment horizontal="general" vertical="bottom" textRotation="0" wrapText="false" indent="0" shrinkToFit="false"/>
      <protection locked="true" hidden="false"/>
    </xf>
    <xf numFmtId="184" fontId="0" fillId="0" borderId="6" xfId="0" applyFont="false" applyBorder="true" applyAlignment="false" applyProtection="false">
      <alignment horizontal="general" vertical="bottom" textRotation="0" wrapText="false" indent="0" shrinkToFit="false"/>
      <protection locked="true" hidden="false"/>
    </xf>
    <xf numFmtId="172" fontId="0" fillId="6" borderId="0" xfId="0" applyFont="false" applyBorder="false" applyAlignment="true" applyProtection="false">
      <alignment horizontal="center" vertical="bottom" textRotation="0" wrapText="false" indent="0" shrinkToFit="false"/>
      <protection locked="true" hidden="false"/>
    </xf>
    <xf numFmtId="167" fontId="0" fillId="6" borderId="0" xfId="0" applyFont="false" applyBorder="false" applyAlignment="true" applyProtection="false">
      <alignment horizontal="center" vertical="bottom" textRotation="0" wrapText="false" indent="0" shrinkToFit="false"/>
      <protection locked="true" hidden="false"/>
    </xf>
    <xf numFmtId="173" fontId="0" fillId="6" borderId="0" xfId="0" applyFont="false" applyBorder="false" applyAlignment="true" applyProtection="false">
      <alignment horizontal="center" vertical="bottom" textRotation="0" wrapText="false" indent="0" shrinkToFit="false"/>
      <protection locked="true" hidden="false"/>
    </xf>
    <xf numFmtId="165" fontId="0" fillId="6" borderId="0" xfId="0" applyFont="false" applyBorder="false" applyAlignment="false" applyProtection="false">
      <alignment horizontal="general" vertical="bottom" textRotation="0" wrapText="false" indent="0" shrinkToFit="false"/>
      <protection locked="true" hidden="false"/>
    </xf>
    <xf numFmtId="185" fontId="0" fillId="0" borderId="0" xfId="17" applyFont="true" applyBorder="true" applyAlignment="true" applyProtection="true">
      <alignment horizontal="general" vertical="bottom" textRotation="0" wrapText="false" indent="0" shrinkToFit="false"/>
      <protection locked="true" hidden="false"/>
    </xf>
    <xf numFmtId="166" fontId="21" fillId="0" borderId="0" xfId="0" applyFont="true" applyBorder="false" applyAlignment="false" applyProtection="false">
      <alignment horizontal="general" vertical="bottom" textRotation="0" wrapText="false" indent="0" shrinkToFit="false"/>
      <protection locked="true" hidden="false"/>
    </xf>
    <xf numFmtId="165" fontId="21" fillId="42" borderId="6" xfId="0" applyFont="true" applyBorder="true" applyAlignment="true" applyProtection="false">
      <alignment horizontal="center" vertical="bottom" textRotation="0" wrapText="true" indent="0" shrinkToFit="false"/>
      <protection locked="true" hidden="false"/>
    </xf>
    <xf numFmtId="165" fontId="21" fillId="40" borderId="6" xfId="0" applyFont="true" applyBorder="true" applyAlignment="true" applyProtection="false">
      <alignment horizontal="center" vertical="bottom" textRotation="0" wrapText="true" indent="0" shrinkToFit="false"/>
      <protection locked="true" hidden="false"/>
    </xf>
    <xf numFmtId="165" fontId="21" fillId="41" borderId="6" xfId="0" applyFont="true" applyBorder="true" applyAlignment="true" applyProtection="false">
      <alignment horizontal="center" vertical="bottom" textRotation="0" wrapText="true" indent="0" shrinkToFit="false"/>
      <protection locked="true" hidden="false"/>
    </xf>
    <xf numFmtId="165" fontId="21" fillId="35" borderId="6" xfId="0" applyFont="true" applyBorder="true" applyAlignment="true" applyProtection="false">
      <alignment horizontal="center" vertical="bottom" textRotation="0" wrapText="true" indent="0" shrinkToFit="false"/>
      <protection locked="true" hidden="false"/>
    </xf>
    <xf numFmtId="186" fontId="0" fillId="0" borderId="6" xfId="0" applyFont="false" applyBorder="true" applyAlignment="true" applyProtection="false">
      <alignment horizontal="center" vertical="bottom" textRotation="0" wrapText="false" indent="0" shrinkToFit="false"/>
      <protection locked="true" hidden="false"/>
    </xf>
    <xf numFmtId="187" fontId="0" fillId="0" borderId="6" xfId="0" applyFont="false" applyBorder="true" applyAlignment="true" applyProtection="false">
      <alignment horizontal="center" vertical="bottom" textRotation="0" wrapText="false" indent="0" shrinkToFit="false"/>
      <protection locked="true" hidden="false"/>
    </xf>
    <xf numFmtId="166" fontId="0" fillId="0" borderId="6" xfId="0" applyFont="false" applyBorder="true" applyAlignment="false" applyProtection="false">
      <alignment horizontal="general" vertical="bottom" textRotation="0" wrapText="false" indent="0" shrinkToFit="false"/>
      <protection locked="true" hidden="false"/>
    </xf>
    <xf numFmtId="186" fontId="21" fillId="0" borderId="0" xfId="0" applyFont="true" applyBorder="false" applyAlignment="true" applyProtection="false">
      <alignment horizontal="center" vertical="bottom" textRotation="0" wrapText="false" indent="0" shrinkToFit="false"/>
      <protection locked="true" hidden="false"/>
    </xf>
    <xf numFmtId="187" fontId="21" fillId="0" borderId="0" xfId="0" applyFont="true" applyBorder="false" applyAlignment="true" applyProtection="false">
      <alignment horizontal="center" vertical="bottom" textRotation="0" wrapText="false" indent="0" shrinkToFit="false"/>
      <protection locked="true" hidden="false"/>
    </xf>
    <xf numFmtId="165" fontId="21" fillId="43" borderId="6" xfId="0" applyFont="true" applyBorder="true" applyAlignment="true" applyProtection="false">
      <alignment horizontal="center" vertical="bottom" textRotation="0" wrapText="true" indent="0" shrinkToFit="false"/>
      <protection locked="true" hidden="false"/>
    </xf>
    <xf numFmtId="166" fontId="21" fillId="40" borderId="0" xfId="0" applyFont="true" applyBorder="false" applyAlignment="false" applyProtection="false">
      <alignment horizontal="general" vertical="bottom" textRotation="0" wrapText="false" indent="0" shrinkToFit="false"/>
      <protection locked="true" hidden="false"/>
    </xf>
    <xf numFmtId="165" fontId="91" fillId="0" borderId="0" xfId="0" applyFont="true" applyBorder="false" applyAlignment="true" applyProtection="false">
      <alignment horizontal="left" vertical="center" textRotation="0" wrapText="false" indent="0" shrinkToFit="false" readingOrder="1"/>
      <protection locked="true" hidden="false"/>
    </xf>
    <xf numFmtId="165" fontId="6"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5" fontId="92" fillId="0" borderId="0" xfId="0" applyFont="true" applyBorder="false" applyAlignment="true" applyProtection="false">
      <alignment horizontal="left" vertical="center" textRotation="0" wrapText="false" indent="5" shrinkToFit="false"/>
      <protection locked="true" hidden="false"/>
    </xf>
    <xf numFmtId="165" fontId="93" fillId="0" borderId="0" xfId="0" applyFont="true" applyBorder="false" applyAlignment="false" applyProtection="false">
      <alignment horizontal="general" vertical="bottom" textRotation="0" wrapText="false" indent="0" shrinkToFit="false"/>
      <protection locked="true" hidden="false"/>
    </xf>
    <xf numFmtId="165" fontId="102" fillId="0" borderId="0" xfId="0" applyFont="true" applyBorder="false" applyAlignment="false" applyProtection="false">
      <alignment horizontal="general" vertical="bottom" textRotation="0" wrapText="false" indent="0" shrinkToFit="false"/>
      <protection locked="true" hidden="false"/>
    </xf>
    <xf numFmtId="165" fontId="7" fillId="18" borderId="14" xfId="0" applyFont="true" applyBorder="true" applyAlignment="true" applyProtection="false">
      <alignment horizontal="center" vertical="bottom" textRotation="0" wrapText="false" indent="0" shrinkToFit="false"/>
      <protection locked="true" hidden="false"/>
    </xf>
    <xf numFmtId="171" fontId="13" fillId="0" borderId="63" xfId="0" applyFont="true" applyBorder="true" applyAlignment="true" applyProtection="false">
      <alignment horizontal="center" vertical="center" textRotation="0" wrapText="false" indent="0" shrinkToFit="false"/>
      <protection locked="true" hidden="false"/>
    </xf>
    <xf numFmtId="165" fontId="7" fillId="18" borderId="6" xfId="0" applyFont="true" applyBorder="true" applyAlignment="true" applyProtection="false">
      <alignment horizontal="center" vertical="bottom" textRotation="0" wrapText="false" indent="0" shrinkToFit="false"/>
      <protection locked="true" hidden="false"/>
    </xf>
    <xf numFmtId="165" fontId="7" fillId="0" borderId="21" xfId="0" applyFont="true" applyBorder="true" applyAlignment="true" applyProtection="false">
      <alignment horizontal="center" vertical="bottom" textRotation="0" wrapText="false" indent="0" shrinkToFit="false"/>
      <protection locked="true" hidden="false"/>
    </xf>
    <xf numFmtId="165" fontId="7" fillId="0" borderId="23" xfId="0" applyFont="true" applyBorder="true" applyAlignment="true" applyProtection="false">
      <alignment horizontal="center" vertical="bottom" textRotation="0" wrapText="false" indent="0" shrinkToFit="false"/>
      <protection locked="true" hidden="false"/>
    </xf>
    <xf numFmtId="165" fontId="7" fillId="0" borderId="54" xfId="0" applyFont="true" applyBorder="true" applyAlignment="true" applyProtection="false">
      <alignment horizontal="center" vertical="bottom" textRotation="0" wrapText="false" indent="0" shrinkToFit="false"/>
      <protection locked="true" hidden="false"/>
    </xf>
    <xf numFmtId="165" fontId="6" fillId="0" borderId="27" xfId="0" applyFont="true" applyBorder="true" applyAlignment="false" applyProtection="false">
      <alignment horizontal="general" vertical="bottom" textRotation="0" wrapText="false" indent="0" shrinkToFit="false"/>
      <protection locked="true" hidden="false"/>
    </xf>
    <xf numFmtId="172" fontId="0" fillId="0" borderId="28" xfId="0" applyFont="false" applyBorder="true" applyAlignment="false" applyProtection="false">
      <alignment horizontal="general" vertical="bottom" textRotation="0" wrapText="false" indent="0" shrinkToFit="false"/>
      <protection locked="true" hidden="false"/>
    </xf>
    <xf numFmtId="167" fontId="0" fillId="0" borderId="45" xfId="0" applyFont="false" applyBorder="true" applyAlignment="true" applyProtection="false">
      <alignment horizontal="center" vertical="bottom" textRotation="0" wrapText="false" indent="0" shrinkToFit="false"/>
      <protection locked="true" hidden="false"/>
    </xf>
    <xf numFmtId="172" fontId="0" fillId="0" borderId="45" xfId="0" applyFont="false" applyBorder="true" applyAlignment="true" applyProtection="false">
      <alignment horizontal="center" vertical="bottom" textRotation="0" wrapText="false" indent="0" shrinkToFit="false"/>
      <protection locked="true" hidden="false"/>
    </xf>
    <xf numFmtId="188" fontId="0" fillId="0" borderId="45" xfId="0" applyFont="false" applyBorder="true" applyAlignment="true" applyProtection="false">
      <alignment horizontal="center" vertical="bottom" textRotation="0" wrapText="false" indent="0" shrinkToFit="false"/>
      <protection locked="true" hidden="false"/>
    </xf>
    <xf numFmtId="165" fontId="6" fillId="0" borderId="39" xfId="0" applyFont="true" applyBorder="true" applyAlignment="false" applyProtection="false">
      <alignment horizontal="general" vertical="bottom" textRotation="0" wrapText="false" indent="0" shrinkToFit="false"/>
      <protection locked="true" hidden="false"/>
    </xf>
    <xf numFmtId="165" fontId="0" fillId="0" borderId="38" xfId="0" applyFont="false" applyBorder="true" applyAlignment="false" applyProtection="false">
      <alignment horizontal="general" vertical="bottom" textRotation="0" wrapText="false" indent="0" shrinkToFit="false"/>
      <protection locked="true" hidden="false"/>
    </xf>
    <xf numFmtId="172" fontId="0" fillId="0" borderId="40" xfId="0" applyFont="false" applyBorder="true" applyAlignment="false" applyProtection="false">
      <alignment horizontal="general" vertical="bottom" textRotation="0" wrapText="false" indent="0" shrinkToFit="false"/>
      <protection locked="true" hidden="false"/>
    </xf>
    <xf numFmtId="167" fontId="0" fillId="0" borderId="43" xfId="0" applyFont="false" applyBorder="true" applyAlignment="true" applyProtection="false">
      <alignment horizontal="center" vertical="bottom" textRotation="0" wrapText="false" indent="0" shrinkToFit="false"/>
      <protection locked="true" hidden="false"/>
    </xf>
    <xf numFmtId="172" fontId="0" fillId="0" borderId="43" xfId="0" applyFont="false" applyBorder="true" applyAlignment="true" applyProtection="false">
      <alignment horizontal="center" vertical="bottom" textRotation="0" wrapText="false" indent="0" shrinkToFit="false"/>
      <protection locked="true" hidden="false"/>
    </xf>
    <xf numFmtId="188" fontId="0" fillId="0" borderId="43" xfId="0" applyFont="false" applyBorder="true" applyAlignment="true" applyProtection="false">
      <alignment horizontal="center" vertical="bottom" textRotation="0" wrapText="false" indent="0" shrinkToFit="false"/>
      <protection locked="true" hidden="false"/>
    </xf>
    <xf numFmtId="165" fontId="0" fillId="0" borderId="21" xfId="0" applyFont="true" applyBorder="true" applyAlignment="true" applyProtection="false">
      <alignment horizontal="center" vertical="bottom" textRotation="0" wrapText="false" indent="0" shrinkToFit="false"/>
      <protection locked="true" hidden="false"/>
    </xf>
    <xf numFmtId="165" fontId="0" fillId="0" borderId="23" xfId="0" applyFont="true" applyBorder="true" applyAlignment="true" applyProtection="false">
      <alignment horizontal="center" vertical="bottom" textRotation="0" wrapText="false" indent="0" shrinkToFit="false"/>
      <protection locked="true" hidden="false"/>
    </xf>
    <xf numFmtId="165" fontId="0" fillId="0" borderId="28" xfId="0" applyFont="false" applyBorder="true" applyAlignment="true" applyProtection="false">
      <alignment horizontal="center" vertical="bottom" textRotation="0" wrapText="false" indent="0" shrinkToFit="false"/>
      <protection locked="true" hidden="false"/>
    </xf>
    <xf numFmtId="165" fontId="0" fillId="0" borderId="38" xfId="0" applyFont="false" applyBorder="true" applyAlignment="true" applyProtection="false">
      <alignment horizontal="center" vertical="bottom" textRotation="0" wrapText="false" indent="0" shrinkToFit="false"/>
      <protection locked="true" hidden="false"/>
    </xf>
    <xf numFmtId="165" fontId="0" fillId="0" borderId="40" xfId="0" applyFont="false" applyBorder="true" applyAlignment="true" applyProtection="false">
      <alignment horizontal="center" vertical="bottom" textRotation="0" wrapText="false" indent="0" shrinkToFit="false"/>
      <protection locked="true" hidden="false"/>
    </xf>
    <xf numFmtId="165" fontId="106" fillId="0" borderId="0" xfId="0" applyFont="true" applyBorder="false" applyAlignment="false" applyProtection="false">
      <alignment horizontal="general" vertical="bottom" textRotation="0" wrapText="false" indent="0" shrinkToFit="false"/>
      <protection locked="true" hidden="false"/>
    </xf>
    <xf numFmtId="165" fontId="107" fillId="0" borderId="0" xfId="0" applyFont="true" applyBorder="false" applyAlignment="false" applyProtection="false">
      <alignment horizontal="general" vertical="bottom" textRotation="0" wrapText="false" indent="0" shrinkToFit="false"/>
      <protection locked="true" hidden="false"/>
    </xf>
    <xf numFmtId="165" fontId="106" fillId="0" borderId="13" xfId="0" applyFont="true" applyBorder="true" applyAlignment="false" applyProtection="false">
      <alignment horizontal="general" vertical="bottom" textRotation="0" wrapText="false" indent="0" shrinkToFit="false"/>
      <protection locked="true" hidden="false"/>
    </xf>
    <xf numFmtId="165" fontId="106" fillId="0" borderId="14" xfId="0" applyFont="true" applyBorder="true" applyAlignment="true" applyProtection="false">
      <alignment horizontal="center" vertical="bottom" textRotation="0" wrapText="false" indent="0" shrinkToFit="false"/>
      <protection locked="true" hidden="false"/>
    </xf>
    <xf numFmtId="165" fontId="106" fillId="18" borderId="14" xfId="0" applyFont="true" applyBorder="true" applyAlignment="true" applyProtection="false">
      <alignment horizontal="center" vertical="bottom" textRotation="0" wrapText="false" indent="0" shrinkToFit="false"/>
      <protection locked="true" hidden="false"/>
    </xf>
    <xf numFmtId="171" fontId="25" fillId="0" borderId="63" xfId="0" applyFont="true" applyBorder="true" applyAlignment="true" applyProtection="false">
      <alignment horizontal="center" vertical="center" textRotation="0" wrapText="false" indent="0" shrinkToFit="false"/>
      <protection locked="true" hidden="false"/>
    </xf>
    <xf numFmtId="171" fontId="106" fillId="0" borderId="63" xfId="0" applyFont="true" applyBorder="true" applyAlignment="true" applyProtection="false">
      <alignment horizontal="center" vertical="center" textRotation="0" wrapText="false" indent="0" shrinkToFit="false"/>
      <protection locked="true" hidden="false"/>
    </xf>
    <xf numFmtId="165" fontId="106" fillId="0" borderId="52" xfId="0" applyFont="true" applyBorder="true" applyAlignment="true" applyProtection="false">
      <alignment horizontal="center" vertical="bottom" textRotation="0" wrapText="false" indent="0" shrinkToFit="false"/>
      <protection locked="true" hidden="false"/>
    </xf>
    <xf numFmtId="167" fontId="106" fillId="0" borderId="14" xfId="0" applyFont="true" applyBorder="true" applyAlignment="true" applyProtection="false">
      <alignment horizontal="center" vertical="bottom" textRotation="0" wrapText="false" indent="0" shrinkToFit="false"/>
      <protection locked="true" hidden="false"/>
    </xf>
    <xf numFmtId="164" fontId="25" fillId="0" borderId="19" xfId="0" applyFont="true" applyBorder="true" applyAlignment="true" applyProtection="false">
      <alignment horizontal="center" vertical="bottom" textRotation="0" wrapText="false" indent="0" shrinkToFit="false"/>
      <protection locked="true" hidden="false"/>
    </xf>
    <xf numFmtId="164" fontId="106" fillId="21" borderId="20" xfId="0" applyFont="true" applyBorder="true" applyAlignment="true" applyProtection="false">
      <alignment horizontal="center" vertical="center" textRotation="0" wrapText="false" indent="0" shrinkToFit="false"/>
      <protection locked="true" hidden="false"/>
    </xf>
    <xf numFmtId="165" fontId="106" fillId="0" borderId="44" xfId="0" applyFont="true" applyBorder="true" applyAlignment="false" applyProtection="false">
      <alignment horizontal="general" vertical="bottom" textRotation="0" wrapText="false" indent="0" shrinkToFit="false"/>
      <protection locked="true" hidden="false"/>
    </xf>
    <xf numFmtId="165" fontId="106" fillId="0" borderId="6" xfId="0" applyFont="true" applyBorder="true" applyAlignment="true" applyProtection="false">
      <alignment horizontal="center" vertical="bottom" textRotation="0" wrapText="false" indent="0" shrinkToFit="false"/>
      <protection locked="true" hidden="false"/>
    </xf>
    <xf numFmtId="165" fontId="106" fillId="18" borderId="6" xfId="0" applyFont="true" applyBorder="true" applyAlignment="true" applyProtection="false">
      <alignment horizontal="center" vertical="bottom" textRotation="0" wrapText="false" indent="0" shrinkToFit="false"/>
      <protection locked="true" hidden="false"/>
    </xf>
    <xf numFmtId="167" fontId="106" fillId="0" borderId="6" xfId="0" applyFont="true" applyBorder="true" applyAlignment="true" applyProtection="false">
      <alignment horizontal="center" vertical="bottom" textRotation="0" wrapText="false" indent="0" shrinkToFit="false"/>
      <protection locked="true" hidden="false"/>
    </xf>
    <xf numFmtId="164" fontId="25" fillId="0" borderId="26" xfId="0" applyFont="true" applyBorder="true" applyAlignment="true" applyProtection="false">
      <alignment horizontal="center" vertical="bottom" textRotation="0" wrapText="false" indent="0" shrinkToFit="false"/>
      <protection locked="true" hidden="false"/>
    </xf>
    <xf numFmtId="165" fontId="106" fillId="0" borderId="35" xfId="0" applyFont="true" applyBorder="true" applyAlignment="false" applyProtection="false">
      <alignment horizontal="general" vertical="bottom" textRotation="0" wrapText="false" indent="0" shrinkToFit="false"/>
      <protection locked="true" hidden="false"/>
    </xf>
    <xf numFmtId="165" fontId="106" fillId="0" borderId="31" xfId="0" applyFont="true" applyBorder="true" applyAlignment="true" applyProtection="false">
      <alignment horizontal="center" vertical="bottom" textRotation="0" wrapText="false" indent="0" shrinkToFit="false"/>
      <protection locked="true" hidden="false"/>
    </xf>
    <xf numFmtId="165" fontId="106" fillId="18" borderId="31" xfId="0" applyFont="true" applyBorder="true" applyAlignment="true" applyProtection="false">
      <alignment horizontal="center" vertical="bottom" textRotation="0" wrapText="false" indent="0" shrinkToFit="false"/>
      <protection locked="true" hidden="false"/>
    </xf>
    <xf numFmtId="167" fontId="106" fillId="0" borderId="31" xfId="0" applyFont="true" applyBorder="true" applyAlignment="true" applyProtection="false">
      <alignment horizontal="center" vertical="bottom" textRotation="0" wrapText="false" indent="0" shrinkToFit="false"/>
      <protection locked="true" hidden="false"/>
    </xf>
    <xf numFmtId="164" fontId="25" fillId="0" borderId="37" xfId="0" applyFont="true" applyBorder="true" applyAlignment="true" applyProtection="false">
      <alignment horizontal="center" vertical="bottom" textRotation="0" wrapText="false" indent="0" shrinkToFit="false"/>
      <protection locked="true" hidden="false"/>
    </xf>
    <xf numFmtId="165" fontId="106" fillId="2" borderId="6" xfId="0" applyFont="true" applyBorder="true" applyAlignment="true" applyProtection="false">
      <alignment horizontal="center" vertical="bottom" textRotation="0" wrapText="false" indent="0" shrinkToFit="false"/>
      <protection locked="true" hidden="false"/>
    </xf>
    <xf numFmtId="165" fontId="106" fillId="2" borderId="6" xfId="0" applyFont="true" applyBorder="true" applyAlignment="true" applyProtection="false">
      <alignment horizontal="center" vertical="bottom" textRotation="0" wrapText="true" indent="0" shrinkToFit="false"/>
      <protection locked="true" hidden="false"/>
    </xf>
    <xf numFmtId="165" fontId="106" fillId="9" borderId="6" xfId="0" applyFont="true" applyBorder="true" applyAlignment="true" applyProtection="false">
      <alignment horizontal="center" vertical="bottom" textRotation="0" wrapText="true" indent="0" shrinkToFit="false"/>
      <protection locked="true" hidden="false"/>
    </xf>
    <xf numFmtId="165" fontId="106" fillId="0" borderId="0" xfId="0" applyFont="true" applyBorder="false" applyAlignment="true" applyProtection="false">
      <alignment horizontal="center" vertical="bottom" textRotation="0" wrapText="false" indent="0" shrinkToFit="false"/>
      <protection locked="true" hidden="false"/>
    </xf>
    <xf numFmtId="165" fontId="106" fillId="0" borderId="22" xfId="0" applyFont="true" applyBorder="true" applyAlignment="false" applyProtection="false">
      <alignment horizontal="general" vertical="bottom" textRotation="0" wrapText="false" indent="0" shrinkToFit="false"/>
      <protection locked="true" hidden="false"/>
    </xf>
    <xf numFmtId="165" fontId="106" fillId="0" borderId="21" xfId="0" applyFont="true" applyBorder="true" applyAlignment="true" applyProtection="false">
      <alignment horizontal="center" vertical="bottom" textRotation="0" wrapText="false" indent="0" shrinkToFit="false"/>
      <protection locked="true" hidden="false"/>
    </xf>
    <xf numFmtId="165" fontId="106" fillId="0" borderId="23" xfId="0" applyFont="true" applyBorder="true" applyAlignment="true" applyProtection="false">
      <alignment horizontal="center" vertical="bottom" textRotation="0" wrapText="false" indent="0" shrinkToFit="false"/>
      <protection locked="true" hidden="false"/>
    </xf>
    <xf numFmtId="165" fontId="106" fillId="0" borderId="54" xfId="0" applyFont="true" applyBorder="true" applyAlignment="true" applyProtection="false">
      <alignment horizontal="center" vertical="bottom" textRotation="0" wrapText="false" indent="0" shrinkToFit="false"/>
      <protection locked="true" hidden="false"/>
    </xf>
    <xf numFmtId="165" fontId="106" fillId="0" borderId="27" xfId="0" applyFont="true" applyBorder="true" applyAlignment="false" applyProtection="false">
      <alignment horizontal="general" vertical="bottom" textRotation="0" wrapText="false" indent="0" shrinkToFit="false"/>
      <protection locked="true" hidden="false"/>
    </xf>
    <xf numFmtId="172" fontId="106" fillId="0" borderId="28" xfId="0" applyFont="true" applyBorder="true" applyAlignment="false" applyProtection="false">
      <alignment horizontal="general" vertical="bottom" textRotation="0" wrapText="false" indent="0" shrinkToFit="false"/>
      <protection locked="true" hidden="false"/>
    </xf>
    <xf numFmtId="167" fontId="106" fillId="0" borderId="45" xfId="0" applyFont="true" applyBorder="true" applyAlignment="true" applyProtection="false">
      <alignment horizontal="center" vertical="bottom" textRotation="0" wrapText="false" indent="0" shrinkToFit="false"/>
      <protection locked="true" hidden="false"/>
    </xf>
    <xf numFmtId="172" fontId="106" fillId="0" borderId="45" xfId="0" applyFont="true" applyBorder="true" applyAlignment="true" applyProtection="false">
      <alignment horizontal="center" vertical="bottom" textRotation="0" wrapText="false" indent="0" shrinkToFit="false"/>
      <protection locked="true" hidden="false"/>
    </xf>
    <xf numFmtId="188" fontId="106" fillId="0" borderId="45" xfId="0" applyFont="true" applyBorder="true" applyAlignment="true" applyProtection="false">
      <alignment horizontal="center" vertical="bottom" textRotation="0" wrapText="false" indent="0" shrinkToFit="false"/>
      <protection locked="true" hidden="false"/>
    </xf>
    <xf numFmtId="165" fontId="106" fillId="0" borderId="39" xfId="0" applyFont="true" applyBorder="true" applyAlignment="false" applyProtection="false">
      <alignment horizontal="general" vertical="bottom" textRotation="0" wrapText="false" indent="0" shrinkToFit="false"/>
      <protection locked="true" hidden="false"/>
    </xf>
    <xf numFmtId="165" fontId="106" fillId="0" borderId="38" xfId="0" applyFont="true" applyBorder="true" applyAlignment="false" applyProtection="false">
      <alignment horizontal="general" vertical="bottom" textRotation="0" wrapText="false" indent="0" shrinkToFit="false"/>
      <protection locked="true" hidden="false"/>
    </xf>
    <xf numFmtId="172" fontId="106" fillId="0" borderId="40" xfId="0" applyFont="true" applyBorder="true" applyAlignment="false" applyProtection="false">
      <alignment horizontal="general" vertical="bottom" textRotation="0" wrapText="false" indent="0" shrinkToFit="false"/>
      <protection locked="true" hidden="false"/>
    </xf>
    <xf numFmtId="167" fontId="106" fillId="0" borderId="43" xfId="0" applyFont="true" applyBorder="true" applyAlignment="true" applyProtection="false">
      <alignment horizontal="center" vertical="bottom" textRotation="0" wrapText="false" indent="0" shrinkToFit="false"/>
      <protection locked="true" hidden="false"/>
    </xf>
    <xf numFmtId="172" fontId="106" fillId="0" borderId="43" xfId="0" applyFont="true" applyBorder="true" applyAlignment="true" applyProtection="false">
      <alignment horizontal="center" vertical="bottom" textRotation="0" wrapText="false" indent="0" shrinkToFit="false"/>
      <protection locked="true" hidden="false"/>
    </xf>
    <xf numFmtId="188" fontId="106" fillId="0" borderId="43" xfId="0" applyFont="true" applyBorder="true" applyAlignment="true" applyProtection="false">
      <alignment horizontal="center" vertical="bottom" textRotation="0" wrapText="false" indent="0" shrinkToFit="false"/>
      <protection locked="true" hidden="false"/>
    </xf>
    <xf numFmtId="165" fontId="106" fillId="0" borderId="28" xfId="0" applyFont="true" applyBorder="true" applyAlignment="true" applyProtection="false">
      <alignment horizontal="center" vertical="bottom" textRotation="0" wrapText="false" indent="0" shrinkToFit="false"/>
      <protection locked="true" hidden="false"/>
    </xf>
    <xf numFmtId="165" fontId="106" fillId="0" borderId="38" xfId="0" applyFont="true" applyBorder="true" applyAlignment="true" applyProtection="false">
      <alignment horizontal="center" vertical="bottom" textRotation="0" wrapText="false" indent="0" shrinkToFit="false"/>
      <protection locked="true" hidden="false"/>
    </xf>
    <xf numFmtId="165" fontId="106" fillId="0" borderId="40" xfId="0" applyFont="true" applyBorder="true" applyAlignment="true" applyProtection="false">
      <alignment horizontal="center" vertical="bottom" textRotation="0" wrapText="false" indent="0" shrinkToFit="false"/>
      <protection locked="true" hidden="false"/>
    </xf>
    <xf numFmtId="165" fontId="106" fillId="0" borderId="22" xfId="0" applyFont="true" applyBorder="true" applyAlignment="true" applyProtection="false">
      <alignment horizontal="center" vertical="bottom" textRotation="0" wrapText="false" indent="0" shrinkToFit="false"/>
      <protection locked="true" hidden="false"/>
    </xf>
    <xf numFmtId="167" fontId="106" fillId="0" borderId="27" xfId="0" applyFont="true" applyBorder="true" applyAlignment="true" applyProtection="false">
      <alignment horizontal="center" vertical="bottom" textRotation="0" wrapText="false" indent="0" shrinkToFit="false"/>
      <protection locked="true" hidden="false"/>
    </xf>
    <xf numFmtId="172" fontId="106" fillId="0" borderId="27" xfId="0" applyFont="true" applyBorder="true" applyAlignment="true" applyProtection="false">
      <alignment horizontal="center" vertical="bottom" textRotation="0" wrapText="false" indent="0" shrinkToFit="false"/>
      <protection locked="true" hidden="false"/>
    </xf>
    <xf numFmtId="167" fontId="106" fillId="0" borderId="39" xfId="0" applyFont="true" applyBorder="true" applyAlignment="true" applyProtection="false">
      <alignment horizontal="center" vertical="bottom" textRotation="0" wrapText="false" indent="0" shrinkToFit="false"/>
      <protection locked="true" hidden="false"/>
    </xf>
    <xf numFmtId="172" fontId="106" fillId="0" borderId="39" xfId="0" applyFont="true" applyBorder="true" applyAlignment="true" applyProtection="false">
      <alignment horizontal="center" vertical="bottom" textRotation="0" wrapText="false" indent="0" shrinkToFit="false"/>
      <protection locked="true" hidden="false"/>
    </xf>
    <xf numFmtId="165" fontId="7" fillId="0" borderId="66" xfId="0" applyFont="true" applyBorder="true" applyAlignment="true" applyProtection="false">
      <alignment horizontal="center" vertical="bottom" textRotation="0" wrapText="false" indent="0" shrinkToFit="false"/>
      <protection locked="true" hidden="false"/>
    </xf>
    <xf numFmtId="165" fontId="9" fillId="0" borderId="11" xfId="0" applyFont="true" applyBorder="true" applyAlignment="false" applyProtection="false">
      <alignment horizontal="general" vertical="bottom" textRotation="0" wrapText="false" indent="0" shrinkToFit="false"/>
      <protection locked="true" hidden="false"/>
    </xf>
    <xf numFmtId="165" fontId="9" fillId="0" borderId="6" xfId="0" applyFont="true" applyBorder="true" applyAlignment="false" applyProtection="false">
      <alignment horizontal="general" vertical="bottom" textRotation="0" wrapText="false" indent="0" shrinkToFit="false"/>
      <protection locked="true" hidden="false"/>
    </xf>
    <xf numFmtId="165" fontId="108" fillId="0" borderId="6" xfId="0" applyFont="true" applyBorder="true" applyAlignment="true" applyProtection="false">
      <alignment horizontal="center" vertical="bottom" textRotation="0" wrapText="false" indent="0" shrinkToFit="false"/>
      <protection locked="true" hidden="false"/>
    </xf>
    <xf numFmtId="165" fontId="9" fillId="0" borderId="6" xfId="0" applyFont="true" applyBorder="true" applyAlignment="true" applyProtection="false">
      <alignment horizontal="center" vertical="center" textRotation="0" wrapText="false" indent="0" shrinkToFit="false"/>
      <protection locked="true" hidden="false"/>
    </xf>
    <xf numFmtId="165" fontId="109" fillId="15" borderId="16" xfId="0" applyFont="true" applyBorder="true" applyAlignment="true" applyProtection="false">
      <alignment horizontal="center" vertical="bottom" textRotation="0" wrapText="false" indent="0" shrinkToFit="false"/>
      <protection locked="true" hidden="false"/>
    </xf>
    <xf numFmtId="167" fontId="7" fillId="0" borderId="10" xfId="0" applyFont="true" applyBorder="true" applyAlignment="true" applyProtection="false">
      <alignment horizontal="center" vertical="bottom" textRotation="0" wrapText="false" indent="0" shrinkToFit="false"/>
      <protection locked="true" hidden="false"/>
    </xf>
    <xf numFmtId="173" fontId="110" fillId="0" borderId="6" xfId="0" applyFont="true" applyBorder="true" applyAlignment="true" applyProtection="false">
      <alignment horizontal="center" vertical="bottom" textRotation="0" wrapText="false" indent="0" shrinkToFit="false"/>
      <protection locked="true" hidden="false"/>
    </xf>
    <xf numFmtId="173" fontId="7" fillId="0" borderId="6" xfId="0" applyFont="true" applyBorder="true" applyAlignment="true" applyProtection="false">
      <alignment horizontal="center" vertical="bottom" textRotation="0" wrapText="false" indent="0" shrinkToFit="false"/>
      <protection locked="true" hidden="false"/>
    </xf>
    <xf numFmtId="165" fontId="109" fillId="0" borderId="25" xfId="0" applyFont="true" applyBorder="true" applyAlignment="true" applyProtection="false">
      <alignment horizontal="center" vertical="bottom" textRotation="0" wrapText="true" indent="0" shrinkToFit="false"/>
      <protection locked="true" hidden="false"/>
    </xf>
    <xf numFmtId="174" fontId="7" fillId="0" borderId="6" xfId="0" applyFont="true" applyBorder="true" applyAlignment="true" applyProtection="false">
      <alignment horizontal="center" vertical="bottom" textRotation="0" wrapText="false" indent="0" shrinkToFit="false"/>
      <protection locked="true" hidden="false"/>
    </xf>
    <xf numFmtId="165" fontId="109" fillId="15" borderId="25" xfId="0" applyFont="true" applyBorder="true" applyAlignment="true" applyProtection="false">
      <alignment horizontal="center" vertical="bottom" textRotation="0" wrapText="false" indent="0" shrinkToFit="false"/>
      <protection locked="true" hidden="false"/>
    </xf>
    <xf numFmtId="165" fontId="9" fillId="15" borderId="26" xfId="0" applyFont="true" applyBorder="true" applyAlignment="true" applyProtection="false">
      <alignment horizontal="center" vertical="bottom" textRotation="0" wrapText="false" indent="0" shrinkToFit="false"/>
      <protection locked="true" hidden="false"/>
    </xf>
    <xf numFmtId="173" fontId="7" fillId="15" borderId="6" xfId="0" applyFont="true" applyBorder="true" applyAlignment="true" applyProtection="false">
      <alignment horizontal="center" vertical="bottom" textRotation="0" wrapText="false" indent="0" shrinkToFit="false"/>
      <protection locked="true" hidden="false"/>
    </xf>
    <xf numFmtId="165" fontId="109" fillId="15" borderId="36" xfId="0" applyFont="true" applyBorder="true" applyAlignment="true" applyProtection="false">
      <alignment horizontal="center" vertical="bottom" textRotation="0" wrapText="false" indent="0" shrinkToFit="false"/>
      <protection locked="true" hidden="false"/>
    </xf>
    <xf numFmtId="165" fontId="9" fillId="15" borderId="6" xfId="0" applyFont="true" applyBorder="true" applyAlignment="true" applyProtection="false">
      <alignment horizontal="center" vertical="bottom" textRotation="0" wrapText="false" indent="0" shrinkToFit="false"/>
      <protection locked="true" hidden="false"/>
    </xf>
    <xf numFmtId="165" fontId="109" fillId="0" borderId="6" xfId="0" applyFont="true" applyBorder="true" applyAlignment="true" applyProtection="false">
      <alignment horizontal="center" vertical="bottom" textRotation="0" wrapText="false" indent="0" shrinkToFit="false"/>
      <protection locked="true" hidden="false"/>
    </xf>
    <xf numFmtId="179" fontId="7" fillId="15" borderId="0" xfId="0" applyFont="true" applyBorder="false" applyAlignment="false" applyProtection="false">
      <alignment horizontal="general" vertical="bottom" textRotation="0" wrapText="false" indent="0" shrinkToFit="false"/>
      <protection locked="true" hidden="false"/>
    </xf>
    <xf numFmtId="165" fontId="7" fillId="15" borderId="0" xfId="0" applyFont="true" applyBorder="false" applyAlignment="false" applyProtection="false">
      <alignment horizontal="general" vertical="bottom" textRotation="0" wrapText="false" indent="0" shrinkToFit="false"/>
      <protection locked="true" hidden="false"/>
    </xf>
    <xf numFmtId="165" fontId="111" fillId="0" borderId="0" xfId="0" applyFont="true" applyBorder="false" applyAlignment="false" applyProtection="false">
      <alignment horizontal="general" vertical="bottom" textRotation="0" wrapText="false" indent="0" shrinkToFit="false"/>
      <protection locked="true" hidden="false"/>
    </xf>
    <xf numFmtId="173" fontId="7" fillId="0" borderId="9" xfId="0" applyFont="true" applyBorder="true" applyAlignment="true" applyProtection="false">
      <alignment horizontal="center" vertical="bottom" textRotation="0" wrapText="false" indent="0" shrinkToFit="false"/>
      <protection locked="true" hidden="false"/>
    </xf>
    <xf numFmtId="173" fontId="112" fillId="0" borderId="0" xfId="0" applyFont="true" applyBorder="true" applyAlignment="true" applyProtection="false">
      <alignment horizontal="center" vertical="center" textRotation="0" wrapText="true" indent="0" shrinkToFit="false"/>
      <protection locked="true" hidden="false"/>
    </xf>
    <xf numFmtId="165" fontId="109" fillId="15" borderId="26" xfId="0" applyFont="true" applyBorder="true" applyAlignment="true" applyProtection="false">
      <alignment horizontal="center" vertical="bottom" textRotation="0" wrapText="false" indent="0" shrinkToFit="false"/>
      <protection locked="true" hidden="false"/>
    </xf>
    <xf numFmtId="179" fontId="7" fillId="0" borderId="0" xfId="0" applyFont="true" applyBorder="false" applyAlignment="true" applyProtection="false">
      <alignment horizontal="center" vertical="bottom" textRotation="0" wrapText="false" indent="0" shrinkToFit="false"/>
      <protection locked="true" hidden="false"/>
    </xf>
    <xf numFmtId="165" fontId="7" fillId="0" borderId="6" xfId="0" applyFont="true" applyBorder="true" applyAlignment="true" applyProtection="false">
      <alignment horizontal="right" vertical="bottom" textRotation="0" wrapText="false" indent="0" shrinkToFit="false"/>
      <protection locked="true" hidden="false"/>
    </xf>
    <xf numFmtId="173" fontId="7" fillId="0" borderId="11" xfId="0" applyFont="true" applyBorder="true" applyAlignment="true" applyProtection="false">
      <alignment horizontal="center" vertical="bottom" textRotation="0" wrapText="false" indent="0" shrinkToFit="false"/>
      <protection locked="true" hidden="false"/>
    </xf>
    <xf numFmtId="173" fontId="7" fillId="0" borderId="48" xfId="0" applyFont="true" applyBorder="true" applyAlignment="true" applyProtection="false">
      <alignment horizontal="center" vertical="bottom" textRotation="0" wrapText="false" indent="0" shrinkToFit="false"/>
      <protection locked="true" hidden="false"/>
    </xf>
    <xf numFmtId="173" fontId="7" fillId="0" borderId="7" xfId="0" applyFont="true" applyBorder="true" applyAlignment="true" applyProtection="false">
      <alignment horizontal="center" vertical="bottom" textRotation="0" wrapText="false" indent="0" shrinkToFit="false"/>
      <protection locked="true" hidden="false"/>
    </xf>
    <xf numFmtId="173" fontId="9" fillId="0" borderId="6" xfId="0" applyFont="true" applyBorder="true" applyAlignment="true" applyProtection="false">
      <alignment horizontal="center" vertical="bottom" textRotation="0" wrapText="false" indent="0" shrinkToFit="false"/>
      <protection locked="true" hidden="false"/>
    </xf>
    <xf numFmtId="165" fontId="9" fillId="0" borderId="6" xfId="0" applyFont="true" applyBorder="true" applyAlignment="true" applyProtection="false">
      <alignment horizontal="center" vertical="bottom" textRotation="0" wrapText="true" indent="0" shrinkToFit="false"/>
      <protection locked="true" hidden="false"/>
    </xf>
    <xf numFmtId="165" fontId="5" fillId="18" borderId="0" xfId="95" applyFont="false" applyBorder="false" applyAlignment="false" applyProtection="false">
      <alignment horizontal="general" vertical="bottom" textRotation="0" wrapText="false" indent="0" shrinkToFit="false"/>
      <protection locked="true" hidden="false"/>
    </xf>
    <xf numFmtId="165" fontId="5" fillId="18" borderId="0" xfId="95" applyFont="false" applyBorder="false" applyAlignment="true" applyProtection="false">
      <alignment horizontal="left" vertical="bottom" textRotation="0" wrapText="false" indent="0" shrinkToFit="false"/>
      <protection locked="true" hidden="false"/>
    </xf>
    <xf numFmtId="165" fontId="5" fillId="25" borderId="0" xfId="95" applyFont="false" applyBorder="false" applyAlignment="false" applyProtection="false">
      <alignment horizontal="general" vertical="bottom" textRotation="0" wrapText="false" indent="0" shrinkToFit="false"/>
      <protection locked="true" hidden="false"/>
    </xf>
    <xf numFmtId="165" fontId="5" fillId="0" borderId="0" xfId="95" applyFont="false" applyBorder="false" applyAlignment="false" applyProtection="false">
      <alignment horizontal="general" vertical="bottom" textRotation="0" wrapText="false" indent="0" shrinkToFit="false"/>
      <protection locked="true" hidden="false"/>
    </xf>
    <xf numFmtId="165" fontId="5" fillId="18" borderId="0" xfId="95" applyFont="true" applyBorder="false" applyAlignment="false" applyProtection="false">
      <alignment horizontal="general" vertical="bottom" textRotation="0" wrapText="false" indent="0" shrinkToFit="false"/>
      <protection locked="true" hidden="false"/>
    </xf>
    <xf numFmtId="165" fontId="5" fillId="25" borderId="0" xfId="95" applyFont="true" applyBorder="false" applyAlignment="false" applyProtection="false">
      <alignment horizontal="general" vertical="bottom" textRotation="0" wrapText="false" indent="0" shrinkToFit="false"/>
      <protection locked="true" hidden="false"/>
    </xf>
    <xf numFmtId="165" fontId="0" fillId="44" borderId="6" xfId="0" applyFont="true" applyBorder="true" applyAlignment="true" applyProtection="false">
      <alignment horizontal="left" vertical="bottom" textRotation="0" wrapText="false" indent="0" shrinkToFit="false"/>
      <protection locked="true" hidden="false"/>
    </xf>
    <xf numFmtId="165" fontId="0" fillId="44" borderId="6" xfId="0" applyFont="true" applyBorder="true" applyAlignment="true" applyProtection="false">
      <alignment horizontal="center" vertical="bottom" textRotation="0" wrapText="false" indent="0" shrinkToFit="false"/>
      <protection locked="true" hidden="false"/>
    </xf>
    <xf numFmtId="189" fontId="0" fillId="0" borderId="6" xfId="0" applyFont="false" applyBorder="true" applyAlignment="true" applyProtection="false">
      <alignment horizontal="left" vertical="bottom" textRotation="0" wrapText="false" indent="0" shrinkToFit="false"/>
      <protection locked="true" hidden="false"/>
    </xf>
    <xf numFmtId="165" fontId="0" fillId="0" borderId="6" xfId="0" applyFont="true" applyBorder="true" applyAlignment="true" applyProtection="false">
      <alignment horizontal="left" vertical="bottom" textRotation="0" wrapText="false" indent="0" shrinkToFit="false"/>
      <protection locked="true" hidden="false"/>
    </xf>
    <xf numFmtId="189" fontId="0" fillId="0" borderId="11" xfId="0" applyFont="false" applyBorder="true" applyAlignment="true" applyProtection="false">
      <alignment horizontal="left" vertical="bottom" textRotation="0" wrapText="false" indent="0" shrinkToFit="false"/>
      <protection locked="true" hidden="false"/>
    </xf>
    <xf numFmtId="165" fontId="0" fillId="0" borderId="11" xfId="0" applyFont="true" applyBorder="true" applyAlignment="true" applyProtection="false">
      <alignment horizontal="left" vertical="bottom" textRotation="0" wrapText="false" indent="0" shrinkToFit="false"/>
      <protection locked="true" hidden="false"/>
    </xf>
    <xf numFmtId="165" fontId="0" fillId="0" borderId="11" xfId="0" applyFont="true" applyBorder="true" applyAlignment="false" applyProtection="false">
      <alignment horizontal="general" vertical="bottom" textRotation="0" wrapText="false" indent="0" shrinkToFit="false"/>
      <protection locked="true" hidden="false"/>
    </xf>
    <xf numFmtId="165" fontId="28" fillId="15" borderId="20" xfId="0" applyFont="true" applyBorder="true" applyAlignment="true" applyProtection="false">
      <alignment horizontal="center" vertical="bottom" textRotation="0" wrapText="false" indent="0" shrinkToFit="false"/>
      <protection locked="true" hidden="false"/>
    </xf>
    <xf numFmtId="165" fontId="113" fillId="45" borderId="54" xfId="0" applyFont="true" applyBorder="true" applyAlignment="true" applyProtection="false">
      <alignment horizontal="center" vertical="bottom" textRotation="0" wrapText="false" indent="0" shrinkToFit="false"/>
      <protection locked="true" hidden="false"/>
    </xf>
    <xf numFmtId="165" fontId="21" fillId="15" borderId="20" xfId="0" applyFont="true" applyBorder="true" applyAlignment="true" applyProtection="false">
      <alignment horizontal="center" vertical="center" textRotation="0" wrapText="false" indent="0" shrinkToFit="false"/>
      <protection locked="true" hidden="false"/>
    </xf>
    <xf numFmtId="165" fontId="113" fillId="45" borderId="20" xfId="0" applyFont="true" applyBorder="true" applyAlignment="true" applyProtection="false">
      <alignment horizontal="center" vertical="center" textRotation="0" wrapText="false" indent="0" shrinkToFit="false"/>
      <protection locked="true" hidden="false"/>
    </xf>
    <xf numFmtId="165" fontId="113" fillId="45" borderId="43" xfId="0" applyFont="true" applyBorder="true" applyAlignment="true" applyProtection="false">
      <alignment horizontal="center" vertical="center" textRotation="0" wrapText="false" indent="0" shrinkToFit="false"/>
      <protection locked="true" hidden="false"/>
    </xf>
    <xf numFmtId="165" fontId="28" fillId="39" borderId="20" xfId="0" applyFont="true" applyBorder="true" applyAlignment="true" applyProtection="false">
      <alignment horizontal="center" vertical="center" textRotation="0" wrapText="false" indent="0" shrinkToFit="false"/>
      <protection locked="true" hidden="false"/>
    </xf>
    <xf numFmtId="165" fontId="28" fillId="0" borderId="0" xfId="0" applyFont="true" applyBorder="false" applyAlignment="true" applyProtection="false">
      <alignment horizontal="general" vertical="center" textRotation="0" wrapText="false" indent="0" shrinkToFit="false"/>
      <protection locked="true" hidden="false"/>
    </xf>
    <xf numFmtId="165" fontId="21" fillId="39" borderId="11" xfId="0" applyFont="true" applyBorder="true" applyAlignment="true" applyProtection="false">
      <alignment horizontal="center" vertical="center" textRotation="0" wrapText="true" indent="0" shrinkToFit="false"/>
      <protection locked="true" hidden="false"/>
    </xf>
    <xf numFmtId="165" fontId="21" fillId="0" borderId="0" xfId="0" applyFont="true" applyBorder="false" applyAlignment="true" applyProtection="false">
      <alignment horizontal="center" vertical="center" textRotation="0" wrapText="true" indent="0" shrinkToFit="false"/>
      <protection locked="true" hidden="false"/>
    </xf>
    <xf numFmtId="165" fontId="28" fillId="13" borderId="67" xfId="0" applyFont="true" applyBorder="true" applyAlignment="true" applyProtection="false">
      <alignment horizontal="center" vertical="center" textRotation="0" wrapText="true" indent="0" shrinkToFit="false"/>
      <protection locked="true" hidden="false"/>
    </xf>
    <xf numFmtId="165" fontId="28" fillId="13" borderId="70" xfId="0" applyFont="true" applyBorder="true" applyAlignment="true" applyProtection="false">
      <alignment horizontal="center" vertical="center" textRotation="0" wrapText="false" indent="0" shrinkToFit="false"/>
      <protection locked="true" hidden="false"/>
    </xf>
    <xf numFmtId="165" fontId="0" fillId="39" borderId="7" xfId="0" applyFont="false" applyBorder="true" applyAlignment="true" applyProtection="false">
      <alignment horizontal="center" vertical="center" textRotation="0" wrapText="false" indent="0" shrinkToFit="false"/>
      <protection locked="true" hidden="false"/>
    </xf>
    <xf numFmtId="165" fontId="28" fillId="39" borderId="7" xfId="0" applyFont="true" applyBorder="true" applyAlignment="true" applyProtection="false">
      <alignment horizontal="center" vertical="center" textRotation="0" wrapText="false" indent="0" shrinkToFit="false"/>
      <protection locked="true" hidden="false"/>
    </xf>
    <xf numFmtId="165" fontId="28" fillId="39" borderId="41" xfId="0" applyFont="true" applyBorder="true" applyAlignment="true" applyProtection="false">
      <alignment horizontal="center" vertical="center" textRotation="0" wrapText="false" indent="0" shrinkToFit="false"/>
      <protection locked="true" hidden="false"/>
    </xf>
    <xf numFmtId="165" fontId="28" fillId="39" borderId="59" xfId="0" applyFont="true" applyBorder="true" applyAlignment="true" applyProtection="false">
      <alignment horizontal="center" vertical="bottom" textRotation="0" wrapText="false" indent="0" shrinkToFit="false"/>
      <protection locked="true" hidden="false"/>
    </xf>
    <xf numFmtId="165" fontId="28" fillId="39" borderId="7" xfId="0" applyFont="true" applyBorder="true" applyAlignment="true" applyProtection="false">
      <alignment horizontal="center" vertical="bottom" textRotation="0" wrapText="false" indent="0" shrinkToFit="false"/>
      <protection locked="true" hidden="false"/>
    </xf>
    <xf numFmtId="164" fontId="45" fillId="0" borderId="0" xfId="0" applyFont="true" applyBorder="false" applyAlignment="true" applyProtection="false">
      <alignment horizontal="center" vertical="bottom" textRotation="0" wrapText="false" indent="0" shrinkToFit="false"/>
      <protection locked="true" hidden="false"/>
    </xf>
    <xf numFmtId="165" fontId="114" fillId="46" borderId="7" xfId="0" applyFont="true" applyBorder="true" applyAlignment="true" applyProtection="false">
      <alignment horizontal="center" vertical="bottom" textRotation="0" wrapText="false" indent="0" shrinkToFit="false"/>
      <protection locked="true" hidden="false"/>
    </xf>
    <xf numFmtId="165" fontId="5" fillId="0" borderId="13" xfId="0" applyFont="true" applyBorder="true" applyAlignment="false" applyProtection="false">
      <alignment horizontal="general" vertical="bottom" textRotation="0" wrapText="false" indent="0" shrinkToFit="false"/>
      <protection locked="true" hidden="false"/>
    </xf>
    <xf numFmtId="165" fontId="5" fillId="0" borderId="68" xfId="0" applyFont="true" applyBorder="true" applyAlignment="false" applyProtection="false">
      <alignment horizontal="general" vertical="bottom" textRotation="0" wrapText="false" indent="0" shrinkToFit="false"/>
      <protection locked="true" hidden="false"/>
    </xf>
    <xf numFmtId="165" fontId="0" fillId="0" borderId="13" xfId="0" applyFont="true" applyBorder="true" applyAlignment="false" applyProtection="false">
      <alignment horizontal="general" vertical="bottom" textRotation="0" wrapText="false" indent="0" shrinkToFit="false"/>
      <protection locked="true" hidden="false"/>
    </xf>
    <xf numFmtId="165" fontId="0" fillId="0" borderId="19" xfId="0" applyFont="false" applyBorder="true" applyAlignment="true" applyProtection="false">
      <alignment horizontal="center" vertical="center" textRotation="0" wrapText="false" indent="0" shrinkToFit="false"/>
      <protection locked="true" hidden="false"/>
    </xf>
    <xf numFmtId="165" fontId="28" fillId="39" borderId="6" xfId="0" applyFont="true" applyBorder="true" applyAlignment="true" applyProtection="false">
      <alignment horizontal="center" vertical="center" textRotation="0" wrapText="false" indent="0" shrinkToFit="false"/>
      <protection locked="true" hidden="false"/>
    </xf>
    <xf numFmtId="167" fontId="0" fillId="39" borderId="6" xfId="0" applyFont="false" applyBorder="true" applyAlignment="true" applyProtection="false">
      <alignment horizontal="center" vertical="center" textRotation="0" wrapText="false" indent="0" shrinkToFit="false"/>
      <protection locked="true" hidden="false"/>
    </xf>
    <xf numFmtId="167" fontId="0" fillId="39" borderId="9" xfId="0" applyFont="false" applyBorder="true" applyAlignment="true" applyProtection="false">
      <alignment horizontal="center" vertical="center" textRotation="0" wrapText="false" indent="0" shrinkToFit="false"/>
      <protection locked="true" hidden="false"/>
    </xf>
    <xf numFmtId="167" fontId="0" fillId="39" borderId="41" xfId="0" applyFont="false" applyBorder="true" applyAlignment="true" applyProtection="false">
      <alignment horizontal="center" vertical="center" textRotation="0" wrapText="false" indent="0" shrinkToFit="false"/>
      <protection locked="true" hidden="false"/>
    </xf>
    <xf numFmtId="167" fontId="0" fillId="39" borderId="6" xfId="0" applyFont="false" applyBorder="true" applyAlignment="true" applyProtection="false">
      <alignment horizontal="center" vertical="bottom" textRotation="0" wrapText="false" indent="0" shrinkToFit="false"/>
      <protection locked="true" hidden="false"/>
    </xf>
    <xf numFmtId="165" fontId="0" fillId="31" borderId="7" xfId="0" applyFont="true" applyBorder="true" applyAlignment="false" applyProtection="false">
      <alignment horizontal="general" vertical="bottom" textRotation="0" wrapText="false" indent="0" shrinkToFit="false"/>
      <protection locked="true" hidden="false"/>
    </xf>
    <xf numFmtId="165" fontId="115" fillId="0" borderId="0" xfId="0" applyFont="true" applyBorder="false" applyAlignment="true" applyProtection="false">
      <alignment horizontal="center" vertical="bottom" textRotation="0" wrapText="false" indent="0" shrinkToFit="false"/>
      <protection locked="true" hidden="false"/>
    </xf>
    <xf numFmtId="164" fontId="4" fillId="4" borderId="6" xfId="0" applyFont="true" applyBorder="true" applyAlignment="true" applyProtection="false">
      <alignment horizontal="center" vertical="bottom" textRotation="0" wrapText="false" indent="0" shrinkToFit="false"/>
      <protection locked="true" hidden="false"/>
    </xf>
    <xf numFmtId="165" fontId="4" fillId="47" borderId="6" xfId="0" applyFont="true" applyBorder="true" applyAlignment="true" applyProtection="false">
      <alignment horizontal="center" vertical="bottom" textRotation="0" wrapText="false" indent="0" shrinkToFit="false"/>
      <protection locked="true" hidden="false"/>
    </xf>
    <xf numFmtId="165" fontId="5" fillId="0" borderId="24" xfId="0" applyFont="true" applyBorder="true" applyAlignment="false" applyProtection="false">
      <alignment horizontal="general" vertical="bottom" textRotation="0" wrapText="false" indent="0" shrinkToFit="false"/>
      <protection locked="true" hidden="false"/>
    </xf>
    <xf numFmtId="165" fontId="5" fillId="0" borderId="69" xfId="0" applyFont="true" applyBorder="true" applyAlignment="false" applyProtection="false">
      <alignment horizontal="general" vertical="bottom" textRotation="0" wrapText="false" indent="0" shrinkToFit="false"/>
      <protection locked="true" hidden="false"/>
    </xf>
    <xf numFmtId="165" fontId="0" fillId="0" borderId="26" xfId="0" applyFont="false" applyBorder="true" applyAlignment="true" applyProtection="false">
      <alignment horizontal="center" vertical="center" textRotation="0" wrapText="false" indent="0" shrinkToFit="false"/>
      <protection locked="true" hidden="false"/>
    </xf>
    <xf numFmtId="171" fontId="0" fillId="39" borderId="6" xfId="0" applyFont="false" applyBorder="true" applyAlignment="true" applyProtection="false">
      <alignment horizontal="center" vertical="center" textRotation="0" wrapText="false" indent="0" shrinkToFit="false"/>
      <protection locked="true" hidden="false"/>
    </xf>
    <xf numFmtId="190" fontId="0" fillId="39" borderId="6" xfId="0" applyFont="false" applyBorder="true" applyAlignment="true" applyProtection="false">
      <alignment horizontal="center" vertical="center" textRotation="0" wrapText="false" indent="0" shrinkToFit="false"/>
      <protection locked="true" hidden="false"/>
    </xf>
    <xf numFmtId="165" fontId="116" fillId="0" borderId="0" xfId="0" applyFont="true" applyBorder="false" applyAlignment="true" applyProtection="false">
      <alignment horizontal="center" vertical="center" textRotation="0" wrapText="false" indent="0" shrinkToFit="false"/>
      <protection locked="true" hidden="false"/>
    </xf>
    <xf numFmtId="164" fontId="4" fillId="5" borderId="6" xfId="0" applyFont="true" applyBorder="true" applyAlignment="true" applyProtection="false">
      <alignment horizontal="center" vertical="bottom" textRotation="0" wrapText="false" indent="0" shrinkToFit="false"/>
      <protection locked="true" hidden="false"/>
    </xf>
    <xf numFmtId="164" fontId="117" fillId="6" borderId="6" xfId="0" applyFont="true" applyBorder="true" applyAlignment="true" applyProtection="false">
      <alignment horizontal="center" vertical="bottom" textRotation="0" wrapText="false" indent="0" shrinkToFit="false"/>
      <protection locked="true" hidden="false"/>
    </xf>
    <xf numFmtId="165" fontId="5" fillId="48" borderId="29" xfId="0" applyFont="true" applyBorder="true" applyAlignment="false" applyProtection="false">
      <alignment horizontal="general" vertical="bottom" textRotation="0" wrapText="false" indent="0" shrinkToFit="false"/>
      <protection locked="true" hidden="false"/>
    </xf>
    <xf numFmtId="165" fontId="5" fillId="48" borderId="28" xfId="0" applyFont="true" applyBorder="true" applyAlignment="false" applyProtection="false">
      <alignment horizontal="general" vertical="bottom" textRotation="0" wrapText="false" indent="0" shrinkToFit="false"/>
      <protection locked="true" hidden="false"/>
    </xf>
    <xf numFmtId="165" fontId="0" fillId="35" borderId="30" xfId="0" applyFont="true" applyBorder="true" applyAlignment="false" applyProtection="false">
      <alignment horizontal="general" vertical="bottom" textRotation="0" wrapText="false" indent="0" shrinkToFit="false"/>
      <protection locked="true" hidden="false"/>
    </xf>
    <xf numFmtId="172" fontId="0" fillId="35" borderId="47"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17" fillId="7" borderId="6" xfId="0" applyFont="true" applyBorder="true" applyAlignment="true" applyProtection="false">
      <alignment horizontal="center" vertical="bottom" textRotation="0" wrapText="false" indent="0" shrinkToFit="false"/>
      <protection locked="true" hidden="false"/>
    </xf>
    <xf numFmtId="165" fontId="5" fillId="15" borderId="44" xfId="0" applyFont="true" applyBorder="true" applyAlignment="false" applyProtection="false">
      <alignment horizontal="general" vertical="bottom" textRotation="0" wrapText="false" indent="0" shrinkToFit="false"/>
      <protection locked="true" hidden="false"/>
    </xf>
    <xf numFmtId="165" fontId="5" fillId="15" borderId="71" xfId="0" applyFont="true" applyBorder="true" applyAlignment="false" applyProtection="false">
      <alignment horizontal="general" vertical="bottom" textRotation="0" wrapText="false" indent="0" shrinkToFit="false"/>
      <protection locked="true" hidden="false"/>
    </xf>
    <xf numFmtId="165" fontId="0" fillId="15" borderId="44" xfId="0" applyFont="true" applyBorder="true" applyAlignment="false" applyProtection="false">
      <alignment horizontal="general" vertical="bottom" textRotation="0" wrapText="false" indent="0" shrinkToFit="false"/>
      <protection locked="true" hidden="false"/>
    </xf>
    <xf numFmtId="165" fontId="0" fillId="15" borderId="26" xfId="0" applyFont="false" applyBorder="true" applyAlignment="true" applyProtection="false">
      <alignment horizontal="center" vertical="center" textRotation="0" wrapText="false" indent="0" shrinkToFit="false"/>
      <protection locked="true" hidden="false"/>
    </xf>
    <xf numFmtId="172" fontId="0" fillId="39" borderId="6" xfId="0" applyFont="false" applyBorder="true" applyAlignment="true" applyProtection="false">
      <alignment horizontal="center" vertical="bottom" textRotation="0" wrapText="false" indent="0" shrinkToFit="false"/>
      <protection locked="true" hidden="false"/>
    </xf>
    <xf numFmtId="164" fontId="39" fillId="15" borderId="6" xfId="0" applyFont="true" applyBorder="true" applyAlignment="true" applyProtection="false">
      <alignment horizontal="center" vertical="bottom" textRotation="0" wrapText="false" indent="0" shrinkToFit="false"/>
      <protection locked="true" hidden="false"/>
    </xf>
    <xf numFmtId="165" fontId="5" fillId="15" borderId="49" xfId="0" applyFont="true" applyBorder="true" applyAlignment="false" applyProtection="false">
      <alignment horizontal="general" vertical="bottom" textRotation="0" wrapText="false" indent="0" shrinkToFit="false"/>
      <protection locked="true" hidden="false"/>
    </xf>
    <xf numFmtId="165" fontId="5" fillId="15" borderId="40" xfId="0" applyFont="true" applyBorder="true" applyAlignment="false" applyProtection="false">
      <alignment horizontal="general" vertical="bottom" textRotation="0" wrapText="false" indent="0" shrinkToFit="false"/>
      <protection locked="true" hidden="false"/>
    </xf>
    <xf numFmtId="165" fontId="0" fillId="15" borderId="35" xfId="0" applyFont="true" applyBorder="true" applyAlignment="false" applyProtection="false">
      <alignment horizontal="general" vertical="bottom" textRotation="0" wrapText="false" indent="0" shrinkToFit="false"/>
      <protection locked="true" hidden="false"/>
    </xf>
    <xf numFmtId="172" fontId="0" fillId="15" borderId="37" xfId="0" applyFont="false" applyBorder="true" applyAlignment="true" applyProtection="false">
      <alignment horizontal="center" vertical="bottom" textRotation="0" wrapText="false" indent="0" shrinkToFit="false"/>
      <protection locked="true" hidden="false"/>
    </xf>
    <xf numFmtId="165" fontId="0" fillId="35" borderId="35" xfId="0" applyFont="true" applyBorder="true" applyAlignment="false" applyProtection="false">
      <alignment horizontal="general" vertical="bottom" textRotation="0" wrapText="false" indent="0" shrinkToFit="false"/>
      <protection locked="true" hidden="false"/>
    </xf>
    <xf numFmtId="172" fontId="0" fillId="35" borderId="37" xfId="0" applyFont="false" applyBorder="true" applyAlignment="true" applyProtection="false">
      <alignment horizontal="center" vertical="bottom" textRotation="0" wrapText="false" indent="0" shrinkToFit="false"/>
      <protection locked="true" hidden="false"/>
    </xf>
    <xf numFmtId="165" fontId="28" fillId="13" borderId="72" xfId="0" applyFont="true" applyBorder="true" applyAlignment="true" applyProtection="false">
      <alignment horizontal="center" vertical="bottom" textRotation="0" wrapText="true" indent="0" shrinkToFit="false"/>
      <protection locked="true" hidden="false"/>
    </xf>
    <xf numFmtId="165" fontId="28" fillId="13" borderId="73" xfId="0" applyFont="true" applyBorder="true" applyAlignment="true" applyProtection="false">
      <alignment horizontal="center" vertical="center" textRotation="0" wrapText="false" indent="0" shrinkToFit="false"/>
      <protection locked="true" hidden="false"/>
    </xf>
    <xf numFmtId="165" fontId="0" fillId="39" borderId="6" xfId="0" applyFont="false" applyBorder="true" applyAlignment="true" applyProtection="false">
      <alignment horizontal="general" vertical="center" textRotation="0" wrapText="false" indent="0" shrinkToFit="false"/>
      <protection locked="true" hidden="false"/>
    </xf>
    <xf numFmtId="165" fontId="28" fillId="39" borderId="9" xfId="0" applyFont="true" applyBorder="true" applyAlignment="true" applyProtection="false">
      <alignment horizontal="center" vertical="bottom" textRotation="0" wrapText="false" indent="0" shrinkToFit="false"/>
      <protection locked="true" hidden="false"/>
    </xf>
    <xf numFmtId="165" fontId="28" fillId="39" borderId="6" xfId="0" applyFont="true" applyBorder="true" applyAlignment="true" applyProtection="false">
      <alignment horizontal="center" vertical="bottom" textRotation="0" wrapText="false" indent="0" shrinkToFit="false"/>
      <protection locked="true" hidden="false"/>
    </xf>
    <xf numFmtId="165" fontId="0" fillId="15" borderId="24" xfId="0" applyFont="true" applyBorder="true" applyAlignment="false" applyProtection="false">
      <alignment horizontal="general" vertical="bottom" textRotation="0" wrapText="false" indent="0" shrinkToFit="false"/>
      <protection locked="true" hidden="false"/>
    </xf>
    <xf numFmtId="165" fontId="0" fillId="15" borderId="42" xfId="0" applyFont="false" applyBorder="true" applyAlignment="true" applyProtection="false">
      <alignment horizontal="center" vertical="center" textRotation="0" wrapText="false" indent="0" shrinkToFit="false"/>
      <protection locked="true" hidden="false"/>
    </xf>
    <xf numFmtId="167" fontId="0" fillId="39" borderId="7" xfId="0" applyFont="false" applyBorder="true" applyAlignment="true" applyProtection="false">
      <alignment horizontal="center" vertical="center" textRotation="0" wrapText="false" indent="0" shrinkToFit="false"/>
      <protection locked="true" hidden="false"/>
    </xf>
    <xf numFmtId="165" fontId="0" fillId="15" borderId="13" xfId="0" applyFont="true" applyBorder="true" applyAlignment="false" applyProtection="false">
      <alignment horizontal="general" vertical="bottom" textRotation="0" wrapText="false" indent="0" shrinkToFit="false"/>
      <protection locked="true" hidden="false"/>
    </xf>
    <xf numFmtId="165" fontId="0" fillId="15" borderId="19" xfId="0" applyFont="false" applyBorder="true" applyAlignment="true" applyProtection="false">
      <alignment horizontal="center" vertical="center" textRotation="0" wrapText="false" indent="0" shrinkToFit="false"/>
      <protection locked="true" hidden="false"/>
    </xf>
    <xf numFmtId="167" fontId="0" fillId="14" borderId="6" xfId="0" applyFont="false" applyBorder="true" applyAlignment="true" applyProtection="false">
      <alignment horizontal="center" vertical="center" textRotation="0" wrapText="false" indent="0" shrinkToFit="false"/>
      <protection locked="true" hidden="false"/>
    </xf>
    <xf numFmtId="172" fontId="0" fillId="35" borderId="37" xfId="0" applyFont="false" applyBorder="true" applyAlignment="true" applyProtection="false">
      <alignment horizontal="center" vertical="center" textRotation="0" wrapText="false" indent="0" shrinkToFit="false"/>
      <protection locked="true" hidden="false"/>
    </xf>
    <xf numFmtId="172" fontId="0" fillId="39" borderId="6" xfId="0" applyFont="false" applyBorder="true" applyAlignment="true" applyProtection="false">
      <alignment horizontal="center" vertical="center" textRotation="0" wrapText="false" indent="0" shrinkToFit="false"/>
      <protection locked="true" hidden="false"/>
    </xf>
    <xf numFmtId="165" fontId="28" fillId="49" borderId="20" xfId="0" applyFont="true" applyBorder="true" applyAlignment="true" applyProtection="false">
      <alignment horizontal="center" vertical="center" textRotation="0" wrapText="true" indent="0" shrinkToFit="false"/>
      <protection locked="true" hidden="false"/>
    </xf>
    <xf numFmtId="165" fontId="28" fillId="0" borderId="0" xfId="0" applyFont="true" applyBorder="false" applyAlignment="true" applyProtection="false">
      <alignment horizontal="general" vertical="center" textRotation="0" wrapText="true" indent="0" shrinkToFit="false"/>
      <protection locked="true" hidden="false"/>
    </xf>
    <xf numFmtId="165" fontId="0" fillId="49" borderId="13" xfId="0" applyFont="false" applyBorder="true" applyAlignment="true" applyProtection="false">
      <alignment horizontal="center" vertical="center" textRotation="0" wrapText="false" indent="0" shrinkToFit="false"/>
      <protection locked="true" hidden="false"/>
    </xf>
    <xf numFmtId="165" fontId="28" fillId="49" borderId="14" xfId="0" applyFont="true" applyBorder="true" applyAlignment="true" applyProtection="false">
      <alignment horizontal="center" vertical="center" textRotation="0" wrapText="false" indent="0" shrinkToFit="false"/>
      <protection locked="true" hidden="false"/>
    </xf>
    <xf numFmtId="165" fontId="28" fillId="49" borderId="15" xfId="0" applyFont="true" applyBorder="true" applyAlignment="true" applyProtection="false">
      <alignment horizontal="center" vertical="center" textRotation="0" wrapText="false" indent="0" shrinkToFit="false"/>
      <protection locked="true" hidden="false"/>
    </xf>
    <xf numFmtId="165" fontId="28" fillId="49" borderId="19" xfId="0" applyFont="true" applyBorder="true" applyAlignment="true" applyProtection="false">
      <alignment horizontal="center" vertical="center" textRotation="0" wrapText="false" indent="0" shrinkToFit="false"/>
      <protection locked="true" hidden="false"/>
    </xf>
    <xf numFmtId="165" fontId="28" fillId="49" borderId="44" xfId="0" applyFont="true" applyBorder="true" applyAlignment="true" applyProtection="false">
      <alignment horizontal="center" vertical="center" textRotation="0" wrapText="false" indent="0" shrinkToFit="false"/>
      <protection locked="true" hidden="false"/>
    </xf>
    <xf numFmtId="165" fontId="0" fillId="49" borderId="6" xfId="0" applyFont="false" applyBorder="true" applyAlignment="true" applyProtection="false">
      <alignment horizontal="center" vertical="center" textRotation="0" wrapText="false" indent="0" shrinkToFit="false"/>
      <protection locked="true" hidden="false"/>
    </xf>
    <xf numFmtId="167" fontId="0" fillId="49" borderId="6" xfId="0" applyFont="false" applyBorder="true" applyAlignment="true" applyProtection="false">
      <alignment horizontal="center" vertical="center" textRotation="0" wrapText="false" indent="0" shrinkToFit="false"/>
      <protection locked="true" hidden="false"/>
    </xf>
    <xf numFmtId="167" fontId="0" fillId="49" borderId="9" xfId="0" applyFont="false" applyBorder="true" applyAlignment="true" applyProtection="false">
      <alignment horizontal="center" vertical="center" textRotation="0" wrapText="false" indent="0" shrinkToFit="false"/>
      <protection locked="true" hidden="false"/>
    </xf>
    <xf numFmtId="172" fontId="0" fillId="49" borderId="26" xfId="0" applyFont="false" applyBorder="true" applyAlignment="true" applyProtection="false">
      <alignment horizontal="center" vertical="center" textRotation="0" wrapText="false" indent="0" shrinkToFit="false"/>
      <protection locked="true" hidden="false"/>
    </xf>
    <xf numFmtId="165" fontId="28" fillId="49" borderId="35" xfId="0" applyFont="true" applyBorder="true" applyAlignment="true" applyProtection="false">
      <alignment horizontal="center" vertical="center" textRotation="0" wrapText="false" indent="0" shrinkToFit="false"/>
      <protection locked="true" hidden="false"/>
    </xf>
    <xf numFmtId="165" fontId="0" fillId="49" borderId="31" xfId="0" applyFont="false" applyBorder="true" applyAlignment="true" applyProtection="false">
      <alignment horizontal="center" vertical="center" textRotation="0" wrapText="false" indent="0" shrinkToFit="false"/>
      <protection locked="true" hidden="false"/>
    </xf>
    <xf numFmtId="167" fontId="0" fillId="49" borderId="31" xfId="0" applyFont="false" applyBorder="true" applyAlignment="true" applyProtection="false">
      <alignment horizontal="center" vertical="center" textRotation="0" wrapText="false" indent="0" shrinkToFit="false"/>
      <protection locked="true" hidden="false"/>
    </xf>
    <xf numFmtId="167" fontId="0" fillId="49" borderId="32" xfId="0" applyFont="false" applyBorder="true" applyAlignment="true" applyProtection="false">
      <alignment horizontal="center" vertical="center" textRotation="0" wrapText="false" indent="0" shrinkToFit="false"/>
      <protection locked="true" hidden="false"/>
    </xf>
    <xf numFmtId="172" fontId="0" fillId="49" borderId="37" xfId="0" applyFont="false" applyBorder="true" applyAlignment="true" applyProtection="false">
      <alignment horizontal="center" vertical="center" textRotation="0" wrapText="false" indent="0" shrinkToFit="false"/>
      <protection locked="true" hidden="false"/>
    </xf>
    <xf numFmtId="167" fontId="28" fillId="49" borderId="72" xfId="0" applyFont="true" applyBorder="true" applyAlignment="true" applyProtection="false">
      <alignment horizontal="center" vertical="center" textRotation="0" wrapText="false" indent="0" shrinkToFit="false"/>
      <protection locked="true" hidden="false"/>
    </xf>
    <xf numFmtId="172" fontId="0" fillId="49" borderId="73" xfId="0" applyFont="false" applyBorder="true" applyAlignment="true" applyProtection="false">
      <alignment horizontal="center" vertical="center" textRotation="0" wrapText="false" indent="0" shrinkToFit="false"/>
      <protection locked="true" hidden="false"/>
    </xf>
    <xf numFmtId="165" fontId="118" fillId="14" borderId="20" xfId="0" applyFont="true" applyBorder="true" applyAlignment="true" applyProtection="false">
      <alignment horizontal="center" vertical="center" textRotation="0" wrapText="true" indent="0" shrinkToFit="false"/>
      <protection locked="true" hidden="false"/>
    </xf>
    <xf numFmtId="165" fontId="28" fillId="50" borderId="16" xfId="0" applyFont="true" applyBorder="true" applyAlignment="true" applyProtection="false">
      <alignment horizontal="center" vertical="center" textRotation="0" wrapText="false" indent="0" shrinkToFit="false"/>
      <protection locked="true" hidden="false"/>
    </xf>
    <xf numFmtId="165" fontId="28" fillId="50" borderId="25" xfId="0" applyFont="true" applyBorder="true" applyAlignment="true" applyProtection="false">
      <alignment horizontal="center" vertical="center" textRotation="0" wrapText="false" indent="0" shrinkToFit="false"/>
      <protection locked="true" hidden="false"/>
    </xf>
    <xf numFmtId="167" fontId="118" fillId="50" borderId="36" xfId="0" applyFont="true" applyBorder="true" applyAlignment="true" applyProtection="false">
      <alignment horizontal="center" vertical="bottom" textRotation="0" wrapText="false" indent="0" shrinkToFit="false"/>
      <protection locked="true" hidden="false"/>
    </xf>
    <xf numFmtId="165" fontId="28" fillId="44" borderId="5" xfId="0" applyFont="true" applyBorder="true" applyAlignment="false" applyProtection="false">
      <alignment horizontal="general" vertical="bottom" textRotation="0" wrapText="false" indent="0" shrinkToFit="false"/>
      <protection locked="true" hidden="false"/>
    </xf>
    <xf numFmtId="165" fontId="28" fillId="44" borderId="5" xfId="0" applyFont="true" applyBorder="true" applyAlignment="true" applyProtection="false">
      <alignment horizontal="center" vertical="bottom" textRotation="0" wrapText="false" indent="0" shrinkToFit="false"/>
      <protection locked="true" hidden="false"/>
    </xf>
    <xf numFmtId="165" fontId="28" fillId="51" borderId="22" xfId="0" applyFont="true" applyBorder="true" applyAlignment="true" applyProtection="false">
      <alignment horizontal="center" vertical="center" textRotation="0" wrapText="true" indent="0" shrinkToFit="false"/>
      <protection locked="true" hidden="false"/>
    </xf>
    <xf numFmtId="165" fontId="28" fillId="51" borderId="54" xfId="0" applyFont="true" applyBorder="true" applyAlignment="true" applyProtection="false">
      <alignment horizontal="center" vertical="center" textRotation="0" wrapText="false" indent="0" shrinkToFit="false"/>
      <protection locked="true" hidden="false"/>
    </xf>
    <xf numFmtId="165" fontId="119" fillId="39" borderId="7" xfId="0" applyFont="true" applyBorder="true" applyAlignment="true" applyProtection="false">
      <alignment horizontal="center" vertical="center" textRotation="0" wrapText="false" indent="0" shrinkToFit="false"/>
      <protection locked="true" hidden="false"/>
    </xf>
    <xf numFmtId="165" fontId="114" fillId="46" borderId="6" xfId="0" applyFont="true" applyBorder="true" applyAlignment="true" applyProtection="false">
      <alignment horizontal="center" vertical="center" textRotation="0" wrapText="false" indent="0" shrinkToFit="false"/>
      <protection locked="true" hidden="false"/>
    </xf>
    <xf numFmtId="167" fontId="21" fillId="39" borderId="6" xfId="0" applyFont="true" applyBorder="true" applyAlignment="true" applyProtection="false">
      <alignment horizontal="center" vertical="center" textRotation="0" wrapText="false" indent="0" shrinkToFit="false"/>
      <protection locked="true" hidden="false"/>
    </xf>
    <xf numFmtId="167" fontId="21" fillId="39" borderId="6" xfId="0" applyFont="true" applyBorder="true" applyAlignment="true" applyProtection="false">
      <alignment horizontal="center" vertical="bottom" textRotation="0" wrapText="false" indent="0" shrinkToFit="false"/>
      <protection locked="true" hidden="false"/>
    </xf>
    <xf numFmtId="165" fontId="0" fillId="31" borderId="6" xfId="0" applyFont="true" applyBorder="true" applyAlignment="false" applyProtection="false">
      <alignment horizontal="general" vertical="bottom" textRotation="0" wrapText="false" indent="0" shrinkToFit="false"/>
      <protection locked="true" hidden="false"/>
    </xf>
    <xf numFmtId="190" fontId="21" fillId="39" borderId="6" xfId="0" applyFont="true" applyBorder="true" applyAlignment="true" applyProtection="false">
      <alignment horizontal="center" vertical="center" textRotation="0" wrapText="false" indent="0" shrinkToFit="false"/>
      <protection locked="true" hidden="false"/>
    </xf>
    <xf numFmtId="165" fontId="119" fillId="39" borderId="6" xfId="0" applyFont="true" applyBorder="true" applyAlignment="true" applyProtection="false">
      <alignment horizontal="center" vertical="center" textRotation="0" wrapText="false" indent="0" shrinkToFit="false"/>
      <protection locked="true" hidden="false"/>
    </xf>
    <xf numFmtId="172" fontId="21" fillId="39" borderId="6" xfId="0" applyFont="true" applyBorder="true" applyAlignment="true" applyProtection="false">
      <alignment horizontal="center" vertical="bottom" textRotation="0" wrapText="false" indent="0" shrinkToFit="false"/>
      <protection locked="true" hidden="false"/>
    </xf>
    <xf numFmtId="165" fontId="5" fillId="48" borderId="24" xfId="0" applyFont="true" applyBorder="true" applyAlignment="false" applyProtection="false">
      <alignment horizontal="general" vertical="bottom" textRotation="0" wrapText="false" indent="0" shrinkToFit="false"/>
      <protection locked="true" hidden="false"/>
    </xf>
    <xf numFmtId="165" fontId="5" fillId="48" borderId="69" xfId="0" applyFont="true" applyBorder="true" applyAlignment="false" applyProtection="false">
      <alignment horizontal="general" vertical="bottom" textRotation="0" wrapText="false" indent="0" shrinkToFit="false"/>
      <protection locked="true" hidden="false"/>
    </xf>
    <xf numFmtId="165" fontId="5" fillId="15" borderId="24" xfId="0" applyFont="true" applyBorder="true" applyAlignment="false" applyProtection="false">
      <alignment horizontal="general" vertical="bottom" textRotation="0" wrapText="false" indent="0" shrinkToFit="false"/>
      <protection locked="true" hidden="false"/>
    </xf>
    <xf numFmtId="165" fontId="5" fillId="15" borderId="69" xfId="0" applyFont="true" applyBorder="true" applyAlignment="false" applyProtection="false">
      <alignment horizontal="general" vertical="bottom" textRotation="0" wrapText="false" indent="0" shrinkToFit="false"/>
      <protection locked="true" hidden="false"/>
    </xf>
    <xf numFmtId="167" fontId="21" fillId="39" borderId="9" xfId="0" applyFont="true" applyBorder="true" applyAlignment="true" applyProtection="false">
      <alignment horizontal="center" vertical="center" textRotation="0" wrapText="false" indent="0" shrinkToFit="false"/>
      <protection locked="true" hidden="false"/>
    </xf>
    <xf numFmtId="165" fontId="28" fillId="51" borderId="72" xfId="0" applyFont="true" applyBorder="true" applyAlignment="true" applyProtection="false">
      <alignment horizontal="center" vertical="bottom" textRotation="0" wrapText="true" indent="0" shrinkToFit="false"/>
      <protection locked="true" hidden="false"/>
    </xf>
    <xf numFmtId="165" fontId="28" fillId="51" borderId="73" xfId="0" applyFont="true" applyBorder="true" applyAlignment="true" applyProtection="false">
      <alignment horizontal="center" vertical="bottom" textRotation="0" wrapText="false" indent="0" shrinkToFit="false"/>
      <protection locked="true" hidden="false"/>
    </xf>
    <xf numFmtId="165" fontId="119" fillId="0" borderId="0" xfId="0" applyFont="true" applyBorder="false" applyAlignment="true" applyProtection="false">
      <alignment horizontal="general" vertical="center" textRotation="0" wrapText="true" indent="0" shrinkToFit="false"/>
      <protection locked="true" hidden="false"/>
    </xf>
    <xf numFmtId="165" fontId="119" fillId="49" borderId="20" xfId="0" applyFont="true" applyBorder="true" applyAlignment="true" applyProtection="false">
      <alignment horizontal="center" vertical="center" textRotation="0" wrapText="true" indent="0" shrinkToFit="false"/>
      <protection locked="true" hidden="false"/>
    </xf>
    <xf numFmtId="165" fontId="0" fillId="49" borderId="14" xfId="0" applyFont="true" applyBorder="true" applyAlignment="true" applyProtection="false">
      <alignment horizontal="center" vertical="center" textRotation="0" wrapText="false" indent="0" shrinkToFit="false"/>
      <protection locked="true" hidden="false"/>
    </xf>
    <xf numFmtId="165" fontId="0" fillId="49" borderId="15" xfId="0" applyFont="true" applyBorder="true" applyAlignment="true" applyProtection="false">
      <alignment horizontal="center" vertical="center" textRotation="0" wrapText="false" indent="0" shrinkToFit="false"/>
      <protection locked="true" hidden="false"/>
    </xf>
    <xf numFmtId="165" fontId="0" fillId="49" borderId="19" xfId="0" applyFont="true" applyBorder="true" applyAlignment="true" applyProtection="false">
      <alignment horizontal="center" vertical="center" textRotation="0" wrapText="false" indent="0" shrinkToFit="false"/>
      <protection locked="true" hidden="false"/>
    </xf>
    <xf numFmtId="165" fontId="0" fillId="49" borderId="44" xfId="0" applyFont="true" applyBorder="true" applyAlignment="true" applyProtection="false">
      <alignment horizontal="center" vertical="center" textRotation="0" wrapText="false" indent="0" shrinkToFit="false"/>
      <protection locked="true" hidden="false"/>
    </xf>
    <xf numFmtId="165" fontId="0" fillId="49" borderId="35" xfId="0" applyFont="true" applyBorder="true" applyAlignment="true" applyProtection="false">
      <alignment horizontal="center" vertical="center" textRotation="0" wrapText="false" indent="0" shrinkToFit="false"/>
      <protection locked="true" hidden="false"/>
    </xf>
    <xf numFmtId="167" fontId="0" fillId="49" borderId="72" xfId="0" applyFont="true" applyBorder="true" applyAlignment="true" applyProtection="false">
      <alignment horizontal="center" vertical="center" textRotation="0" wrapText="false" indent="0" shrinkToFit="false"/>
      <protection locked="true" hidden="false"/>
    </xf>
    <xf numFmtId="165" fontId="118" fillId="14" borderId="20" xfId="0" applyFont="true" applyBorder="true" applyAlignment="true" applyProtection="false">
      <alignment horizontal="center" vertical="bottom" textRotation="0" wrapText="true" indent="0" shrinkToFit="false"/>
      <protection locked="true" hidden="false"/>
    </xf>
    <xf numFmtId="165" fontId="28" fillId="50" borderId="6" xfId="0" applyFont="true" applyBorder="true" applyAlignment="true" applyProtection="false">
      <alignment horizontal="center" vertical="center" textRotation="0" wrapText="false" indent="0" shrinkToFit="false"/>
      <protection locked="true" hidden="false"/>
    </xf>
    <xf numFmtId="167" fontId="118" fillId="50" borderId="6"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150">
    <cellStyle name="Normal" xfId="0" builtinId="0"/>
    <cellStyle name="Comma" xfId="15" builtinId="3"/>
    <cellStyle name="Comma [0]" xfId="16" builtinId="6"/>
    <cellStyle name="Currency" xfId="17" builtinId="4"/>
    <cellStyle name="Currency [0]" xfId="18" builtinId="7"/>
    <cellStyle name="Percent" xfId="19" builtinId="5"/>
    <cellStyle name="Currency 10" xfId="20"/>
    <cellStyle name="Currency 10 2" xfId="21"/>
    <cellStyle name="Currency 11" xfId="22"/>
    <cellStyle name="Currency 11 2" xfId="23"/>
    <cellStyle name="Currency 12" xfId="24"/>
    <cellStyle name="Currency 12 2" xfId="25"/>
    <cellStyle name="Currency 13" xfId="26"/>
    <cellStyle name="Currency 13 2" xfId="27"/>
    <cellStyle name="Currency 14" xfId="28"/>
    <cellStyle name="Currency 14 2" xfId="29"/>
    <cellStyle name="Currency 15" xfId="30"/>
    <cellStyle name="Currency 15 2" xfId="31"/>
    <cellStyle name="Currency 15 2 2" xfId="32"/>
    <cellStyle name="Currency 15 3" xfId="33"/>
    <cellStyle name="Currency 15 3 2" xfId="34"/>
    <cellStyle name="Currency 15 4" xfId="35"/>
    <cellStyle name="Currency 16" xfId="36"/>
    <cellStyle name="Currency 16 2" xfId="37"/>
    <cellStyle name="Currency 17" xfId="38"/>
    <cellStyle name="Currency 17 2" xfId="39"/>
    <cellStyle name="Currency 18" xfId="40"/>
    <cellStyle name="Currency 18 2" xfId="41"/>
    <cellStyle name="Currency 19" xfId="42"/>
    <cellStyle name="Currency 19 2" xfId="43"/>
    <cellStyle name="Currency 2" xfId="44"/>
    <cellStyle name="Currency 2 2" xfId="45"/>
    <cellStyle name="Currency 20" xfId="46"/>
    <cellStyle name="Currency 20 2" xfId="47"/>
    <cellStyle name="Currency 21" xfId="48"/>
    <cellStyle name="Currency 21 2" xfId="49"/>
    <cellStyle name="Currency 22" xfId="50"/>
    <cellStyle name="Currency 22 2" xfId="51"/>
    <cellStyle name="Currency 3" xfId="52"/>
    <cellStyle name="Currency 3 2" xfId="53"/>
    <cellStyle name="Currency 3 2 2" xfId="54"/>
    <cellStyle name="Currency 3 3" xfId="55"/>
    <cellStyle name="Currency 4" xfId="56"/>
    <cellStyle name="Currency 4 2" xfId="57"/>
    <cellStyle name="Currency 4 2 2" xfId="58"/>
    <cellStyle name="Currency 4 3" xfId="59"/>
    <cellStyle name="Currency 5" xfId="60"/>
    <cellStyle name="Currency 5 2" xfId="61"/>
    <cellStyle name="Currency 5 2 2" xfId="62"/>
    <cellStyle name="Currency 5 2 2 2" xfId="63"/>
    <cellStyle name="Currency 5 2 3" xfId="64"/>
    <cellStyle name="Currency 5 3" xfId="65"/>
    <cellStyle name="Currency 5 3 2" xfId="66"/>
    <cellStyle name="Currency 5 4" xfId="67"/>
    <cellStyle name="Currency 5 4 2" xfId="68"/>
    <cellStyle name="Currency 5 5" xfId="69"/>
    <cellStyle name="Currency 5 5 2" xfId="70"/>
    <cellStyle name="Currency 5 6" xfId="71"/>
    <cellStyle name="Currency 6" xfId="72"/>
    <cellStyle name="Currency 6 2" xfId="73"/>
    <cellStyle name="Currency 6 2 2" xfId="74"/>
    <cellStyle name="Currency 6 3" xfId="75"/>
    <cellStyle name="Currency 7" xfId="76"/>
    <cellStyle name="Currency 7 2" xfId="77"/>
    <cellStyle name="Currency 7 2 2" xfId="78"/>
    <cellStyle name="Currency 7 3" xfId="79"/>
    <cellStyle name="Currency 8" xfId="80"/>
    <cellStyle name="Currency 8 2" xfId="81"/>
    <cellStyle name="Currency 8 2 2" xfId="82"/>
    <cellStyle name="Currency 8 3" xfId="83"/>
    <cellStyle name="Currency 9" xfId="84"/>
    <cellStyle name="Currency 9 2" xfId="85"/>
    <cellStyle name="Currency 9 2 2" xfId="86"/>
    <cellStyle name="Currency 9 3" xfId="87"/>
    <cellStyle name="Normal 10" xfId="88"/>
    <cellStyle name="Normal 11" xfId="89"/>
    <cellStyle name="Normal 12" xfId="90"/>
    <cellStyle name="Normal 13" xfId="91"/>
    <cellStyle name="Normal 14" xfId="92"/>
    <cellStyle name="Normal 15" xfId="93"/>
    <cellStyle name="Normal 16" xfId="94"/>
    <cellStyle name="Normal 17" xfId="95"/>
    <cellStyle name="Normal 2" xfId="96"/>
    <cellStyle name="Normal 2 2" xfId="97"/>
    <cellStyle name="Normal 3" xfId="98"/>
    <cellStyle name="Normal 3 2" xfId="99"/>
    <cellStyle name="Normal 4" xfId="100"/>
    <cellStyle name="Normal 5" xfId="101"/>
    <cellStyle name="Normal 6" xfId="102"/>
    <cellStyle name="Normal 7" xfId="103"/>
    <cellStyle name="Normal 8" xfId="104"/>
    <cellStyle name="Normal 9" xfId="105"/>
    <cellStyle name="Percent 10" xfId="106"/>
    <cellStyle name="Percent 10 2" xfId="107"/>
    <cellStyle name="Percent 11" xfId="108"/>
    <cellStyle name="Percent 11 2" xfId="109"/>
    <cellStyle name="Percent 12" xfId="110"/>
    <cellStyle name="Percent 12 2" xfId="111"/>
    <cellStyle name="Percent 13" xfId="112"/>
    <cellStyle name="Percent 13 2" xfId="113"/>
    <cellStyle name="Percent 13 2 2" xfId="114"/>
    <cellStyle name="Percent 13 3" xfId="115"/>
    <cellStyle name="Percent 13 3 2" xfId="116"/>
    <cellStyle name="Percent 13 4" xfId="117"/>
    <cellStyle name="Percent 14" xfId="118"/>
    <cellStyle name="Percent 14 2" xfId="119"/>
    <cellStyle name="Percent 15" xfId="120"/>
    <cellStyle name="Percent 15 2" xfId="121"/>
    <cellStyle name="Percent 16" xfId="122"/>
    <cellStyle name="Percent 16 2" xfId="123"/>
    <cellStyle name="Percent 17" xfId="124"/>
    <cellStyle name="Percent 17 2" xfId="125"/>
    <cellStyle name="Percent 18" xfId="126"/>
    <cellStyle name="Percent 18 2" xfId="127"/>
    <cellStyle name="Percent 19" xfId="128"/>
    <cellStyle name="Percent 19 2" xfId="129"/>
    <cellStyle name="Percent 2" xfId="130"/>
    <cellStyle name="Percent 2 2" xfId="131"/>
    <cellStyle name="Percent 2 2 2" xfId="132"/>
    <cellStyle name="Percent 2 3" xfId="133"/>
    <cellStyle name="Percent 20" xfId="134"/>
    <cellStyle name="Percent 20 2" xfId="135"/>
    <cellStyle name="Percent 3" xfId="136"/>
    <cellStyle name="Percent 3 2" xfId="137"/>
    <cellStyle name="Percent 3 2 2" xfId="138"/>
    <cellStyle name="Percent 3 3" xfId="139"/>
    <cellStyle name="Percent 4" xfId="140"/>
    <cellStyle name="Percent 4 2" xfId="141"/>
    <cellStyle name="Percent 4 2 2" xfId="142"/>
    <cellStyle name="Percent 4 3" xfId="143"/>
    <cellStyle name="Percent 5" xfId="144"/>
    <cellStyle name="Percent 5 2" xfId="145"/>
    <cellStyle name="Percent 5 2 2" xfId="146"/>
    <cellStyle name="Percent 5 3" xfId="147"/>
    <cellStyle name="Percent 6" xfId="148"/>
    <cellStyle name="Percent 6 2" xfId="149"/>
    <cellStyle name="Percent 6 2 2" xfId="150"/>
    <cellStyle name="Percent 6 3" xfId="151"/>
    <cellStyle name="Percent 7" xfId="152"/>
    <cellStyle name="Percent 7 2" xfId="153"/>
    <cellStyle name="Percent 7 2 2" xfId="154"/>
    <cellStyle name="Percent 7 3" xfId="155"/>
    <cellStyle name="Percent 8" xfId="156"/>
    <cellStyle name="Percent 8 2" xfId="157"/>
    <cellStyle name="Percent 9" xfId="158"/>
    <cellStyle name="Percent 9 2" xfId="159"/>
    <cellStyle name="Pivot Table Field" xfId="160"/>
    <cellStyle name="Pivot Table Corner" xfId="161"/>
    <cellStyle name="Pivot Table Value" xfId="162"/>
    <cellStyle name="Pivot Table Category" xfId="163"/>
  </cellStyles>
  <dxfs count="148">
    <dxf>
      <fill>
        <patternFill>
          <bgColor rgb="FF92D050"/>
        </patternFill>
      </fill>
    </dxf>
    <dxf>
      <fill>
        <patternFill>
          <bgColor rgb="FFFFCC00"/>
        </patternFill>
      </fill>
    </dxf>
    <dxf>
      <fill>
        <patternFill>
          <bgColor rgb="FFFF0000"/>
        </patternFill>
      </fill>
    </dxf>
    <dxf>
      <font>
        <color rgb="FFFFFFFF"/>
      </font>
      <fill>
        <patternFill>
          <bgColor rgb="FF000000"/>
        </patternFill>
      </fill>
    </dxf>
    <dxf>
      <fill>
        <patternFill>
          <bgColor rgb="FF92D050"/>
        </patternFill>
      </fill>
    </dxf>
    <dxf>
      <font>
        <color rgb="FFFFFFFF"/>
      </font>
      <fill>
        <patternFill>
          <bgColor rgb="FF000000"/>
        </patternFill>
      </fill>
    </dxf>
    <dxf>
      <font>
        <color rgb="FFFFFFFF"/>
      </font>
      <fill>
        <patternFill>
          <bgColor rgb="FF000000"/>
        </patternFill>
      </fill>
    </dxf>
    <dxf>
      <font>
        <color rgb="FFFFFFFF"/>
      </font>
      <fill>
        <patternFill>
          <bgColor rgb="FF000000"/>
        </patternFill>
      </fill>
    </dxf>
    <dxf>
      <font>
        <color rgb="FFFFFFFF"/>
      </font>
      <fill>
        <patternFill>
          <bgColor rgb="FF000000"/>
        </patternFill>
      </fill>
    </dxf>
    <dxf>
      <font>
        <color rgb="FFFFFFFF"/>
      </font>
      <fill>
        <patternFill>
          <bgColor rgb="FF000000"/>
        </patternFill>
      </fill>
    </dxf>
    <dxf>
      <font>
        <color rgb="FFFFFFFF"/>
      </font>
      <fill>
        <patternFill>
          <bgColor rgb="FF000000"/>
        </patternFill>
      </fill>
    </dxf>
    <dxf>
      <font>
        <color rgb="FFFFFFFF"/>
      </font>
      <fill>
        <patternFill>
          <bgColor rgb="FF000000"/>
        </patternFill>
      </fill>
    </dxf>
    <dxf>
      <font>
        <color rgb="FFFFFFFF"/>
      </font>
      <fill>
        <patternFill>
          <bgColor rgb="FF000000"/>
        </patternFill>
      </fill>
    </dxf>
    <dxf>
      <font>
        <color rgb="FFFFFFFF"/>
      </font>
      <fill>
        <patternFill>
          <bgColor rgb="FF000000"/>
        </patternFill>
      </fill>
    </dxf>
    <dxf>
      <font>
        <color rgb="FFFFFFFF"/>
      </font>
      <fill>
        <patternFill>
          <bgColor rgb="FF000000"/>
        </patternFill>
      </fill>
    </dxf>
    <dxf>
      <font>
        <color rgb="FFFFFFFF"/>
      </font>
      <fill>
        <patternFill>
          <bgColor rgb="FF000000"/>
        </patternFill>
      </fill>
    </dxf>
    <dxf>
      <font>
        <color rgb="FFFFFFFF"/>
      </font>
      <fill>
        <patternFill>
          <bgColor rgb="FF000000"/>
        </patternFill>
      </fill>
    </dxf>
    <dxf>
      <font>
        <color rgb="FFFFFFFF"/>
      </font>
      <fill>
        <patternFill>
          <bgColor rgb="FF000000"/>
        </patternFill>
      </fill>
    </dxf>
    <dxf>
      <font>
        <color rgb="FFFFFFFF"/>
      </font>
      <fill>
        <patternFill>
          <bgColor rgb="FF000000"/>
        </patternFill>
      </fill>
    </dxf>
    <dxf>
      <fill>
        <patternFill>
          <bgColor rgb="FF92D050"/>
        </patternFill>
      </fill>
    </dxf>
    <dxf>
      <fill>
        <patternFill>
          <bgColor rgb="FFFFCC00"/>
        </patternFill>
      </fill>
    </dxf>
    <dxf>
      <fill>
        <patternFill>
          <bgColor rgb="FFFF0000"/>
        </patternFill>
      </fill>
    </dxf>
    <dxf>
      <font>
        <color rgb="FFFFFFFF"/>
      </font>
      <fill>
        <patternFill>
          <bgColor rgb="FF00000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ill>
        <patternFill>
          <bgColor rgb="FF92D050"/>
        </patternFill>
      </fill>
    </dxf>
    <dxf>
      <fill>
        <patternFill>
          <bgColor rgb="FFFFCC00"/>
        </patternFill>
      </fill>
    </dxf>
    <dxf>
      <fill>
        <patternFill>
          <bgColor rgb="FFFF0000"/>
        </patternFill>
      </fill>
    </dxf>
    <dxf>
      <font>
        <color rgb="FFFFFFFF"/>
      </font>
      <fill>
        <patternFill>
          <bgColor rgb="FF000000"/>
        </patternFill>
      </fill>
    </dxf>
    <dxf>
      <fill>
        <patternFill>
          <bgColor rgb="FF92D050"/>
        </patternFill>
      </fill>
    </dxf>
    <dxf>
      <fill>
        <patternFill>
          <bgColor rgb="FFFFCC00"/>
        </patternFill>
      </fill>
    </dxf>
    <dxf>
      <fill>
        <patternFill>
          <bgColor rgb="FFFF0000"/>
        </patternFill>
      </fill>
    </dxf>
    <dxf>
      <font>
        <color rgb="FFFFFFFF"/>
      </font>
      <fill>
        <patternFill>
          <bgColor rgb="FF000000"/>
        </patternFill>
      </fill>
    </dxf>
    <dxf>
      <fill>
        <patternFill>
          <bgColor rgb="FFFFCC00"/>
        </patternFill>
      </fill>
    </dxf>
    <dxf>
      <fill>
        <patternFill>
          <bgColor rgb="FFFF0000"/>
        </patternFill>
      </fill>
    </dxf>
    <dxf>
      <font>
        <color rgb="FFFFFFFF"/>
      </font>
      <fill>
        <patternFill>
          <bgColor rgb="FF000000"/>
        </patternFill>
      </fill>
    </dxf>
    <dxf>
      <fill>
        <patternFill>
          <bgColor rgb="FFFF0000"/>
        </patternFill>
      </fill>
    </dxf>
    <dxf>
      <fill>
        <patternFill>
          <bgColor rgb="FFFFC000"/>
        </patternFill>
      </fill>
    </dxf>
    <dxf>
      <font>
        <color rgb="00FFFFFF"/>
      </font>
      <fill>
        <patternFill>
          <bgColor rgb="FF92D050"/>
        </patternFill>
      </fill>
    </dxf>
    <dxf>
      <font>
        <strike val="0"/>
      </font>
      <numFmt numFmtId="164" formatCode="0%"/>
      <fill>
        <patternFill>
          <bgColor rgb="FFFF66FF"/>
        </patternFill>
      </fill>
    </dxf>
    <dxf>
      <numFmt numFmtId="164" formatCode="0%"/>
      <fill>
        <patternFill>
          <bgColor rgb="FFFF0000"/>
        </patternFill>
      </fill>
    </dxf>
    <dxf>
      <numFmt numFmtId="164" formatCode="0%"/>
      <fill>
        <patternFill>
          <bgColor rgb="FFFFCC00"/>
        </patternFill>
      </fill>
    </dxf>
    <dxf>
      <numFmt numFmtId="164" formatCode="0%"/>
      <fill>
        <patternFill>
          <bgColor rgb="FF66FF33"/>
        </patternFill>
      </fill>
    </dxf>
    <dxf>
      <font>
        <color rgb="FFFF0000"/>
      </font>
      <fill>
        <patternFill>
          <bgColor rgb="FFFF0000"/>
        </patternFill>
      </fill>
    </dxf>
    <dxf>
      <font>
        <color rgb="FF00FF00"/>
      </font>
      <fill>
        <patternFill>
          <bgColor rgb="FF00FF00"/>
        </patternFill>
      </fill>
    </dxf>
    <dxf>
      <font>
        <color rgb="FFFFCC00"/>
      </font>
      <fill>
        <patternFill>
          <bgColor rgb="FFFFCC00"/>
        </patternFill>
      </fill>
    </dxf>
    <dxf>
      <fill>
        <patternFill>
          <bgColor rgb="FFFF0000"/>
        </patternFill>
      </fill>
    </dxf>
    <dxf>
      <fill>
        <patternFill>
          <bgColor rgb="FF92D050"/>
        </patternFill>
      </fill>
    </dxf>
    <dxf>
      <font>
        <b val="1"/>
        <i val="0"/>
        <strike val="0"/>
      </font>
      <fill>
        <patternFill>
          <bgColor rgb="FFFFC000"/>
        </patternFill>
      </fill>
    </dxf>
    <dxf>
      <font>
        <b val="1"/>
        <i val="0"/>
      </font>
      <fill>
        <patternFill>
          <bgColor rgb="FFD99694"/>
        </patternFill>
      </fill>
    </dxf>
    <dxf>
      <font>
        <b val="1"/>
        <i val="0"/>
      </font>
      <fill>
        <patternFill>
          <bgColor rgb="FFFF0000"/>
        </patternFill>
      </fill>
    </dxf>
    <dxf>
      <fill>
        <patternFill>
          <bgColor rgb="FFDDD9C3"/>
        </patternFill>
      </fill>
    </dxf>
    <dxf>
      <font>
        <color rgb="FF9C0006"/>
      </font>
      <fill>
        <patternFill>
          <bgColor rgb="FFFFC7CE"/>
        </patternFill>
      </fill>
    </dxf>
    <dxf>
      <font>
        <color rgb="FF9C5700"/>
      </font>
      <fill>
        <patternFill>
          <bgColor rgb="FFFFEB9C"/>
        </patternFill>
      </fill>
    </dxf>
    <dxf>
      <font>
        <color rgb="FF000000"/>
      </font>
      <fill>
        <patternFill>
          <bgColor rgb="FFC3D69B"/>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1"/>
        <i val="0"/>
      </font>
      <fill>
        <patternFill>
          <bgColor rgb="FFFF33CC"/>
        </patternFill>
      </fill>
    </dxf>
    <dxf>
      <font>
        <name val="Cambria"/>
        <charset val="1"/>
        <family val="0"/>
        <color rgb="00FFFFFF"/>
      </font>
      <fill>
        <patternFill>
          <bgColor rgb="FFFF0000"/>
        </patternFill>
      </fill>
    </dxf>
    <dxf>
      <font>
        <name val="Cambria"/>
        <charset val="1"/>
        <family val="0"/>
        <color rgb="00FFFFFF"/>
      </font>
      <fill>
        <patternFill>
          <bgColor rgb="FF00FF00"/>
        </patternFill>
      </fill>
    </dxf>
    <dxf>
      <font>
        <name val="Cambria"/>
        <charset val="1"/>
        <family val="0"/>
        <color rgb="00FFFFFF"/>
      </font>
      <fill>
        <patternFill>
          <bgColor rgb="FFFFCC00"/>
        </patternFill>
      </fill>
    </dxf>
    <dxf>
      <font>
        <name val="Cambria"/>
        <charset val="1"/>
        <family val="0"/>
        <color rgb="00FFFFFF"/>
      </font>
      <fill>
        <patternFill>
          <bgColor rgb="FF00FF00"/>
        </patternFill>
      </fill>
    </dxf>
    <dxf>
      <font>
        <name val="Cambria"/>
        <charset val="1"/>
        <family val="0"/>
        <color rgb="00FFFFFF"/>
      </font>
      <fill>
        <patternFill>
          <bgColor rgb="FFFFCC00"/>
        </patternFill>
      </fill>
    </dxf>
    <dxf>
      <font>
        <name val="Cambria"/>
        <charset val="1"/>
        <family val="0"/>
        <color rgb="00FFFFFF"/>
      </font>
      <fill>
        <patternFill>
          <bgColor rgb="FFFF0000"/>
        </patternFill>
      </fill>
    </dxf>
    <dxf>
      <font>
        <b val="1"/>
        <i val="0"/>
      </font>
      <fill>
        <patternFill>
          <bgColor rgb="FFFF33CC"/>
        </patternFill>
      </fill>
    </dxf>
    <dxf>
      <font>
        <name val="Cambria"/>
        <charset val="1"/>
        <family val="0"/>
        <color rgb="00FFFFFF"/>
      </font>
      <fill>
        <patternFill>
          <bgColor rgb="FFFF0000"/>
        </patternFill>
      </fill>
    </dxf>
    <dxf>
      <font>
        <name val="Cambria"/>
        <charset val="1"/>
        <family val="0"/>
        <color rgb="00FFFFFF"/>
      </font>
      <fill>
        <patternFill>
          <bgColor rgb="FF00FF00"/>
        </patternFill>
      </fill>
    </dxf>
    <dxf>
      <font>
        <name val="Cambria"/>
        <charset val="1"/>
        <family val="0"/>
        <color rgb="00FFFFFF"/>
      </font>
      <fill>
        <patternFill>
          <bgColor rgb="FFFFCC00"/>
        </patternFill>
      </fill>
    </dxf>
    <dxf>
      <font>
        <name val="Cambria"/>
        <charset val="1"/>
        <family val="0"/>
        <color rgb="00FFFFFF"/>
      </font>
      <fill>
        <patternFill>
          <bgColor rgb="FF00FF00"/>
        </patternFill>
      </fill>
    </dxf>
    <dxf>
      <font>
        <name val="Cambria"/>
        <charset val="1"/>
        <family val="0"/>
        <color rgb="00FFFFFF"/>
      </font>
      <fill>
        <patternFill>
          <bgColor rgb="FFFFCC00"/>
        </patternFill>
      </fill>
    </dxf>
    <dxf>
      <font>
        <name val="Cambria"/>
        <charset val="1"/>
        <family val="0"/>
        <color rgb="00FFFFFF"/>
      </font>
      <fill>
        <patternFill>
          <bgColor rgb="FFFF0000"/>
        </patternFill>
      </fill>
    </dxf>
    <dxf>
      <font>
        <b val="1"/>
        <i val="0"/>
      </font>
      <fill>
        <patternFill>
          <bgColor rgb="FFFF33CC"/>
        </patternFill>
      </fill>
    </dxf>
    <dxf>
      <font>
        <name val="Cambria"/>
        <charset val="1"/>
        <family val="0"/>
        <color rgb="00FFFFFF"/>
      </font>
      <fill>
        <patternFill>
          <bgColor rgb="FFFF0000"/>
        </patternFill>
      </fill>
    </dxf>
    <dxf>
      <font>
        <name val="Cambria"/>
        <charset val="1"/>
        <family val="0"/>
        <color rgb="00FFFFFF"/>
      </font>
      <fill>
        <patternFill>
          <bgColor rgb="FF00FF00"/>
        </patternFill>
      </fill>
    </dxf>
    <dxf>
      <font>
        <name val="Cambria"/>
        <charset val="1"/>
        <family val="0"/>
        <color rgb="00FFFFFF"/>
      </font>
      <fill>
        <patternFill>
          <bgColor rgb="FFFFCC00"/>
        </patternFill>
      </fill>
    </dxf>
    <dxf>
      <font>
        <name val="Cambria"/>
        <charset val="1"/>
        <family val="0"/>
        <color rgb="00FFFFFF"/>
      </font>
      <fill>
        <patternFill>
          <bgColor rgb="FF00FF00"/>
        </patternFill>
      </fill>
    </dxf>
    <dxf>
      <font>
        <name val="Cambria"/>
        <charset val="1"/>
        <family val="0"/>
        <color rgb="00FFFFFF"/>
      </font>
      <fill>
        <patternFill>
          <bgColor rgb="FFFFCC00"/>
        </patternFill>
      </fill>
    </dxf>
    <dxf>
      <font>
        <name val="Cambria"/>
        <charset val="1"/>
        <family val="0"/>
        <color rgb="00FFFFFF"/>
      </font>
      <fill>
        <patternFill>
          <bgColor rgb="FFFF0000"/>
        </patternFill>
      </fill>
    </dxf>
    <dxf>
      <font>
        <color rgb="FFFF0000"/>
      </font>
      <fill>
        <patternFill>
          <bgColor rgb="FFFFFF00"/>
        </patternFill>
      </fill>
    </dxf>
    <dxf>
      <font>
        <b val="1"/>
        <i val="0"/>
        <color rgb="FFFFFFFF"/>
      </font>
      <fill>
        <patternFill>
          <bgColor rgb="FF000000"/>
        </patternFill>
      </fill>
    </dxf>
    <dxf>
      <font>
        <color rgb="FFFFFFFF"/>
      </font>
      <fill>
        <patternFill>
          <bgColor rgb="FFFF0000"/>
        </patternFill>
      </fill>
    </dxf>
    <dxf>
      <font>
        <color rgb="00FFFFFF"/>
      </font>
      <fill>
        <patternFill>
          <bgColor rgb="FFFFC000"/>
        </patternFill>
      </fill>
    </dxf>
    <dxf>
      <fill>
        <patternFill>
          <bgColor rgb="FF92D050"/>
        </patternFill>
      </fill>
    </dxf>
    <dxf>
      <font>
        <color rgb="FFFF0000"/>
      </font>
      <fill>
        <patternFill>
          <bgColor rgb="FFFFFF00"/>
        </patternFill>
      </fill>
    </dxf>
    <dxf>
      <font>
        <color rgb="FFFFFFFF"/>
      </font>
      <fill>
        <patternFill>
          <bgColor rgb="FF0D0D0D"/>
        </patternFill>
      </fill>
    </dxf>
    <dxf>
      <font>
        <color rgb="FFFFFFFF"/>
      </font>
      <fill>
        <patternFill>
          <bgColor rgb="FFFF0000"/>
        </patternFill>
      </fill>
    </dxf>
    <dxf>
      <font>
        <color rgb="FF000000"/>
      </font>
      <fill>
        <patternFill>
          <bgColor rgb="FFFFC000"/>
        </patternFill>
      </fill>
    </dxf>
    <dxf>
      <fill>
        <patternFill>
          <bgColor rgb="FF92D050"/>
        </patternFill>
      </fill>
    </dxf>
    <dxf>
      <font>
        <color rgb="FFE60000"/>
      </font>
      <fill>
        <patternFill>
          <bgColor rgb="FFFFFF00"/>
        </patternFill>
      </fill>
    </dxf>
    <dxf>
      <font>
        <color rgb="FFFFFFFF"/>
      </font>
      <fill>
        <patternFill>
          <bgColor rgb="FF0D0D0D"/>
        </patternFill>
      </fill>
    </dxf>
    <dxf>
      <font>
        <color rgb="FFFFFFFF"/>
      </font>
      <fill>
        <patternFill>
          <bgColor rgb="FFFF0000"/>
        </patternFill>
      </fill>
    </dxf>
    <dxf>
      <font>
        <color rgb="FF000000"/>
      </font>
      <fill>
        <patternFill>
          <bgColor rgb="FFFFC000"/>
        </patternFill>
      </fill>
    </dxf>
    <dxf>
      <fill>
        <patternFill>
          <bgColor rgb="FF92D050"/>
        </patternFill>
      </fill>
    </dxf>
    <dxf>
      <font>
        <color rgb="FFE60000"/>
      </font>
      <fill>
        <patternFill>
          <bgColor rgb="FFFFFF00"/>
        </patternFill>
      </fill>
    </dxf>
    <dxf>
      <font>
        <color rgb="FFFF0000"/>
      </font>
      <fill>
        <patternFill>
          <bgColor rgb="FF0D0D0D"/>
        </patternFill>
      </fill>
    </dxf>
    <dxf>
      <font>
        <color rgb="FFFFFFFF"/>
      </font>
      <fill>
        <patternFill>
          <bgColor rgb="FFFF0000"/>
        </patternFill>
      </fill>
    </dxf>
    <dxf>
      <font>
        <color rgb="FF000000"/>
      </font>
      <fill>
        <patternFill>
          <bgColor rgb="FFFFC000"/>
        </patternFill>
      </fill>
    </dxf>
    <dxf>
      <fill>
        <patternFill>
          <bgColor rgb="FF92D050"/>
        </patternFill>
      </fill>
    </dxf>
    <dxf>
      <font>
        <color rgb="FFFF0000"/>
      </font>
      <fill>
        <patternFill>
          <bgColor rgb="FFFFFF00"/>
        </patternFill>
      </fill>
    </dxf>
    <dxf>
      <font>
        <color rgb="FFFFFFFF"/>
      </font>
      <fill>
        <patternFill>
          <bgColor rgb="FF0D0D0D"/>
        </patternFill>
      </fill>
    </dxf>
    <dxf>
      <font>
        <color rgb="FFFFFFFF"/>
      </font>
      <fill>
        <patternFill>
          <bgColor rgb="FFFF0000"/>
        </patternFill>
      </fill>
    </dxf>
    <dxf>
      <font>
        <color rgb="FF000000"/>
      </font>
      <fill>
        <patternFill>
          <bgColor rgb="FFFFC000"/>
        </patternFill>
      </fill>
    </dxf>
    <dxf>
      <fill>
        <patternFill>
          <bgColor rgb="FF92D050"/>
        </patternFill>
      </fill>
    </dxf>
    <dxf>
      <font>
        <color rgb="FFFFFFFF"/>
      </font>
      <fill>
        <patternFill>
          <bgColor rgb="FF000000"/>
        </patternFill>
      </fill>
    </dxf>
    <dxf>
      <font>
        <color rgb="FFFFFFFF"/>
      </font>
      <fill>
        <patternFill>
          <bgColor rgb="FFFF0000"/>
        </patternFill>
      </fill>
    </dxf>
    <dxf>
      <fill>
        <patternFill>
          <bgColor rgb="FFFFC000"/>
        </patternFill>
      </fill>
    </dxf>
    <dxf>
      <fill>
        <patternFill>
          <bgColor rgb="FF92D050"/>
        </patternFill>
      </fill>
    </dxf>
    <dxf>
      <font>
        <color rgb="FFFFFFFF"/>
      </font>
      <fill>
        <patternFill>
          <bgColor rgb="FF000000"/>
        </patternFill>
      </fill>
    </dxf>
    <dxf>
      <font>
        <color rgb="FFFFFFFF"/>
      </font>
      <fill>
        <patternFill>
          <bgColor rgb="FFFF0000"/>
        </patternFill>
      </fill>
    </dxf>
    <dxf>
      <fill>
        <patternFill>
          <bgColor rgb="FFFFC000"/>
        </patternFill>
      </fill>
    </dxf>
    <dxf>
      <fill>
        <patternFill>
          <bgColor rgb="FF92D050"/>
        </patternFill>
      </fill>
    </dxf>
    <dxf>
      <font>
        <color rgb="FFFFFFFF"/>
      </font>
      <fill>
        <patternFill>
          <bgColor rgb="FF000000"/>
        </patternFill>
      </fill>
    </dxf>
    <dxf>
      <font>
        <color rgb="FFFFFFFF"/>
      </font>
      <fill>
        <patternFill>
          <bgColor rgb="FFFF0000"/>
        </patternFill>
      </fill>
    </dxf>
    <dxf>
      <fill>
        <patternFill>
          <bgColor rgb="FFFFC000"/>
        </patternFill>
      </fill>
    </dxf>
    <dxf>
      <fill>
        <patternFill>
          <bgColor rgb="FF92D050"/>
        </patternFill>
      </fill>
    </dxf>
    <dxf>
      <font>
        <color rgb="FFFF0000"/>
      </font>
      <fill>
        <patternFill>
          <bgColor rgb="FFFFFF00"/>
        </patternFill>
      </fill>
    </dxf>
    <dxf>
      <font>
        <b val="1"/>
        <i val="0"/>
        <color rgb="FFFFFFFF"/>
      </font>
      <fill>
        <patternFill>
          <bgColor rgb="FF000000"/>
        </patternFill>
      </fill>
    </dxf>
    <dxf>
      <font>
        <color rgb="FFFFFFFF"/>
      </font>
      <fill>
        <patternFill>
          <bgColor rgb="FFFF0000"/>
        </patternFill>
      </fill>
    </dxf>
    <dxf>
      <font>
        <color rgb="00FFFFFF"/>
      </font>
      <fill>
        <patternFill>
          <bgColor rgb="FFFFC000"/>
        </patternFill>
      </fill>
    </dxf>
    <dxf>
      <fill>
        <patternFill>
          <bgColor rgb="FF92D050"/>
        </patternFill>
      </fill>
    </dxf>
    <dxf>
      <font>
        <color rgb="FFFF0000"/>
      </font>
      <fill>
        <patternFill>
          <bgColor rgb="FFFFFF00"/>
        </patternFill>
      </fill>
    </dxf>
    <dxf>
      <font>
        <b val="1"/>
        <i val="0"/>
        <color rgb="FFFFFFFF"/>
      </font>
      <fill>
        <patternFill>
          <bgColor rgb="FF000000"/>
        </patternFill>
      </fill>
    </dxf>
    <dxf>
      <font>
        <color rgb="FFFFFFFF"/>
      </font>
      <fill>
        <patternFill>
          <bgColor rgb="FFFF0000"/>
        </patternFill>
      </fill>
    </dxf>
    <dxf>
      <font>
        <color rgb="00FFFFFF"/>
      </font>
      <fill>
        <patternFill>
          <bgColor rgb="FFFFC000"/>
        </patternFill>
      </fill>
    </dxf>
    <dxf>
      <fill>
        <patternFill>
          <bgColor rgb="FF92D050"/>
        </patternFill>
      </fill>
    </dxf>
    <dxf>
      <font>
        <color rgb="FFFF0000"/>
      </font>
      <fill>
        <patternFill>
          <bgColor rgb="FFFFFF00"/>
        </patternFill>
      </fill>
    </dxf>
    <dxf>
      <font>
        <b val="1"/>
        <i val="0"/>
        <color rgb="FFFFFFFF"/>
      </font>
      <fill>
        <patternFill>
          <bgColor rgb="FF000000"/>
        </patternFill>
      </fill>
    </dxf>
    <dxf>
      <font>
        <color rgb="FFFFFFFF"/>
      </font>
      <fill>
        <patternFill>
          <bgColor rgb="FFFF0000"/>
        </patternFill>
      </fill>
    </dxf>
    <dxf>
      <font>
        <color rgb="00FFFFFF"/>
      </font>
      <fill>
        <patternFill>
          <bgColor rgb="FFFFC000"/>
        </patternFill>
      </fill>
    </dxf>
    <dxf>
      <fill>
        <patternFill>
          <bgColor rgb="FF92D050"/>
        </patternFill>
      </fill>
    </dxf>
    <dxf>
      <font>
        <color rgb="FFFF0000"/>
      </font>
      <fill>
        <patternFill>
          <bgColor rgb="FFFFFF00"/>
        </patternFill>
      </fill>
    </dxf>
    <dxf>
      <font>
        <b val="1"/>
        <i val="0"/>
        <color rgb="FFFFFFFF"/>
      </font>
      <fill>
        <patternFill>
          <bgColor rgb="FF000000"/>
        </patternFill>
      </fill>
    </dxf>
    <dxf>
      <font>
        <color rgb="FFFFFFFF"/>
      </font>
      <fill>
        <patternFill>
          <bgColor rgb="FFFF0000"/>
        </patternFill>
      </fill>
    </dxf>
    <dxf>
      <font>
        <color rgb="00FFFFFF"/>
      </font>
      <fill>
        <patternFill>
          <bgColor rgb="FFFFC000"/>
        </patternFill>
      </fill>
    </dxf>
    <dxf>
      <fill>
        <patternFill>
          <bgColor rgb="FF92D050"/>
        </patternFill>
      </fill>
    </dxf>
  </dxfs>
  <colors>
    <indexedColors>
      <rgbColor rgb="FF000000"/>
      <rgbColor rgb="FFFFFFFF"/>
      <rgbColor rgb="FFFF0000"/>
      <rgbColor rgb="FF00FF00"/>
      <rgbColor rgb="FFEEECE1"/>
      <rgbColor rgb="FFFFFF00"/>
      <rgbColor rgb="FFFF3AE9"/>
      <rgbColor rgb="FFC6E0B4"/>
      <rgbColor rgb="FF940004"/>
      <rgbColor rgb="FF008400"/>
      <rgbColor rgb="FFFDEADA"/>
      <rgbColor rgb="FFBF8F00"/>
      <rgbColor rgb="FFFCD5B5"/>
      <rgbColor rgb="FFCCC1DA"/>
      <rgbColor rgb="FFC0C0C0"/>
      <rgbColor rgb="FF807E83"/>
      <rgbColor rgb="FF8EB4E3"/>
      <rgbColor rgb="FF7030A0"/>
      <rgbColor rgb="FFFFF9CC"/>
      <rgbColor rgb="FFDBEEF4"/>
      <rgbColor rgb="FFE6E0EC"/>
      <rgbColor rgb="FFDF958E"/>
      <rgbColor rgb="FF1875C2"/>
      <rgbColor rgb="FFC6D9F1"/>
      <rgbColor rgb="FFF2F2F2"/>
      <rgbColor rgb="FFFAC090"/>
      <rgbColor rgb="FFFFC000"/>
      <rgbColor rgb="FFC3D69B"/>
      <rgbColor rgb="FFF2DCDB"/>
      <rgbColor rgb="FFDF0000"/>
      <rgbColor rgb="FFDAD9D8"/>
      <rgbColor rgb="FFEBF1DE"/>
      <rgbColor rgb="FF00B0F0"/>
      <rgbColor rgb="FFDCE6F2"/>
      <rgbColor rgb="FFE2EFDA"/>
      <rgbColor rgb="FFFFFF99"/>
      <rgbColor rgb="FFB9CDE5"/>
      <rgbColor rgb="FFE6B8B7"/>
      <rgbColor rgb="FFB3A2C7"/>
      <rgbColor rgb="FFFFCC99"/>
      <rgbColor rgb="FF5192D4"/>
      <rgbColor rgb="FFB7DEE8"/>
      <rgbColor rgb="FF90D54E"/>
      <rgbColor rgb="FFFFCC00"/>
      <rgbColor rgb="FFCC9900"/>
      <rgbColor rgb="FFDF6609"/>
      <rgbColor rgb="FF525A5A"/>
      <rgbColor rgb="FF878787"/>
      <rgbColor rgb="FFE4DFEC"/>
      <rgbColor rgb="FFACA3BE"/>
      <rgbColor rgb="FF0F0F0F"/>
      <rgbColor rgb="FFD7E4BD"/>
      <rgbColor rgb="FFE6B9B8"/>
      <rgbColor rgb="FFBFBFBF"/>
      <rgbColor rgb="FFF8CBAD"/>
      <rgbColor rgb="FFFFC7C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externalLink" Target="externalLinks/externalLink3.xml"/><Relationship Id="rId48" Type="http://schemas.openxmlformats.org/officeDocument/2006/relationships/externalLink" Target="externalLinks/externalLink2.xml"/><Relationship Id="rId49" Type="http://schemas.openxmlformats.org/officeDocument/2006/relationships/externalLink" Target="externalLinks/externalLink1.xml"/><Relationship Id="rId50" Type="http://schemas.openxmlformats.org/officeDocument/2006/relationships/externalLink" Target="externalLinks/externalLink4.xml"/><Relationship Id="rId51" Type="http://schemas.openxmlformats.org/officeDocument/2006/relationships/externalLink" Target="externalLinks/externalLink5.xml"/><Relationship Id="rId52" Type="http://schemas.openxmlformats.org/officeDocument/2006/relationships/externalLink" Target="externalLinks/externalLink6.xml"/><Relationship Id="rId53" Type="http://schemas.openxmlformats.org/officeDocument/2006/relationships/externalLink" Target="externalLinks/externalLink7.xml"/><Relationship Id="rId54" Type="http://schemas.openxmlformats.org/officeDocument/2006/relationships/externalLink" Target="externalLinks/externalLink8.xml"/><Relationship Id="rId55" Type="http://schemas.openxmlformats.org/officeDocument/2006/relationships/externalLink" Target="externalLinks/externalLink9.xml"/><Relationship Id="rId56" Type="http://schemas.openxmlformats.org/officeDocument/2006/relationships/sharedStrings" Target="sharedStrings.xml"/><Relationship Id="rId57" Type="http://schemas.openxmlformats.org/officeDocument/2006/relationships/pivotCacheDefinition" Target="pivotCache/pivotCacheDefinition1.xml"/>
</Relationships>
</file>

<file path=xl/charts/chart49.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10308467107334"/>
          <c:y val="0.0418430165448249"/>
          <c:w val="0.707467736858672"/>
          <c:h val="0.849942285494421"/>
        </c:manualLayout>
      </c:layout>
      <c:barChart>
        <c:barDir val="col"/>
        <c:grouping val="stacked"/>
        <c:varyColors val="0"/>
        <c:ser>
          <c:idx val="0"/>
          <c:order val="0"/>
          <c:tx>
            <c:strRef>
              <c:f>'Floorspace Calc'!$O$21</c:f>
              <c:strCache>
                <c:ptCount val="1"/>
                <c:pt idx="0">
                  <c:v>Used (m²) </c:v>
                </c:pt>
              </c:strCache>
            </c:strRef>
          </c:tx>
          <c:spPr>
            <a:solidFill>
              <a:srgbClr val="008000"/>
            </a:solidFill>
            <a:ln>
              <a:solidFill>
                <a:srgbClr val="000000"/>
              </a:solidFill>
            </a:ln>
          </c:spPr>
          <c:invertIfNegative val="0"/>
          <c:dLbls>
            <c:txPr>
              <a:bodyPr/>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'Floorspace Calc'!$G$22:$G$27</c:f>
              <c:strCache>
                <c:ptCount val="6"/>
                <c:pt idx="0">
                  <c:v>XBE</c:v>
                </c:pt>
                <c:pt idx="1">
                  <c:v>XMS</c:v>
                </c:pt>
                <c:pt idx="2">
                  <c:v>XLD</c:v>
                </c:pt>
                <c:pt idx="3">
                  <c:v>XEH</c:v>
                </c:pt>
                <c:pt idx="4">
                  <c:v>XGL</c:v>
                </c:pt>
                <c:pt idx="5">
                  <c:v>XAN</c:v>
                </c:pt>
              </c:strCache>
            </c:strRef>
          </c:cat>
          <c:val>
            <c:numRef>
              <c:f>'Floorspace Calc'!$O$22:$O$27</c:f>
              <c:numCache>
                <c:formatCode>General</c:formatCode>
                <c:ptCount val="6"/>
                <c:pt idx="0">
                  <c:v>76.8</c:v>
                </c:pt>
                <c:pt idx="1">
                  <c:v>92.8</c:v>
                </c:pt>
                <c:pt idx="2">
                  <c:v>81.6</c:v>
                </c:pt>
                <c:pt idx="3">
                  <c:v>89.6</c:v>
                </c:pt>
                <c:pt idx="4">
                  <c:v>32</c:v>
                </c:pt>
                <c:pt idx="5">
                  <c:v>12.8</c:v>
                </c:pt>
              </c:numCache>
            </c:numRef>
          </c:val>
        </c:ser>
        <c:ser>
          <c:idx val="1"/>
          <c:order val="1"/>
          <c:tx>
            <c:strRef>
              <c:f>'Floorspace Calc'!$M$21</c:f>
              <c:strCache>
                <c:ptCount val="1"/>
                <c:pt idx="0">
                  <c:v>Reserved (m²) </c:v>
                </c:pt>
              </c:strCache>
            </c:strRef>
          </c:tx>
          <c:spPr>
            <a:solidFill>
              <a:srgbClr val="e46c0a"/>
            </a:solidFill>
            <a:ln>
              <a:solidFill>
                <a:srgbClr val="000000"/>
              </a:solidFill>
            </a:ln>
          </c:spPr>
          <c:invertIfNegative val="0"/>
          <c:dLbls>
            <c:txPr>
              <a:bodyPr/>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'Floorspace Calc'!$G$22:$G$27</c:f>
              <c:strCache>
                <c:ptCount val="6"/>
                <c:pt idx="0">
                  <c:v>XBE</c:v>
                </c:pt>
                <c:pt idx="1">
                  <c:v>XMS</c:v>
                </c:pt>
                <c:pt idx="2">
                  <c:v>XLD</c:v>
                </c:pt>
                <c:pt idx="3">
                  <c:v>XEH</c:v>
                </c:pt>
                <c:pt idx="4">
                  <c:v>XGL</c:v>
                </c:pt>
                <c:pt idx="5">
                  <c:v>XAN</c:v>
                </c:pt>
              </c:strCache>
            </c:strRef>
          </c:cat>
          <c:val>
            <c:numRef>
              <c:f>'Floorspace Calc'!$M$22:$M$27</c:f>
              <c:numCache>
                <c:formatCode>General</c:formatCode>
                <c:ptCount val="6"/>
                <c:pt idx="0">
                  <c:v>1.6</c:v>
                </c:pt>
                <c:pt idx="1">
                  <c:v>0</c:v>
                </c:pt>
                <c:pt idx="2">
                  <c:v>0</c:v>
                </c:pt>
                <c:pt idx="3">
                  <c:v>0</c:v>
                </c:pt>
                <c:pt idx="4">
                  <c:v>0</c:v>
                </c:pt>
                <c:pt idx="5">
                  <c:v>0</c:v>
                </c:pt>
              </c:numCache>
            </c:numRef>
          </c:val>
        </c:ser>
        <c:ser>
          <c:idx val="2"/>
          <c:order val="2"/>
          <c:tx>
            <c:strRef>
              <c:f>'Floorspace Calc'!$N$21</c:f>
              <c:strCache>
                <c:ptCount val="1"/>
                <c:pt idx="0">
                  <c:v>Forecast (m²) </c:v>
                </c:pt>
              </c:strCache>
            </c:strRef>
          </c:tx>
          <c:spPr>
            <a:solidFill>
              <a:srgbClr val="990033"/>
            </a:solidFill>
            <a:ln>
              <a:solidFill>
                <a:srgbClr val="000000"/>
              </a:solidFill>
            </a:ln>
          </c:spPr>
          <c:invertIfNegative val="0"/>
          <c:dLbls>
            <c:txPr>
              <a:bodyPr/>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'Floorspace Calc'!$G$22:$G$27</c:f>
              <c:strCache>
                <c:ptCount val="6"/>
                <c:pt idx="0">
                  <c:v>XBE</c:v>
                </c:pt>
                <c:pt idx="1">
                  <c:v>XMS</c:v>
                </c:pt>
                <c:pt idx="2">
                  <c:v>XLD</c:v>
                </c:pt>
                <c:pt idx="3">
                  <c:v>XEH</c:v>
                </c:pt>
                <c:pt idx="4">
                  <c:v>XGL</c:v>
                </c:pt>
                <c:pt idx="5">
                  <c:v>XAN</c:v>
                </c:pt>
              </c:strCache>
            </c:strRef>
          </c:cat>
          <c:val>
            <c:numRef>
              <c:f>'Floorspace Calc'!$N$22:$N$27</c:f>
              <c:numCache>
                <c:formatCode>General</c:formatCode>
                <c:ptCount val="6"/>
                <c:pt idx="0">
                  <c:v>3.2</c:v>
                </c:pt>
                <c:pt idx="1">
                  <c:v>1.6</c:v>
                </c:pt>
                <c:pt idx="2">
                  <c:v>0</c:v>
                </c:pt>
                <c:pt idx="3">
                  <c:v>4.8</c:v>
                </c:pt>
                <c:pt idx="4">
                  <c:v>9.6</c:v>
                </c:pt>
                <c:pt idx="5">
                  <c:v>6.4</c:v>
                </c:pt>
              </c:numCache>
            </c:numRef>
          </c:val>
        </c:ser>
        <c:ser>
          <c:idx val="3"/>
          <c:order val="3"/>
          <c:tx>
            <c:strRef>
              <c:f>'Floorspace Calc'!$P$21</c:f>
              <c:strCache>
                <c:ptCount val="1"/>
                <c:pt idx="0">
                  <c:v>Remaining (m²) </c:v>
                </c:pt>
              </c:strCache>
            </c:strRef>
          </c:tx>
          <c:spPr>
            <a:solidFill>
              <a:srgbClr val="ffffcc"/>
            </a:solidFill>
            <a:ln>
              <a:solidFill>
                <a:srgbClr val="000000"/>
              </a:solidFill>
            </a:ln>
          </c:spPr>
          <c:invertIfNegative val="0"/>
          <c:dLbls>
            <c:txPr>
              <a:bodyPr/>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'Floorspace Calc'!$G$22:$G$27</c:f>
              <c:strCache>
                <c:ptCount val="6"/>
                <c:pt idx="0">
                  <c:v>XBE</c:v>
                </c:pt>
                <c:pt idx="1">
                  <c:v>XMS</c:v>
                </c:pt>
                <c:pt idx="2">
                  <c:v>XLD</c:v>
                </c:pt>
                <c:pt idx="3">
                  <c:v>XEH</c:v>
                </c:pt>
                <c:pt idx="4">
                  <c:v>XGL</c:v>
                </c:pt>
                <c:pt idx="5">
                  <c:v>XAN</c:v>
                </c:pt>
              </c:strCache>
            </c:strRef>
          </c:cat>
          <c:val>
            <c:numRef>
              <c:f>'Floorspace Calc'!$P$22:$P$27</c:f>
              <c:numCache>
                <c:formatCode>General</c:formatCode>
                <c:ptCount val="6"/>
                <c:pt idx="0">
                  <c:v>14.4</c:v>
                </c:pt>
                <c:pt idx="1">
                  <c:v>0</c:v>
                </c:pt>
                <c:pt idx="2">
                  <c:v>0</c:v>
                </c:pt>
                <c:pt idx="3">
                  <c:v>4.8</c:v>
                </c:pt>
                <c:pt idx="4">
                  <c:v>20.8</c:v>
                </c:pt>
                <c:pt idx="5">
                  <c:v>8</c:v>
                </c:pt>
              </c:numCache>
            </c:numRef>
          </c:val>
        </c:ser>
        <c:gapWidth val="70"/>
        <c:overlap val="100"/>
        <c:axId val="58653945"/>
        <c:axId val="50201392"/>
      </c:barChart>
      <c:catAx>
        <c:axId val="58653945"/>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b="0" sz="2000" spc="-1" strike="noStrike">
                <a:solidFill>
                  <a:srgbClr val="000000"/>
                </a:solidFill>
                <a:latin typeface="Vodafone Lt"/>
              </a:defRPr>
            </a:pPr>
          </a:p>
        </c:txPr>
        <c:crossAx val="50201392"/>
        <c:crosses val="autoZero"/>
        <c:auto val="1"/>
        <c:lblAlgn val="ctr"/>
        <c:lblOffset val="100"/>
        <c:noMultiLvlLbl val="0"/>
      </c:catAx>
      <c:valAx>
        <c:axId val="50201392"/>
        <c:scaling>
          <c:orientation val="minMax"/>
          <c:max val="35"/>
        </c:scaling>
        <c:delete val="0"/>
        <c:axPos val="l"/>
        <c:majorGridlines>
          <c:spPr>
            <a:ln w="9360">
              <a:solidFill>
                <a:srgbClr val="878787"/>
              </a:solidFill>
              <a:round/>
            </a:ln>
          </c:spPr>
        </c:majorGridlines>
        <c:numFmt formatCode="0" sourceLinked="0"/>
        <c:majorTickMark val="out"/>
        <c:minorTickMark val="none"/>
        <c:tickLblPos val="nextTo"/>
        <c:spPr>
          <a:ln w="9360">
            <a:solidFill>
              <a:srgbClr val="878787"/>
            </a:solidFill>
            <a:round/>
          </a:ln>
        </c:spPr>
        <c:txPr>
          <a:bodyPr/>
          <a:lstStyle/>
          <a:p>
            <a:pPr>
              <a:defRPr b="0" sz="1800" spc="-1" strike="noStrike">
                <a:solidFill>
                  <a:srgbClr val="000000"/>
                </a:solidFill>
                <a:latin typeface="Vodafone Lt"/>
              </a:defRPr>
            </a:pPr>
          </a:p>
        </c:txPr>
        <c:crossAx val="58653945"/>
        <c:crosses val="autoZero"/>
        <c:crossBetween val="between"/>
      </c:valAx>
      <c:spPr>
        <a:solidFill>
          <a:srgbClr val="e6e0ec"/>
        </a:solidFill>
        <a:ln>
          <a:noFill/>
        </a:ln>
      </c:spPr>
    </c:plotArea>
    <c:legend>
      <c:legendPos val="r"/>
      <c:layout>
        <c:manualLayout>
          <c:xMode val="edge"/>
          <c:yMode val="edge"/>
          <c:x val="0.805830972615675"/>
          <c:y val="0.261061946902655"/>
          <c:w val="0.185638402518198"/>
          <c:h val="0.384896584896585"/>
        </c:manualLayout>
      </c:layout>
      <c:overlay val="0"/>
      <c:spPr>
        <a:noFill/>
        <a:ln>
          <a:noFill/>
        </a:ln>
      </c:spPr>
      <c:txPr>
        <a:bodyPr/>
        <a:lstStyle/>
        <a:p>
          <a:pPr>
            <a:defRPr b="0" sz="1800" spc="-1" strike="noStrike">
              <a:solidFill>
                <a:srgbClr val="000000"/>
              </a:solidFill>
              <a:latin typeface="Vodafone Lt"/>
            </a:defRPr>
          </a:pPr>
        </a:p>
      </c:txPr>
    </c:legend>
    <c:plotVisOnly val="1"/>
    <c:dispBlanksAs val="gap"/>
  </c:chart>
  <c:spPr>
    <a:solidFill>
      <a:srgbClr val="ffffff"/>
    </a:solidFill>
    <a:ln w="9360">
      <a:solidFill>
        <a:srgbClr val="d9d9d9"/>
      </a:solidFill>
      <a:round/>
    </a:ln>
  </c:spPr>
</c:chartSpace>
</file>

<file path=xl/charts/chart50.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92390677281643"/>
          <c:y val="0.0285497486483923"/>
          <c:w val="0.630754586362063"/>
          <c:h val="0.91838186474438"/>
        </c:manualLayout>
      </c:layout>
      <c:barChart>
        <c:barDir val="col"/>
        <c:grouping val="stacked"/>
        <c:varyColors val="0"/>
        <c:ser>
          <c:idx val="0"/>
          <c:order val="0"/>
          <c:tx>
            <c:strRef>
              <c:f>'Power figures'!$B$40</c:f>
              <c:strCache>
                <c:ptCount val="1"/>
                <c:pt idx="0">
                  <c:v/>
                </c:pt>
              </c:strCache>
            </c:strRef>
          </c:tx>
          <c:spPr>
            <a:solidFill>
              <a:srgbClr val="ff0000"/>
            </a:solidFill>
            <a:ln>
              <a:solidFill>
                <a:srgbClr val="000000"/>
              </a:solidFill>
            </a:ln>
          </c:spPr>
          <c:invertIfNegative val="0"/>
          <c:dLbls>
            <c:txPr>
              <a:bodyPr/>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'Power figures'!$A$23:$A$41</c:f>
              <c:strCache>
                <c:ptCount val="19"/>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pt idx="13">
                  <c:v/>
                </c:pt>
                <c:pt idx="14">
                  <c:v/>
                </c:pt>
                <c:pt idx="15">
                  <c:v/>
                </c:pt>
                <c:pt idx="16">
                  <c:v/>
                </c:pt>
                <c:pt idx="17">
                  <c:v/>
                </c:pt>
                <c:pt idx="18">
                  <c:v/>
                </c:pt>
              </c:strCache>
            </c:strRef>
          </c:cat>
          <c:val>
            <c:numRef>
              <c:f>'Power figures'!$B$23:$B$41</c:f>
              <c:numCache>
                <c:formatCode>General</c:formatCode>
                <c:ptCount val="19"/>
                <c:pt idx="0">
                  <c:v>34</c:v>
                </c:pt>
                <c:pt idx="1">
                  <c:v>47.96</c:v>
                </c:pt>
                <c:pt idx="2">
                  <c:v>30.66061</c:v>
                </c:pt>
                <c:pt idx="3">
                  <c:v>50.14</c:v>
                </c:pt>
                <c:pt idx="4">
                  <c:v>30.52</c:v>
                </c:pt>
                <c:pt idx="5">
                  <c:v>17.44</c:v>
                </c:pt>
                <c:pt idx="6">
                  <c:v>7.63</c:v>
                </c:pt>
                <c:pt idx="7">
                  <c:v>0</c:v>
                </c:pt>
                <c:pt idx="8">
                  <c:v>35.97</c:v>
                </c:pt>
                <c:pt idx="9">
                  <c:v>0</c:v>
                </c:pt>
                <c:pt idx="10">
                  <c:v>8.72</c:v>
                </c:pt>
                <c:pt idx="11">
                  <c:v>6.54</c:v>
                </c:pt>
                <c:pt idx="12">
                  <c:v>7.63</c:v>
                </c:pt>
              </c:numCache>
            </c:numRef>
          </c:val>
        </c:ser>
        <c:ser>
          <c:idx val="1"/>
          <c:order val="1"/>
          <c:tx>
            <c:strRef>
              <c:f>'Power figures'!$C$40</c:f>
              <c:strCache>
                <c:ptCount val="1"/>
                <c:pt idx="0">
                  <c:v/>
                </c:pt>
              </c:strCache>
            </c:strRef>
          </c:tx>
          <c:spPr>
            <a:solidFill>
              <a:srgbClr val="008000"/>
            </a:solidFill>
            <a:ln>
              <a:solidFill>
                <a:srgbClr val="000000"/>
              </a:solidFill>
            </a:ln>
          </c:spPr>
          <c:invertIfNegative val="0"/>
          <c:dLbls>
            <c:txPr>
              <a:bodyPr/>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'Power figures'!$A$23:$A$41</c:f>
              <c:strCache>
                <c:ptCount val="19"/>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pt idx="13">
                  <c:v/>
                </c:pt>
                <c:pt idx="14">
                  <c:v/>
                </c:pt>
                <c:pt idx="15">
                  <c:v/>
                </c:pt>
                <c:pt idx="16">
                  <c:v/>
                </c:pt>
                <c:pt idx="17">
                  <c:v/>
                </c:pt>
                <c:pt idx="18">
                  <c:v/>
                </c:pt>
              </c:strCache>
            </c:strRef>
          </c:cat>
          <c:val>
            <c:numRef>
              <c:f>'Power figures'!$C$23:$C$41</c:f>
              <c:numCache>
                <c:formatCode>General</c:formatCode>
                <c:ptCount val="19"/>
                <c:pt idx="0">
                  <c:v>260.736</c:v>
                </c:pt>
                <c:pt idx="1">
                  <c:v>234.6225</c:v>
                </c:pt>
                <c:pt idx="2">
                  <c:v>278.62689</c:v>
                </c:pt>
                <c:pt idx="3">
                  <c:v>221.597</c:v>
                </c:pt>
                <c:pt idx="4">
                  <c:v>133.634</c:v>
                </c:pt>
                <c:pt idx="5">
                  <c:v>96.683</c:v>
                </c:pt>
                <c:pt idx="6">
                  <c:v>61.0945</c:v>
                </c:pt>
                <c:pt idx="7">
                  <c:v>36.515</c:v>
                </c:pt>
                <c:pt idx="8">
                  <c:v>26.7595</c:v>
                </c:pt>
                <c:pt idx="9">
                  <c:v>21.4185</c:v>
                </c:pt>
                <c:pt idx="10">
                  <c:v>91.669</c:v>
                </c:pt>
                <c:pt idx="11">
                  <c:v>81.1505</c:v>
                </c:pt>
                <c:pt idx="12">
                  <c:v>101.2065</c:v>
                </c:pt>
              </c:numCache>
            </c:numRef>
          </c:val>
        </c:ser>
        <c:ser>
          <c:idx val="2"/>
          <c:order val="2"/>
          <c:tx>
            <c:strRef>
              <c:f>'Power figures'!$D$40</c:f>
              <c:strCache>
                <c:ptCount val="1"/>
                <c:pt idx="0">
                  <c:v/>
                </c:pt>
              </c:strCache>
            </c:strRef>
          </c:tx>
          <c:spPr>
            <a:solidFill>
              <a:srgbClr val="e46c0a"/>
            </a:solidFill>
            <a:ln>
              <a:solidFill>
                <a:srgbClr val="000000"/>
              </a:solidFill>
            </a:ln>
          </c:spPr>
          <c:invertIfNegative val="0"/>
          <c:dLbls>
            <c:txPr>
              <a:bodyPr/>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'Power figures'!$A$23:$A$41</c:f>
              <c:strCache>
                <c:ptCount val="19"/>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pt idx="13">
                  <c:v/>
                </c:pt>
                <c:pt idx="14">
                  <c:v/>
                </c:pt>
                <c:pt idx="15">
                  <c:v/>
                </c:pt>
                <c:pt idx="16">
                  <c:v/>
                </c:pt>
                <c:pt idx="17">
                  <c:v/>
                </c:pt>
                <c:pt idx="18">
                  <c:v/>
                </c:pt>
              </c:strCache>
            </c:strRef>
          </c:cat>
          <c:val>
            <c:numRef>
              <c:f>'Power figures'!$D$23:$D$41</c:f>
              <c:numCache>
                <c:formatCode>General</c:formatCode>
                <c:ptCount val="19"/>
                <c:pt idx="0">
                  <c:v>50.467</c:v>
                </c:pt>
                <c:pt idx="1">
                  <c:v>67.3075</c:v>
                </c:pt>
                <c:pt idx="2">
                  <c:v>98.8085</c:v>
                </c:pt>
                <c:pt idx="3">
                  <c:v>102.133</c:v>
                </c:pt>
                <c:pt idx="4">
                  <c:v>13.8975</c:v>
                </c:pt>
                <c:pt idx="5">
                  <c:v>0</c:v>
                </c:pt>
                <c:pt idx="6">
                  <c:v>0</c:v>
                </c:pt>
                <c:pt idx="7">
                  <c:v>0</c:v>
                </c:pt>
                <c:pt idx="8">
                  <c:v>0</c:v>
                </c:pt>
                <c:pt idx="9">
                  <c:v>0</c:v>
                </c:pt>
                <c:pt idx="10">
                  <c:v>0</c:v>
                </c:pt>
                <c:pt idx="11">
                  <c:v>0</c:v>
                </c:pt>
                <c:pt idx="12">
                  <c:v>0</c:v>
                </c:pt>
              </c:numCache>
            </c:numRef>
          </c:val>
        </c:ser>
        <c:ser>
          <c:idx val="3"/>
          <c:order val="3"/>
          <c:tx>
            <c:strRef>
              <c:f>'Power figures'!$E$40</c:f>
              <c:strCache>
                <c:ptCount val="1"/>
                <c:pt idx="0">
                  <c:v/>
                </c:pt>
              </c:strCache>
            </c:strRef>
          </c:tx>
          <c:spPr>
            <a:solidFill>
              <a:srgbClr val="800000"/>
            </a:solidFill>
            <a:ln>
              <a:solidFill>
                <a:srgbClr val="000000"/>
              </a:solidFill>
            </a:ln>
          </c:spPr>
          <c:invertIfNegative val="0"/>
          <c:dLbls>
            <c:txPr>
              <a:bodyPr/>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'Power figures'!$A$23:$A$41</c:f>
              <c:strCache>
                <c:ptCount val="19"/>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pt idx="13">
                  <c:v/>
                </c:pt>
                <c:pt idx="14">
                  <c:v/>
                </c:pt>
                <c:pt idx="15">
                  <c:v/>
                </c:pt>
                <c:pt idx="16">
                  <c:v/>
                </c:pt>
                <c:pt idx="17">
                  <c:v/>
                </c:pt>
                <c:pt idx="18">
                  <c:v/>
                </c:pt>
              </c:strCache>
            </c:strRef>
          </c:cat>
          <c:val>
            <c:numRef>
              <c:f>'Power figures'!$E$23:$E$41</c:f>
              <c:numCache>
                <c:formatCode>General</c:formatCode>
                <c:ptCount val="19"/>
                <c:pt idx="0">
                  <c:v>2.943</c:v>
                </c:pt>
                <c:pt idx="1">
                  <c:v>11.6194</c:v>
                </c:pt>
                <c:pt idx="2">
                  <c:v>21.0152</c:v>
                </c:pt>
                <c:pt idx="3">
                  <c:v>7.194</c:v>
                </c:pt>
                <c:pt idx="4">
                  <c:v>0</c:v>
                </c:pt>
                <c:pt idx="5">
                  <c:v>5.777</c:v>
                </c:pt>
                <c:pt idx="6">
                  <c:v>0.99552</c:v>
                </c:pt>
                <c:pt idx="7">
                  <c:v>0</c:v>
                </c:pt>
                <c:pt idx="8">
                  <c:v>0</c:v>
                </c:pt>
                <c:pt idx="9">
                  <c:v>0</c:v>
                </c:pt>
                <c:pt idx="10">
                  <c:v>6.97055</c:v>
                </c:pt>
                <c:pt idx="11">
                  <c:v>11.663</c:v>
                </c:pt>
                <c:pt idx="12">
                  <c:v>0</c:v>
                </c:pt>
              </c:numCache>
            </c:numRef>
          </c:val>
        </c:ser>
        <c:ser>
          <c:idx val="4"/>
          <c:order val="4"/>
          <c:tx>
            <c:strRef>
              <c:f>'Power figures'!$F$40</c:f>
              <c:strCache>
                <c:ptCount val="1"/>
                <c:pt idx="0">
                  <c:v/>
                </c:pt>
              </c:strCache>
            </c:strRef>
          </c:tx>
          <c:spPr>
            <a:solidFill>
              <a:srgbClr val="3a8ed5"/>
            </a:solidFill>
            <a:ln>
              <a:solidFill>
                <a:srgbClr val="000000"/>
              </a:solidFill>
            </a:ln>
          </c:spPr>
          <c:invertIfNegative val="0"/>
          <c:dLbls>
            <c:txPr>
              <a:bodyPr/>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'Power figures'!$A$23:$A$41</c:f>
              <c:strCache>
                <c:ptCount val="19"/>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pt idx="13">
                  <c:v/>
                </c:pt>
                <c:pt idx="14">
                  <c:v/>
                </c:pt>
                <c:pt idx="15">
                  <c:v/>
                </c:pt>
                <c:pt idx="16">
                  <c:v/>
                </c:pt>
                <c:pt idx="17">
                  <c:v/>
                </c:pt>
                <c:pt idx="18">
                  <c:v/>
                </c:pt>
              </c:strCache>
            </c:strRef>
          </c:cat>
          <c:val>
            <c:numRef>
              <c:f>'Power figures'!$F$23:$F$41</c:f>
              <c:numCache>
                <c:formatCode>General</c:formatCode>
                <c:ptCount val="19"/>
                <c:pt idx="0">
                  <c:v>29.854</c:v>
                </c:pt>
                <c:pt idx="1">
                  <c:v>100.4906</c:v>
                </c:pt>
                <c:pt idx="2">
                  <c:v>35.8888</c:v>
                </c:pt>
                <c:pt idx="3">
                  <c:v>83.936</c:v>
                </c:pt>
                <c:pt idx="4">
                  <c:v>136.9485</c:v>
                </c:pt>
                <c:pt idx="5">
                  <c:v>195.1</c:v>
                </c:pt>
                <c:pt idx="6">
                  <c:v>182.27998</c:v>
                </c:pt>
                <c:pt idx="7">
                  <c:v>96.485</c:v>
                </c:pt>
                <c:pt idx="8">
                  <c:v>70.2705</c:v>
                </c:pt>
                <c:pt idx="9">
                  <c:v>111.5815</c:v>
                </c:pt>
                <c:pt idx="10">
                  <c:v>207.64045</c:v>
                </c:pt>
                <c:pt idx="11">
                  <c:v>152.6465</c:v>
                </c:pt>
                <c:pt idx="12">
                  <c:v>195.6635</c:v>
                </c:pt>
              </c:numCache>
            </c:numRef>
          </c:val>
        </c:ser>
        <c:gapWidth val="60"/>
        <c:overlap val="100"/>
        <c:axId val="27739583"/>
        <c:axId val="98985610"/>
      </c:barChart>
      <c:catAx>
        <c:axId val="27739583"/>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b="0" sz="1800" spc="-1" strike="noStrike">
                <a:solidFill>
                  <a:srgbClr val="000000"/>
                </a:solidFill>
                <a:latin typeface="Vodafone Lt"/>
              </a:defRPr>
            </a:pPr>
          </a:p>
        </c:txPr>
        <c:crossAx val="98985610"/>
        <c:crosses val="autoZero"/>
        <c:auto val="1"/>
        <c:lblAlgn val="ctr"/>
        <c:lblOffset val="100"/>
        <c:noMultiLvlLbl val="0"/>
      </c:catAx>
      <c:valAx>
        <c:axId val="98985610"/>
        <c:scaling>
          <c:orientation val="minMax"/>
        </c:scaling>
        <c:delete val="0"/>
        <c:axPos val="l"/>
        <c:majorGridlines>
          <c:spPr>
            <a:ln w="9360">
              <a:solidFill>
                <a:srgbClr val="878787"/>
              </a:solidFill>
              <a:round/>
            </a:ln>
          </c:spPr>
        </c:majorGridlines>
        <c:numFmt formatCode="0" sourceLinked="0"/>
        <c:majorTickMark val="out"/>
        <c:minorTickMark val="none"/>
        <c:tickLblPos val="nextTo"/>
        <c:spPr>
          <a:ln w="9360">
            <a:solidFill>
              <a:srgbClr val="878787"/>
            </a:solidFill>
            <a:round/>
          </a:ln>
        </c:spPr>
        <c:txPr>
          <a:bodyPr/>
          <a:lstStyle/>
          <a:p>
            <a:pPr>
              <a:defRPr b="0" sz="1800" spc="-1" strike="noStrike">
                <a:solidFill>
                  <a:srgbClr val="000000"/>
                </a:solidFill>
                <a:latin typeface="Vodafone Lt"/>
              </a:defRPr>
            </a:pPr>
          </a:p>
        </c:txPr>
        <c:crossAx val="27739583"/>
        <c:crosses val="autoZero"/>
        <c:crossBetween val="between"/>
      </c:valAx>
      <c:spPr>
        <a:solidFill>
          <a:srgbClr val="e6e0ec"/>
        </a:solidFill>
        <a:ln>
          <a:noFill/>
        </a:ln>
      </c:spPr>
    </c:plotArea>
    <c:legend>
      <c:legendPos val="r"/>
      <c:layout>
        <c:manualLayout>
          <c:xMode val="edge"/>
          <c:yMode val="edge"/>
          <c:x val="0.76497057805469"/>
          <c:y val="0.603291283315944"/>
          <c:w val="0.167854155248507"/>
          <c:h val="0.250604695281005"/>
        </c:manualLayout>
      </c:layout>
      <c:overlay val="0"/>
      <c:spPr>
        <a:noFill/>
        <a:ln>
          <a:noFill/>
        </a:ln>
      </c:spPr>
      <c:txPr>
        <a:bodyPr/>
        <a:lstStyle/>
        <a:p>
          <a:pPr>
            <a:defRPr b="0" sz="1800" spc="-1" strike="noStrike">
              <a:solidFill>
                <a:srgbClr val="000000"/>
              </a:solidFill>
              <a:latin typeface="Vodafone Lt"/>
            </a:defRPr>
          </a:pPr>
        </a:p>
      </c:txPr>
    </c:legend>
    <c:plotVisOnly val="1"/>
    <c:dispBlanksAs val="gap"/>
  </c:chart>
  <c:spPr>
    <a:solidFill>
      <a:srgbClr val="ffffff"/>
    </a:solidFill>
    <a:ln w="9360">
      <a:solidFill>
        <a:srgbClr val="d9d9d9"/>
      </a:solidFill>
      <a:round/>
    </a:ln>
  </c:spPr>
</c:chartSpace>
</file>

<file path=xl/charts/chart5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152917903066271"/>
          <c:y val="0.0428377767736105"/>
          <c:w val="0.80702274975272"/>
          <c:h val="0.748757342973339"/>
        </c:manualLayout>
      </c:layout>
      <c:barChart>
        <c:barDir val="col"/>
        <c:grouping val="stacked"/>
        <c:varyColors val="0"/>
        <c:ser>
          <c:idx val="0"/>
          <c:order val="0"/>
          <c:spPr>
            <a:solidFill>
              <a:srgbClr val="ff0000"/>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'Power figures'!$A$81:$A$83</c:f>
              <c:strCache>
                <c:ptCount val="3"/>
                <c:pt idx="0">
                  <c:v/>
                </c:pt>
                <c:pt idx="1">
                  <c:v>Graphing Calculations - 5 Remaining Core Sites</c:v>
                </c:pt>
                <c:pt idx="2">
                  <c:v>Site Name</c:v>
                </c:pt>
              </c:strCache>
            </c:strRef>
          </c:cat>
          <c:val>
            <c:numRef>
              <c:f>'Power figures'!$B$81:$B$83</c:f>
              <c:numCache>
                <c:formatCode>General</c:formatCode>
                <c:ptCount val="3"/>
              </c:numCache>
            </c:numRef>
          </c:val>
        </c:ser>
        <c:ser>
          <c:idx val="1"/>
          <c:order val="1"/>
          <c:spPr>
            <a:solidFill>
              <a:srgbClr val="008000"/>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'Power figures'!$A$81:$A$83</c:f>
              <c:strCache>
                <c:ptCount val="3"/>
                <c:pt idx="0">
                  <c:v/>
                </c:pt>
                <c:pt idx="1">
                  <c:v>Graphing Calculations - 5 Remaining Core Sites</c:v>
                </c:pt>
                <c:pt idx="2">
                  <c:v>Site Name</c:v>
                </c:pt>
              </c:strCache>
            </c:strRef>
          </c:cat>
          <c:val>
            <c:numRef>
              <c:f>'Power figures'!$C$81:$C$83</c:f>
              <c:numCache>
                <c:formatCode>General</c:formatCode>
                <c:ptCount val="3"/>
              </c:numCache>
            </c:numRef>
          </c:val>
        </c:ser>
        <c:ser>
          <c:idx val="2"/>
          <c:order val="2"/>
          <c:spPr>
            <a:solidFill>
              <a:srgbClr val="c0504d"/>
            </a:solidFill>
            <a:ln>
              <a:solidFill>
                <a:srgbClr val="000000"/>
              </a:solidFill>
            </a:ln>
          </c:spPr>
          <c:invertIfNegative val="0"/>
          <c:dPt>
            <c:idx val="1"/>
            <c:invertIfNegative val="0"/>
            <c:spPr>
              <a:solidFill>
                <a:srgbClr val="990033"/>
              </a:solidFill>
              <a:ln>
                <a:solidFill>
                  <a:srgbClr val="000000"/>
                </a:solidFill>
              </a:ln>
            </c:spPr>
          </c:dPt>
          <c:dLbls>
            <c:dLbl>
              <c:idx val="1"/>
              <c:txPr>
                <a:bodyPr/>
                <a:lstStyle/>
                <a:p>
                  <a:pPr>
                    <a:defRPr b="0" sz="1000" spc="-1" strike="noStrike">
                      <a:solidFill>
                        <a:srgbClr val="000000"/>
                      </a:solidFill>
                      <a:latin typeface="Calibri"/>
                    </a:defRPr>
                  </a:pPr>
                </a:p>
              </c:txPr>
              <c:dLblPos val="ctr"/>
              <c:showLegendKey val="0"/>
              <c:showVal val="0"/>
              <c:showCatName val="0"/>
              <c:showSerName val="0"/>
              <c:showPercent val="0"/>
              <c:separator>; </c:separator>
            </c:dLbl>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'Power figures'!$A$81:$A$83</c:f>
              <c:strCache>
                <c:ptCount val="3"/>
                <c:pt idx="0">
                  <c:v/>
                </c:pt>
                <c:pt idx="1">
                  <c:v>Graphing Calculations - 5 Remaining Core Sites</c:v>
                </c:pt>
                <c:pt idx="2">
                  <c:v>Site Name</c:v>
                </c:pt>
              </c:strCache>
            </c:strRef>
          </c:cat>
          <c:val>
            <c:numRef>
              <c:f>'Power figures'!$E$81:$E$83</c:f>
              <c:numCache>
                <c:formatCode>General</c:formatCode>
                <c:ptCount val="3"/>
              </c:numCache>
            </c:numRef>
          </c:val>
        </c:ser>
        <c:ser>
          <c:idx val="3"/>
          <c:order val="3"/>
          <c:spPr>
            <a:solidFill>
              <a:srgbClr val="558ed5"/>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'Power figures'!$A$81:$A$83</c:f>
              <c:strCache>
                <c:ptCount val="3"/>
                <c:pt idx="0">
                  <c:v/>
                </c:pt>
                <c:pt idx="1">
                  <c:v>Graphing Calculations - 5 Remaining Core Sites</c:v>
                </c:pt>
                <c:pt idx="2">
                  <c:v>Site Name</c:v>
                </c:pt>
              </c:strCache>
            </c:strRef>
          </c:cat>
          <c:val>
            <c:numRef>
              <c:f>'Power figures'!$F$81:$F$83</c:f>
              <c:numCache>
                <c:formatCode>General</c:formatCode>
                <c:ptCount val="3"/>
              </c:numCache>
            </c:numRef>
          </c:val>
        </c:ser>
        <c:gapWidth val="40"/>
        <c:overlap val="100"/>
        <c:axId val="18205531"/>
        <c:axId val="80959092"/>
      </c:barChart>
      <c:catAx>
        <c:axId val="18205531"/>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b="0" sz="1400" spc="-1" strike="noStrike">
                <a:solidFill>
                  <a:srgbClr val="000000"/>
                </a:solidFill>
                <a:latin typeface="Vodafone Lt"/>
                <a:ea typeface="Vodafone Lt"/>
              </a:defRPr>
            </a:pPr>
          </a:p>
        </c:txPr>
        <c:crossAx val="80959092"/>
        <c:crosses val="autoZero"/>
        <c:auto val="1"/>
        <c:lblAlgn val="ctr"/>
        <c:lblOffset val="100"/>
        <c:noMultiLvlLbl val="0"/>
      </c:catAx>
      <c:valAx>
        <c:axId val="80959092"/>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400" spc="-1" strike="noStrike">
                <a:solidFill>
                  <a:srgbClr val="000000"/>
                </a:solidFill>
                <a:latin typeface="Vodafone Lt"/>
                <a:ea typeface="Vodafone Lt"/>
              </a:defRPr>
            </a:pPr>
          </a:p>
        </c:txPr>
        <c:crossAx val="18205531"/>
        <c:crosses val="autoZero"/>
        <c:crossBetween val="between"/>
      </c:valAx>
      <c:spPr>
        <a:solidFill>
          <a:srgbClr val="e6e0ec"/>
        </a:solidFill>
        <a:ln>
          <a:noFill/>
        </a:ln>
      </c:spPr>
    </c:plotArea>
    <c:plotVisOnly val="1"/>
    <c:dispBlanksAs val="gap"/>
  </c:chart>
  <c:spPr>
    <a:solidFill>
      <a:srgbClr val="ffffff"/>
    </a:solidFill>
    <a:ln w="9360">
      <a:solidFill>
        <a:srgbClr val="d9d9d9"/>
      </a:solidFill>
      <a:round/>
    </a:ln>
  </c:spPr>
</c:chartSpace>
</file>

<file path=xl/charts/chart5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127262753702688"/>
          <c:y val="0.136552244436062"/>
          <c:w val="0.650625841519972"/>
          <c:h val="0.676725763862693"/>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'Inverter Loading'!$A$66:$A$67,'Inverter Loading'!$A$73,'Inverter Loading'!$A$82:$A$83</c:f>
              <c:strCache>
                <c:ptCount val="5"/>
                <c:pt idx="0">
                  <c:v>#REF!</c:v>
                </c:pt>
                <c:pt idx="1">
                  <c:v>#REF!</c:v>
                </c:pt>
                <c:pt idx="2">
                  <c:v>IC30KS</c:v>
                </c:pt>
                <c:pt idx="3">
                  <c:v>#REF!</c:v>
                </c:pt>
                <c:pt idx="4">
                  <c:v>IC30SY</c:v>
                </c:pt>
              </c:strCache>
            </c:strRef>
          </c:cat>
          <c:val>
            <c:numRef>
              <c:f>'Inverter Loading'!$B$66:$B$67,'Inverter Loading'!$B$73,'Inverter Loading'!$B$82:$B$83</c:f>
              <c:numCache>
                <c:formatCode>General</c:formatCode>
                <c:ptCount val="5"/>
                <c:pt idx="2">
                  <c:v>33</c:v>
                </c:pt>
                <c:pt idx="4">
                  <c:v>7</c:v>
                </c:pt>
              </c:numCache>
            </c:numRef>
          </c:val>
        </c:ser>
        <c:ser>
          <c:idx val="1"/>
          <c:order val="1"/>
          <c:tx>
            <c:strRef>
              <c:f>'Inverter Loading'!$D$61</c:f>
              <c:strCache>
                <c:ptCount val="1"/>
                <c:pt idx="0">
                  <c:v/>
                </c:pt>
              </c:strCache>
            </c:strRef>
          </c:tx>
          <c:spPr>
            <a:solidFill>
              <a:srgbClr val="990033"/>
            </a:solidFill>
            <a:ln>
              <a:solidFill>
                <a:srgbClr val="000000"/>
              </a:solidFill>
            </a:ln>
          </c:spPr>
          <c:invertIfNegative val="0"/>
          <c:cat>
            <c:strRef>
              <c:f>'Inverter Loading'!$A$66:$A$67,'Inverter Loading'!$A$73,'Inverter Loading'!$A$82:$A$83</c:f>
              <c:strCache>
                <c:ptCount val="5"/>
                <c:pt idx="0">
                  <c:v>#REF!</c:v>
                </c:pt>
                <c:pt idx="1">
                  <c:v>#REF!</c:v>
                </c:pt>
                <c:pt idx="2">
                  <c:v>IC30KS</c:v>
                </c:pt>
                <c:pt idx="3">
                  <c:v>#REF!</c:v>
                </c:pt>
                <c:pt idx="4">
                  <c:v>IC30SY</c:v>
                </c:pt>
              </c:strCache>
            </c:strRef>
          </c:cat>
          <c:val>
            <c:numRef>
              <c:f>'Inverter Loading'!$D$66:$D$67,'Inverter Loading'!$D$73,'Inverter Loading'!$D$82:$D$83</c:f>
              <c:numCache>
                <c:formatCode>General</c:formatCode>
                <c:ptCount val="0"/>
              </c:numCache>
            </c:numRef>
          </c:val>
        </c:ser>
        <c:ser>
          <c:idx val="2"/>
          <c:order val="2"/>
          <c:tx>
            <c:strRef>
              <c:f>'Inverter Loading'!$E$61</c:f>
              <c:strCache>
                <c:ptCount val="1"/>
                <c:pt idx="0">
                  <c:v/>
                </c:pt>
              </c:strCache>
            </c:strRef>
          </c:tx>
          <c:spPr>
            <a:solidFill>
              <a:srgbClr val="ffffcc"/>
            </a:solidFill>
            <a:ln>
              <a:solidFill>
                <a:srgbClr val="000000"/>
              </a:solidFill>
            </a:ln>
          </c:spPr>
          <c:invertIfNegative val="0"/>
          <c:cat>
            <c:strRef>
              <c:f>'Inverter Loading'!$A$66:$A$67,'Inverter Loading'!$A$73,'Inverter Loading'!$A$82:$A$83</c:f>
              <c:strCache>
                <c:ptCount val="5"/>
                <c:pt idx="0">
                  <c:v>#REF!</c:v>
                </c:pt>
                <c:pt idx="1">
                  <c:v>#REF!</c:v>
                </c:pt>
                <c:pt idx="2">
                  <c:v>IC30KS</c:v>
                </c:pt>
                <c:pt idx="3">
                  <c:v>#REF!</c:v>
                </c:pt>
                <c:pt idx="4">
                  <c:v>IC30SY</c:v>
                </c:pt>
              </c:strCache>
            </c:strRef>
          </c:cat>
          <c:val>
            <c:numRef>
              <c:f>'Inverter Loading'!$E$66:$E$67,'Inverter Loading'!$E$73,'Inverter Loading'!$E$82:$E$83</c:f>
              <c:numCache>
                <c:formatCode>General</c:formatCode>
                <c:ptCount val="0"/>
              </c:numCache>
            </c:numRef>
          </c:val>
        </c:ser>
        <c:ser>
          <c:idx val="3"/>
          <c:order val="3"/>
          <c:tx>
            <c:strRef>
              <c:f>'Inverter Loading'!$G$61</c:f>
              <c:strCache>
                <c:ptCount val="1"/>
                <c:pt idx="0">
                  <c:v/>
                </c:pt>
              </c:strCache>
            </c:strRef>
          </c:tx>
          <c:spPr>
            <a:solidFill>
              <a:srgbClr val="558ed5"/>
            </a:solidFill>
            <a:ln>
              <a:solidFill>
                <a:srgbClr val="000000"/>
              </a:solidFill>
            </a:ln>
          </c:spPr>
          <c:invertIfNegative val="0"/>
          <c:cat>
            <c:strRef>
              <c:f>'Inverter Loading'!$A$66:$A$67,'Inverter Loading'!$A$73,'Inverter Loading'!$A$82:$A$83</c:f>
              <c:strCache>
                <c:ptCount val="5"/>
                <c:pt idx="0">
                  <c:v>#REF!</c:v>
                </c:pt>
                <c:pt idx="1">
                  <c:v>#REF!</c:v>
                </c:pt>
                <c:pt idx="2">
                  <c:v>IC30KS</c:v>
                </c:pt>
                <c:pt idx="3">
                  <c:v>#REF!</c:v>
                </c:pt>
                <c:pt idx="4">
                  <c:v>IC30SY</c:v>
                </c:pt>
              </c:strCache>
            </c:strRef>
          </c:cat>
          <c:val>
            <c:numRef>
              <c:f>'Inverter Loading'!$G$66:$G$67,'Inverter Loading'!$G$73,'Inverter Loading'!$G$82:$G$83</c:f>
              <c:numCache>
                <c:formatCode>General</c:formatCode>
                <c:ptCount val="0"/>
              </c:numCache>
            </c:numRef>
          </c:val>
        </c:ser>
        <c:gapWidth val="200"/>
        <c:overlap val="100"/>
        <c:axId val="42625765"/>
        <c:axId val="90611004"/>
      </c:barChart>
      <c:catAx>
        <c:axId val="42625765"/>
        <c:scaling>
          <c:orientation val="minMax"/>
        </c:scaling>
        <c:delete val="0"/>
        <c:axPos val="b"/>
        <c:numFmt formatCode="General" sourceLinked="1"/>
        <c:majorTickMark val="out"/>
        <c:minorTickMark val="none"/>
        <c:tickLblPos val="nextTo"/>
        <c:spPr>
          <a:ln w="9360">
            <a:solidFill>
              <a:srgbClr val="878787"/>
            </a:solidFill>
            <a:round/>
          </a:ln>
        </c:spPr>
        <c:txPr>
          <a:bodyPr rot="-5400000"/>
          <a:lstStyle/>
          <a:p>
            <a:pPr>
              <a:defRPr b="0" sz="1800" spc="-1" strike="noStrike">
                <a:solidFill>
                  <a:srgbClr val="000000"/>
                </a:solidFill>
                <a:latin typeface="Vodafone Lt"/>
                <a:ea typeface="Vodafone Lt"/>
              </a:defRPr>
            </a:pPr>
          </a:p>
        </c:txPr>
        <c:crossAx val="90611004"/>
        <c:crosses val="autoZero"/>
        <c:auto val="1"/>
        <c:lblAlgn val="ctr"/>
        <c:lblOffset val="100"/>
        <c:noMultiLvlLbl val="0"/>
      </c:catAx>
      <c:valAx>
        <c:axId val="90611004"/>
        <c:scaling>
          <c:orientation val="minMax"/>
          <c:max val="45"/>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800" spc="-1" strike="noStrike">
                <a:solidFill>
                  <a:srgbClr val="000000"/>
                </a:solidFill>
                <a:latin typeface="Vodafone Lt"/>
                <a:ea typeface="Vodafone Lt"/>
              </a:defRPr>
            </a:pPr>
          </a:p>
        </c:txPr>
        <c:crossAx val="42625765"/>
        <c:crosses val="autoZero"/>
        <c:crossBetween val="between"/>
      </c:valAx>
      <c:spPr>
        <a:solidFill>
          <a:srgbClr val="e6e0ec"/>
        </a:solidFill>
        <a:ln>
          <a:noFill/>
        </a:ln>
      </c:spPr>
    </c:plotArea>
    <c:legend>
      <c:legendPos val="r"/>
      <c:layout>
        <c:manualLayout>
          <c:xMode val="edge"/>
          <c:yMode val="edge"/>
          <c:x val="0.783074851643146"/>
          <c:y val="0.199358732553753"/>
          <c:w val="0.21688609615001"/>
          <c:h val="0.510610204659059"/>
        </c:manualLayout>
      </c:layout>
      <c:overlay val="0"/>
      <c:spPr>
        <a:noFill/>
        <a:ln>
          <a:noFill/>
        </a:ln>
      </c:spPr>
      <c:txPr>
        <a:bodyPr/>
        <a:lstStyle/>
        <a:p>
          <a:pPr>
            <a:defRPr b="0" sz="1600" spc="-1" strike="noStrike">
              <a:solidFill>
                <a:srgbClr val="000000"/>
              </a:solidFill>
              <a:latin typeface="Vodafone Lt"/>
              <a:ea typeface="Vodafone Lt"/>
            </a:defRPr>
          </a:pPr>
        </a:p>
      </c:txPr>
    </c:legend>
    <c:plotVisOnly val="1"/>
    <c:dispBlanksAs val="gap"/>
  </c:chart>
  <c:spPr>
    <a:solidFill>
      <a:srgbClr val="ffffff"/>
    </a:solidFill>
    <a:ln w="9360">
      <a:solidFill>
        <a:srgbClr val="d9d9d9"/>
      </a:solidFill>
      <a:round/>
    </a:ln>
  </c:spPr>
</c:chartSpace>
</file>

<file path=xl/charts/chart5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686429744311518"/>
          <c:y val="0.159849460235714"/>
          <c:w val="0.761904761904762"/>
          <c:h val="0.619986134495395"/>
        </c:manualLayout>
      </c:layout>
      <c:barChart>
        <c:barDir val="col"/>
        <c:grouping val="stacked"/>
        <c:varyColors val="0"/>
        <c:ser>
          <c:idx val="0"/>
          <c:order val="0"/>
          <c:tx>
            <c:strRef>
              <c:f>'Power figures'!$B$214</c:f>
              <c:strCache>
                <c:ptCount val="1"/>
                <c:pt idx="0">
                  <c:v>Load (kW)</c:v>
                </c:pt>
              </c:strCache>
            </c:strRef>
          </c:tx>
          <c:spPr>
            <a:solidFill>
              <a:srgbClr val="008000"/>
            </a:solidFill>
            <a:ln>
              <a:solidFill>
                <a:srgbClr val="000000"/>
              </a:solidFill>
            </a:ln>
          </c:spPr>
          <c:invertIfNegative val="0"/>
          <c:dLbls>
            <c:txPr>
              <a:bodyPr/>
              <a:lstStyle/>
              <a:p>
                <a:pPr>
                  <a:defRPr b="0" sz="1800" spc="-1" strike="noStrike">
                    <a:solidFill>
                      <a:srgbClr val="000000"/>
                    </a:solidFill>
                    <a:latin typeface="Calibri"/>
                  </a:defRPr>
                </a:pPr>
              </a:p>
            </c:txPr>
            <c:dLblPos val="ctr"/>
            <c:showLegendKey val="0"/>
            <c:showVal val="0"/>
            <c:showCatName val="0"/>
            <c:showSerName val="0"/>
            <c:showPercent val="0"/>
            <c:separator>; </c:separator>
            <c:showLeaderLines val="0"/>
          </c:dLbls>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figures'!$B$215:$B$225,'Power figures'!$B$228:$B$243</c:f>
              <c:numCache>
                <c:formatCode>General</c:formatCode>
                <c:ptCount val="27"/>
                <c:pt idx="0">
                  <c:v>48.0145</c:v>
                </c:pt>
                <c:pt idx="1">
                  <c:v>51.775</c:v>
                </c:pt>
                <c:pt idx="2">
                  <c:v>46.7065</c:v>
                </c:pt>
                <c:pt idx="3">
                  <c:v>47.633</c:v>
                </c:pt>
                <c:pt idx="4">
                  <c:v>50.576</c:v>
                </c:pt>
                <c:pt idx="5">
                  <c:v>20.6555</c:v>
                </c:pt>
                <c:pt idx="6">
                  <c:v>16.5135</c:v>
                </c:pt>
                <c:pt idx="7">
                  <c:v>19.62</c:v>
                </c:pt>
                <c:pt idx="8">
                  <c:v>11.9355</c:v>
                </c:pt>
                <c:pt idx="9">
                  <c:v>13.0255</c:v>
                </c:pt>
                <c:pt idx="10">
                  <c:v>18.0395</c:v>
                </c:pt>
                <c:pt idx="11">
                  <c:v>5.45</c:v>
                </c:pt>
                <c:pt idx="12">
                  <c:v>26.4325</c:v>
                </c:pt>
                <c:pt idx="13">
                  <c:v>12.971</c:v>
                </c:pt>
                <c:pt idx="14">
                  <c:v>23.326</c:v>
                </c:pt>
                <c:pt idx="15">
                  <c:v>8.4475</c:v>
                </c:pt>
                <c:pt idx="16">
                  <c:v>7.4665</c:v>
                </c:pt>
                <c:pt idx="17">
                  <c:v>5.5045</c:v>
                </c:pt>
                <c:pt idx="18">
                  <c:v>19.4565</c:v>
                </c:pt>
                <c:pt idx="19">
                  <c:v>26.596</c:v>
                </c:pt>
                <c:pt idx="20">
                  <c:v>24.4705</c:v>
                </c:pt>
                <c:pt idx="21">
                  <c:v>17.1675</c:v>
                </c:pt>
                <c:pt idx="22">
                  <c:v>29.3755</c:v>
                </c:pt>
                <c:pt idx="23">
                  <c:v>25.179</c:v>
                </c:pt>
                <c:pt idx="24">
                  <c:v>21.6365</c:v>
                </c:pt>
                <c:pt idx="25">
                  <c:v>15.369</c:v>
                </c:pt>
                <c:pt idx="26">
                  <c:v>17.2765</c:v>
                </c:pt>
              </c:numCache>
            </c:numRef>
          </c:val>
        </c:ser>
        <c:ser>
          <c:idx val="1"/>
          <c:order val="1"/>
          <c:tx>
            <c:strRef>
              <c:f>'Power figures'!$C$214</c:f>
              <c:strCache>
                <c:ptCount val="1"/>
                <c:pt idx="0">
                  <c:v>Reserved (kW)</c:v>
                </c:pt>
              </c:strCache>
            </c:strRef>
          </c:tx>
          <c:spPr>
            <a:solidFill>
              <a:srgbClr val="e46c0a"/>
            </a:solidFill>
            <a:ln>
              <a:solidFill>
                <a:srgbClr val="000000"/>
              </a:solidFill>
            </a:ln>
          </c:spPr>
          <c:invertIfNegative val="0"/>
          <c:dLbls>
            <c:txPr>
              <a:bodyPr/>
              <a:lstStyle/>
              <a:p>
                <a:pPr>
                  <a:defRPr b="0" sz="1800" spc="-1" strike="noStrike">
                    <a:solidFill>
                      <a:srgbClr val="000000"/>
                    </a:solidFill>
                    <a:latin typeface="Calibri"/>
                  </a:defRPr>
                </a:pPr>
              </a:p>
            </c:txPr>
            <c:dLblPos val="ctr"/>
            <c:showLegendKey val="0"/>
            <c:showVal val="0"/>
            <c:showCatName val="0"/>
            <c:showSerName val="0"/>
            <c:showPercent val="0"/>
            <c:separator>; </c:separator>
            <c:showLeaderLines val="0"/>
          </c:dLbls>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figures'!$C$215:$C$225,'Power figures'!$C$228:$C$243</c:f>
              <c:numCache>
                <c:formatCode>General</c:formatCode>
                <c:ptCount val="27"/>
                <c:pt idx="0">
                  <c:v>10.9</c:v>
                </c:pt>
                <c:pt idx="1">
                  <c:v>9.6465</c:v>
                </c:pt>
                <c:pt idx="2">
                  <c:v>10.573</c:v>
                </c:pt>
                <c:pt idx="3">
                  <c:v>9.374</c:v>
                </c:pt>
                <c:pt idx="4">
                  <c:v>9.9735</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er>
        <c:ser>
          <c:idx val="2"/>
          <c:order val="2"/>
          <c:tx>
            <c:strRef>
              <c:f>'Power figures'!$D$214</c:f>
              <c:strCache>
                <c:ptCount val="1"/>
                <c:pt idx="0">
                  <c:v>Forecast (kW)</c:v>
                </c:pt>
              </c:strCache>
            </c:strRef>
          </c:tx>
          <c:spPr>
            <a:solidFill>
              <a:srgbClr val="800000"/>
            </a:solidFill>
            <a:ln>
              <a:solidFill>
                <a:srgbClr val="000000"/>
              </a:solidFill>
            </a:ln>
          </c:spPr>
          <c:invertIfNegative val="0"/>
          <c:dLbls>
            <c:txPr>
              <a:bodyPr/>
              <a:lstStyle/>
              <a:p>
                <a:pPr>
                  <a:defRPr b="0" sz="1800" spc="-1" strike="noStrike">
                    <a:solidFill>
                      <a:srgbClr val="000000"/>
                    </a:solidFill>
                    <a:latin typeface="Calibri"/>
                  </a:defRPr>
                </a:pPr>
              </a:p>
            </c:txPr>
            <c:dLblPos val="ctr"/>
            <c:showLegendKey val="0"/>
            <c:showVal val="0"/>
            <c:showCatName val="0"/>
            <c:showSerName val="0"/>
            <c:showPercent val="0"/>
            <c:separator>; </c:separator>
            <c:showLeaderLines val="0"/>
          </c:dLbls>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figures'!$D$215:$D$225,'Power figures'!$D$228:$D$243</c:f>
              <c:numCache>
                <c:formatCode>General</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er>
        <c:ser>
          <c:idx val="3"/>
          <c:order val="3"/>
          <c:tx>
            <c:strRef>
              <c:f>'Power figures'!$G$214</c:f>
              <c:strCache>
                <c:ptCount val="1"/>
                <c:pt idx="0">
                  <c:v>Remaining Capacity (kW)</c:v>
                </c:pt>
              </c:strCache>
            </c:strRef>
          </c:tx>
          <c:spPr>
            <a:solidFill>
              <a:srgbClr val="ffffcc"/>
            </a:solidFill>
            <a:ln>
              <a:solidFill>
                <a:srgbClr val="000000"/>
              </a:solidFill>
            </a:ln>
          </c:spPr>
          <c:invertIfNegative val="0"/>
          <c:dLbls>
            <c:txPr>
              <a:bodyPr/>
              <a:lstStyle/>
              <a:p>
                <a:pPr>
                  <a:defRPr b="0" sz="1800" spc="-1" strike="noStrike">
                    <a:solidFill>
                      <a:srgbClr val="000000"/>
                    </a:solidFill>
                    <a:latin typeface="Calibri"/>
                  </a:defRPr>
                </a:pPr>
              </a:p>
            </c:txPr>
            <c:dLblPos val="ctr"/>
            <c:showLegendKey val="0"/>
            <c:showVal val="0"/>
            <c:showCatName val="0"/>
            <c:showSerName val="0"/>
            <c:showPercent val="0"/>
            <c:separator>; </c:separator>
            <c:showLeaderLines val="0"/>
          </c:dLbls>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figures'!$G$215:$G$225,'Power figures'!$G$228:$G$243</c:f>
              <c:numCache>
                <c:formatCode>General</c:formatCode>
                <c:ptCount val="27"/>
                <c:pt idx="0">
                  <c:v>14.9855</c:v>
                </c:pt>
                <c:pt idx="1">
                  <c:v>11.225</c:v>
                </c:pt>
                <c:pt idx="2">
                  <c:v>16.2935</c:v>
                </c:pt>
                <c:pt idx="3">
                  <c:v>15.367</c:v>
                </c:pt>
                <c:pt idx="4">
                  <c:v>12.424</c:v>
                </c:pt>
                <c:pt idx="5">
                  <c:v>42.3445</c:v>
                </c:pt>
                <c:pt idx="6">
                  <c:v>46.4865</c:v>
                </c:pt>
                <c:pt idx="7">
                  <c:v>43.38</c:v>
                </c:pt>
                <c:pt idx="8">
                  <c:v>51.0645</c:v>
                </c:pt>
                <c:pt idx="9">
                  <c:v>28.9745</c:v>
                </c:pt>
                <c:pt idx="10">
                  <c:v>34.4605</c:v>
                </c:pt>
                <c:pt idx="11">
                  <c:v>15.55</c:v>
                </c:pt>
                <c:pt idx="12">
                  <c:v>36.5675</c:v>
                </c:pt>
                <c:pt idx="13">
                  <c:v>50.029</c:v>
                </c:pt>
                <c:pt idx="14">
                  <c:v>29.174</c:v>
                </c:pt>
                <c:pt idx="15">
                  <c:v>33.5525</c:v>
                </c:pt>
                <c:pt idx="16">
                  <c:v>34.5335</c:v>
                </c:pt>
                <c:pt idx="17">
                  <c:v>15.4955</c:v>
                </c:pt>
                <c:pt idx="18">
                  <c:v>43.5435</c:v>
                </c:pt>
                <c:pt idx="19">
                  <c:v>36.404</c:v>
                </c:pt>
                <c:pt idx="20">
                  <c:v>38.5295</c:v>
                </c:pt>
                <c:pt idx="21">
                  <c:v>45.8325</c:v>
                </c:pt>
                <c:pt idx="22">
                  <c:v>33.6245</c:v>
                </c:pt>
                <c:pt idx="23">
                  <c:v>37.821</c:v>
                </c:pt>
                <c:pt idx="24">
                  <c:v>41.3635</c:v>
                </c:pt>
                <c:pt idx="25">
                  <c:v>47.631</c:v>
                </c:pt>
                <c:pt idx="26">
                  <c:v>35.2235</c:v>
                </c:pt>
              </c:numCache>
            </c:numRef>
          </c:val>
        </c:ser>
        <c:gapWidth val="70"/>
        <c:overlap val="100"/>
        <c:axId val="17929449"/>
        <c:axId val="343895"/>
      </c:barChart>
      <c:catAx>
        <c:axId val="17929449"/>
        <c:scaling>
          <c:orientation val="minMax"/>
        </c:scaling>
        <c:delete val="0"/>
        <c:axPos val="b"/>
        <c:numFmt formatCode="General" sourceLinked="1"/>
        <c:majorTickMark val="out"/>
        <c:minorTickMark val="none"/>
        <c:tickLblPos val="nextTo"/>
        <c:spPr>
          <a:ln w="9360">
            <a:solidFill>
              <a:srgbClr val="878787"/>
            </a:solidFill>
            <a:round/>
          </a:ln>
        </c:spPr>
        <c:txPr>
          <a:bodyPr rot="-5400000"/>
          <a:lstStyle/>
          <a:p>
            <a:pPr>
              <a:defRPr b="0" sz="1800" spc="-1" strike="noStrike">
                <a:solidFill>
                  <a:srgbClr val="000000"/>
                </a:solidFill>
                <a:latin typeface="Vodafone Lt"/>
              </a:defRPr>
            </a:pPr>
          </a:p>
        </c:txPr>
        <c:crossAx val="343895"/>
        <c:crosses val="autoZero"/>
        <c:auto val="1"/>
        <c:lblAlgn val="ctr"/>
        <c:lblOffset val="100"/>
        <c:noMultiLvlLbl val="0"/>
      </c:catAx>
      <c:valAx>
        <c:axId val="343895"/>
        <c:scaling>
          <c:orientation val="minMax"/>
        </c:scaling>
        <c:delete val="0"/>
        <c:axPos val="l"/>
        <c:majorGridlines>
          <c:spPr>
            <a:ln w="9360">
              <a:solidFill>
                <a:srgbClr val="878787"/>
              </a:solidFill>
              <a:round/>
            </a:ln>
          </c:spPr>
        </c:majorGridlines>
        <c:numFmt formatCode="0" sourceLinked="0"/>
        <c:majorTickMark val="out"/>
        <c:minorTickMark val="none"/>
        <c:tickLblPos val="nextTo"/>
        <c:spPr>
          <a:ln w="9360">
            <a:solidFill>
              <a:srgbClr val="878787"/>
            </a:solidFill>
            <a:round/>
          </a:ln>
        </c:spPr>
        <c:txPr>
          <a:bodyPr/>
          <a:lstStyle/>
          <a:p>
            <a:pPr>
              <a:defRPr b="0" sz="1800" spc="-1" strike="noStrike">
                <a:solidFill>
                  <a:srgbClr val="000000"/>
                </a:solidFill>
                <a:latin typeface="Vodafone Lt"/>
              </a:defRPr>
            </a:pPr>
          </a:p>
        </c:txPr>
        <c:crossAx val="17929449"/>
        <c:crosses val="autoZero"/>
        <c:crossBetween val="between"/>
      </c:valAx>
      <c:spPr>
        <a:solidFill>
          <a:srgbClr val="e6e0ec"/>
        </a:solidFill>
        <a:ln>
          <a:noFill/>
        </a:ln>
      </c:spPr>
    </c:plotArea>
    <c:legend>
      <c:legendPos val="r"/>
      <c:layout>
        <c:manualLayout>
          <c:xMode val="edge"/>
          <c:yMode val="edge"/>
          <c:x val="0.832453671123622"/>
          <c:y val="0.349014558779836"/>
          <c:w val="0.165322698882796"/>
          <c:h val="0.322206814580032"/>
        </c:manualLayout>
      </c:layout>
      <c:overlay val="0"/>
      <c:spPr>
        <a:noFill/>
        <a:ln>
          <a:noFill/>
        </a:ln>
      </c:spPr>
      <c:txPr>
        <a:bodyPr/>
        <a:lstStyle/>
        <a:p>
          <a:pPr>
            <a:defRPr b="0" sz="1600" spc="-1" strike="noStrike">
              <a:solidFill>
                <a:srgbClr val="000000"/>
              </a:solidFill>
              <a:latin typeface="Vodafone Lt"/>
            </a:defRPr>
          </a:pPr>
        </a:p>
      </c:txPr>
    </c:legend>
    <c:plotVisOnly val="1"/>
    <c:dispBlanksAs val="gap"/>
  </c:chart>
  <c:spPr>
    <a:solidFill>
      <a:srgbClr val="ffffff"/>
    </a:solidFill>
    <a:ln w="9360">
      <a:solidFill>
        <a:srgbClr val="d9d9d9"/>
      </a:solidFill>
      <a:round/>
    </a:ln>
  </c:spPr>
</c:chartSpace>
</file>

<file path=xl/charts/chart54.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855932701923643"/>
          <c:y val="0.0385024840312278"/>
          <c:w val="0.737572798399906"/>
          <c:h val="0.89046605157322"/>
        </c:manualLayout>
      </c:layout>
      <c:barChart>
        <c:barDir val="col"/>
        <c:grouping val="stacked"/>
        <c:varyColors val="0"/>
        <c:ser>
          <c:idx val="0"/>
          <c:order val="0"/>
          <c:tx>
            <c:strRef>
              <c:f>'Rolling Figs'!$K$3:$K$4</c:f>
              <c:strCache>
                <c:ptCount val="1"/>
                <c:pt idx="0">
                  <c:v>Technology Load (kW) July 16</c:v>
                </c:pt>
              </c:strCache>
            </c:strRef>
          </c:tx>
          <c:spPr>
            <a:solidFill>
              <a:srgbClr val="4f81bd"/>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'Rolling Figs'!$J$5:$J$18</c:f>
              <c:strCache>
                <c:ptCount val="14"/>
                <c:pt idx="0">
                  <c:v>XEH</c:v>
                </c:pt>
                <c:pt idx="1">
                  <c:v/>
                </c:pt>
                <c:pt idx="2">
                  <c:v/>
                </c:pt>
                <c:pt idx="3">
                  <c:v>XER</c:v>
                </c:pt>
                <c:pt idx="4">
                  <c:v/>
                </c:pt>
                <c:pt idx="5">
                  <c:v/>
                </c:pt>
                <c:pt idx="6">
                  <c:v>XKS</c:v>
                </c:pt>
                <c:pt idx="7">
                  <c:v/>
                </c:pt>
                <c:pt idx="8">
                  <c:v/>
                </c:pt>
                <c:pt idx="9">
                  <c:v>XSN</c:v>
                </c:pt>
                <c:pt idx="10">
                  <c:v/>
                </c:pt>
                <c:pt idx="11">
                  <c:v/>
                </c:pt>
                <c:pt idx="12">
                  <c:v>XSY</c:v>
                </c:pt>
                <c:pt idx="13">
                  <c:v/>
                </c:pt>
              </c:strCache>
            </c:strRef>
          </c:cat>
          <c:val>
            <c:numRef>
              <c:f>'Rolling Figs'!$K$5:$K$18</c:f>
              <c:numCache>
                <c:formatCode>General</c:formatCode>
                <c:ptCount val="14"/>
              </c:numCache>
            </c:numRef>
          </c:val>
        </c:ser>
        <c:ser>
          <c:idx val="1"/>
          <c:order val="1"/>
          <c:tx>
            <c:strRef>
              <c:f>'Rolling Figs'!$L$3:$L$4</c:f>
              <c:strCache>
                <c:ptCount val="1"/>
                <c:pt idx="0">
                  <c:v>Technology Load (kW) July 17</c:v>
                </c:pt>
              </c:strCache>
            </c:strRef>
          </c:tx>
          <c:spPr>
            <a:solidFill>
              <a:srgbClr val="cc0000"/>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'Rolling Figs'!$J$5:$J$18</c:f>
              <c:strCache>
                <c:ptCount val="14"/>
                <c:pt idx="0">
                  <c:v>XEH</c:v>
                </c:pt>
                <c:pt idx="1">
                  <c:v/>
                </c:pt>
                <c:pt idx="2">
                  <c:v/>
                </c:pt>
                <c:pt idx="3">
                  <c:v>XER</c:v>
                </c:pt>
                <c:pt idx="4">
                  <c:v/>
                </c:pt>
                <c:pt idx="5">
                  <c:v/>
                </c:pt>
                <c:pt idx="6">
                  <c:v>XKS</c:v>
                </c:pt>
                <c:pt idx="7">
                  <c:v/>
                </c:pt>
                <c:pt idx="8">
                  <c:v/>
                </c:pt>
                <c:pt idx="9">
                  <c:v>XSN</c:v>
                </c:pt>
                <c:pt idx="10">
                  <c:v/>
                </c:pt>
                <c:pt idx="11">
                  <c:v/>
                </c:pt>
                <c:pt idx="12">
                  <c:v>XSY</c:v>
                </c:pt>
                <c:pt idx="13">
                  <c:v/>
                </c:pt>
              </c:strCache>
            </c:strRef>
          </c:cat>
          <c:val>
            <c:numRef>
              <c:f>'Rolling Figs'!$L$5:$L$18</c:f>
              <c:numCache>
                <c:formatCode>General</c:formatCode>
                <c:ptCount val="14"/>
                <c:pt idx="1">
                  <c:v>294.736</c:v>
                </c:pt>
                <c:pt idx="4">
                  <c:v>68.7245</c:v>
                </c:pt>
                <c:pt idx="7">
                  <c:v>120.663</c:v>
                </c:pt>
                <c:pt idx="10">
                  <c:v>87.6905</c:v>
                </c:pt>
                <c:pt idx="13">
                  <c:v>108.8365</c:v>
                </c:pt>
              </c:numCache>
            </c:numRef>
          </c:val>
        </c:ser>
        <c:ser>
          <c:idx val="2"/>
          <c:order val="2"/>
          <c:tx>
            <c:strRef>
              <c:f>'Rolling Figs'!$M$3:$M$4</c:f>
              <c:strCache>
                <c:ptCount val="1"/>
                <c:pt idx="0">
                  <c:v>Reserved Load (kW)</c:v>
                </c:pt>
              </c:strCache>
            </c:strRef>
          </c:tx>
          <c:spPr>
            <a:solidFill>
              <a:srgbClr val="e46c0a"/>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'Rolling Figs'!$J$5:$J$18</c:f>
              <c:strCache>
                <c:ptCount val="14"/>
                <c:pt idx="0">
                  <c:v>XEH</c:v>
                </c:pt>
                <c:pt idx="1">
                  <c:v/>
                </c:pt>
                <c:pt idx="2">
                  <c:v/>
                </c:pt>
                <c:pt idx="3">
                  <c:v>XER</c:v>
                </c:pt>
                <c:pt idx="4">
                  <c:v/>
                </c:pt>
                <c:pt idx="5">
                  <c:v/>
                </c:pt>
                <c:pt idx="6">
                  <c:v>XKS</c:v>
                </c:pt>
                <c:pt idx="7">
                  <c:v/>
                </c:pt>
                <c:pt idx="8">
                  <c:v/>
                </c:pt>
                <c:pt idx="9">
                  <c:v>XSN</c:v>
                </c:pt>
                <c:pt idx="10">
                  <c:v/>
                </c:pt>
                <c:pt idx="11">
                  <c:v/>
                </c:pt>
                <c:pt idx="12">
                  <c:v>XSY</c:v>
                </c:pt>
                <c:pt idx="13">
                  <c:v/>
                </c:pt>
              </c:strCache>
            </c:strRef>
          </c:cat>
          <c:val>
            <c:numRef>
              <c:f>'Rolling Figs'!$M$5:$M$18</c:f>
              <c:numCache>
                <c:formatCode>General</c:formatCode>
                <c:ptCount val="14"/>
                <c:pt idx="1">
                  <c:v>50.467</c:v>
                </c:pt>
                <c:pt idx="4">
                  <c:v>0</c:v>
                </c:pt>
                <c:pt idx="7">
                  <c:v>0</c:v>
                </c:pt>
                <c:pt idx="10">
                  <c:v>0</c:v>
                </c:pt>
                <c:pt idx="13">
                  <c:v>0</c:v>
                </c:pt>
              </c:numCache>
            </c:numRef>
          </c:val>
        </c:ser>
        <c:ser>
          <c:idx val="3"/>
          <c:order val="3"/>
          <c:tx>
            <c:strRef>
              <c:f>'Rolling Figs'!$N$3:$N$4</c:f>
              <c:strCache>
                <c:ptCount val="1"/>
                <c:pt idx="0">
                  <c:v>Forecast Load (kW)</c:v>
                </c:pt>
              </c:strCache>
            </c:strRef>
          </c:tx>
          <c:spPr>
            <a:solidFill>
              <a:srgbClr val="990033"/>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'Rolling Figs'!$J$5:$J$18</c:f>
              <c:strCache>
                <c:ptCount val="14"/>
                <c:pt idx="0">
                  <c:v>XEH</c:v>
                </c:pt>
                <c:pt idx="1">
                  <c:v/>
                </c:pt>
                <c:pt idx="2">
                  <c:v/>
                </c:pt>
                <c:pt idx="3">
                  <c:v>XER</c:v>
                </c:pt>
                <c:pt idx="4">
                  <c:v/>
                </c:pt>
                <c:pt idx="5">
                  <c:v/>
                </c:pt>
                <c:pt idx="6">
                  <c:v>XKS</c:v>
                </c:pt>
                <c:pt idx="7">
                  <c:v/>
                </c:pt>
                <c:pt idx="8">
                  <c:v/>
                </c:pt>
                <c:pt idx="9">
                  <c:v>XSN</c:v>
                </c:pt>
                <c:pt idx="10">
                  <c:v/>
                </c:pt>
                <c:pt idx="11">
                  <c:v/>
                </c:pt>
                <c:pt idx="12">
                  <c:v>XSY</c:v>
                </c:pt>
                <c:pt idx="13">
                  <c:v/>
                </c:pt>
              </c:strCache>
            </c:strRef>
          </c:cat>
          <c:val>
            <c:numRef>
              <c:f>'Rolling Figs'!$N$5:$N$18</c:f>
              <c:numCache>
                <c:formatCode>General</c:formatCode>
                <c:ptCount val="14"/>
                <c:pt idx="1">
                  <c:v>2.943</c:v>
                </c:pt>
                <c:pt idx="4">
                  <c:v>0.99552</c:v>
                </c:pt>
                <c:pt idx="7">
                  <c:v>0</c:v>
                </c:pt>
                <c:pt idx="10">
                  <c:v>11.663</c:v>
                </c:pt>
                <c:pt idx="13">
                  <c:v>0</c:v>
                </c:pt>
              </c:numCache>
            </c:numRef>
          </c:val>
        </c:ser>
        <c:gapWidth val="0"/>
        <c:overlap val="100"/>
        <c:axId val="7830622"/>
        <c:axId val="25298398"/>
      </c:barChart>
      <c:catAx>
        <c:axId val="7830622"/>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b="0" sz="2000" spc="-1" strike="noStrike">
                <a:solidFill>
                  <a:srgbClr val="000000"/>
                </a:solidFill>
                <a:latin typeface="Vodafone Lt"/>
                <a:ea typeface="Vodafone Lt"/>
              </a:defRPr>
            </a:pPr>
          </a:p>
        </c:txPr>
        <c:crossAx val="25298398"/>
        <c:crosses val="autoZero"/>
        <c:auto val="1"/>
        <c:lblAlgn val="ctr"/>
        <c:lblOffset val="100"/>
        <c:noMultiLvlLbl val="0"/>
      </c:catAx>
      <c:valAx>
        <c:axId val="25298398"/>
        <c:scaling>
          <c:orientation val="minMax"/>
        </c:scaling>
        <c:delete val="0"/>
        <c:axPos val="l"/>
        <c:majorGridlines>
          <c:spPr>
            <a:ln w="9360">
              <a:solidFill>
                <a:srgbClr val="878787"/>
              </a:solidFill>
              <a:round/>
            </a:ln>
          </c:spPr>
        </c:majorGridlines>
        <c:numFmt formatCode="0" sourceLinked="0"/>
        <c:majorTickMark val="out"/>
        <c:minorTickMark val="none"/>
        <c:tickLblPos val="nextTo"/>
        <c:spPr>
          <a:ln w="9360">
            <a:solidFill>
              <a:srgbClr val="878787"/>
            </a:solidFill>
            <a:round/>
          </a:ln>
        </c:spPr>
        <c:txPr>
          <a:bodyPr/>
          <a:lstStyle/>
          <a:p>
            <a:pPr>
              <a:defRPr b="0" sz="1600" spc="-1" strike="noStrike">
                <a:solidFill>
                  <a:srgbClr val="000000"/>
                </a:solidFill>
                <a:latin typeface="Vodafone Lt"/>
                <a:ea typeface="Vodafone Lt"/>
              </a:defRPr>
            </a:pPr>
          </a:p>
        </c:txPr>
        <c:crossAx val="7830622"/>
        <c:crosses val="autoZero"/>
        <c:crossBetween val="between"/>
      </c:valAx>
      <c:spPr>
        <a:solidFill>
          <a:srgbClr val="e6e0ec"/>
        </a:solidFill>
        <a:ln>
          <a:noFill/>
        </a:ln>
      </c:spPr>
    </c:plotArea>
    <c:legend>
      <c:legendPos val="r"/>
      <c:layout>
        <c:manualLayout>
          <c:xMode val="edge"/>
          <c:yMode val="edge"/>
          <c:x val="0.823283722571916"/>
          <c:y val="0.33865625739295"/>
          <c:w val="0.176692061064212"/>
          <c:h val="0.383864671437866"/>
        </c:manualLayout>
      </c:layout>
      <c:overlay val="0"/>
      <c:spPr>
        <a:noFill/>
        <a:ln>
          <a:noFill/>
        </a:ln>
      </c:spPr>
      <c:txPr>
        <a:bodyPr/>
        <a:lstStyle/>
        <a:p>
          <a:pPr>
            <a:defRPr b="0" sz="1800" spc="-1" strike="noStrike">
              <a:solidFill>
                <a:srgbClr val="000000"/>
              </a:solidFill>
              <a:latin typeface="Vodafone Lt"/>
              <a:ea typeface="Vodafone Lt"/>
            </a:defRPr>
          </a:pPr>
        </a:p>
      </c:txPr>
    </c:legend>
    <c:plotVisOnly val="1"/>
    <c:dispBlanksAs val="gap"/>
  </c:chart>
  <c:spPr>
    <a:solidFill>
      <a:srgbClr val="ffffff"/>
    </a:solidFill>
    <a:ln w="9360">
      <a:solidFill>
        <a:srgbClr val="d9d9d9"/>
      </a:solidFill>
      <a:round/>
    </a:ln>
  </c:spPr>
</c:chartSpace>
</file>

<file path=xl/charts/chart55.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868110179914762"/>
          <c:y val="0.0247189984464955"/>
          <c:w val="0.783015359972541"/>
          <c:h val="0.90583021109385"/>
        </c:manualLayout>
      </c:layout>
      <c:barChart>
        <c:barDir val="col"/>
        <c:grouping val="stacked"/>
        <c:varyColors val="0"/>
        <c:ser>
          <c:idx val="0"/>
          <c:order val="0"/>
          <c:tx>
            <c:strRef>
              <c:f>'Cab Floorspace-Archived'!$J$33</c:f>
              <c:strCache>
                <c:ptCount val="1"/>
                <c:pt idx="0">
                  <c:v>Used (m²) </c:v>
                </c:pt>
              </c:strCache>
            </c:strRef>
          </c:tx>
          <c:spPr>
            <a:solidFill>
              <a:srgbClr val="009900"/>
            </a:solidFill>
            <a:ln>
              <a:solidFill>
                <a:srgbClr val="000000"/>
              </a:solidFill>
            </a:ln>
          </c:spPr>
          <c:invertIfNegative val="0"/>
          <c:dLbls>
            <c:txPr>
              <a:bodyPr/>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'Cab Floorspace-Archived'!$A$36:$A$43</c:f>
              <c:strCache>
                <c:ptCount val="8"/>
                <c:pt idx="0">
                  <c:v>XER</c:v>
                </c:pt>
                <c:pt idx="1">
                  <c:v>XKS</c:v>
                </c:pt>
                <c:pt idx="2">
                  <c:v>XKS (1st)</c:v>
                </c:pt>
                <c:pt idx="3">
                  <c:v>XKS (2nd)</c:v>
                </c:pt>
                <c:pt idx="4">
                  <c:v>XKS (3rd)</c:v>
                </c:pt>
                <c:pt idx="5">
                  <c:v>XRM</c:v>
                </c:pt>
                <c:pt idx="6">
                  <c:v>XSN</c:v>
                </c:pt>
                <c:pt idx="7">
                  <c:v>XSY</c:v>
                </c:pt>
              </c:strCache>
            </c:strRef>
          </c:cat>
          <c:val>
            <c:numRef>
              <c:f>'Cab Floorspace-Archived'!$J$36:$J$43</c:f>
              <c:numCache>
                <c:formatCode>General</c:formatCode>
                <c:ptCount val="8"/>
                <c:pt idx="0">
                  <c:v>935.04</c:v>
                </c:pt>
                <c:pt idx="1">
                  <c:v>2165.44</c:v>
                </c:pt>
                <c:pt idx="2">
                  <c:v>766.4</c:v>
                </c:pt>
                <c:pt idx="3">
                  <c:v>758.72</c:v>
                </c:pt>
                <c:pt idx="4">
                  <c:v>640.32</c:v>
                </c:pt>
                <c:pt idx="5">
                  <c:v>1320</c:v>
                </c:pt>
                <c:pt idx="6">
                  <c:v>1346.56</c:v>
                </c:pt>
                <c:pt idx="7">
                  <c:v>1082.88</c:v>
                </c:pt>
              </c:numCache>
            </c:numRef>
          </c:val>
        </c:ser>
        <c:ser>
          <c:idx val="1"/>
          <c:order val="1"/>
          <c:tx>
            <c:strRef>
              <c:f>'Cab Floorspace-Archived'!$K$33</c:f>
              <c:strCache>
                <c:ptCount val="1"/>
                <c:pt idx="0">
                  <c:v>Reserved (m²)</c:v>
                </c:pt>
              </c:strCache>
            </c:strRef>
          </c:tx>
          <c:spPr>
            <a:solidFill>
              <a:srgbClr val="e46c0a"/>
            </a:solidFill>
            <a:ln>
              <a:solidFill>
                <a:srgbClr val="000000"/>
              </a:solidFill>
            </a:ln>
          </c:spPr>
          <c:invertIfNegative val="0"/>
          <c:dLbls>
            <c:txPr>
              <a:bodyPr/>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'Cab Floorspace-Archived'!$A$36:$A$43</c:f>
              <c:strCache>
                <c:ptCount val="8"/>
                <c:pt idx="0">
                  <c:v>XER</c:v>
                </c:pt>
                <c:pt idx="1">
                  <c:v>XKS</c:v>
                </c:pt>
                <c:pt idx="2">
                  <c:v>XKS (1st)</c:v>
                </c:pt>
                <c:pt idx="3">
                  <c:v>XKS (2nd)</c:v>
                </c:pt>
                <c:pt idx="4">
                  <c:v>XKS (3rd)</c:v>
                </c:pt>
                <c:pt idx="5">
                  <c:v>XRM</c:v>
                </c:pt>
                <c:pt idx="6">
                  <c:v>XSN</c:v>
                </c:pt>
                <c:pt idx="7">
                  <c:v>XSY</c:v>
                </c:pt>
              </c:strCache>
            </c:strRef>
          </c:cat>
          <c:val>
            <c:numRef>
              <c:f>'Cab Floorspace-Archived'!$K$36:$K$43</c:f>
              <c:numCache>
                <c:formatCode>General</c:formatCode>
                <c:ptCount val="8"/>
                <c:pt idx="0">
                  <c:v>0</c:v>
                </c:pt>
                <c:pt idx="1">
                  <c:v>5.76</c:v>
                </c:pt>
                <c:pt idx="2">
                  <c:v>0</c:v>
                </c:pt>
                <c:pt idx="3">
                  <c:v>0</c:v>
                </c:pt>
                <c:pt idx="4">
                  <c:v>0</c:v>
                </c:pt>
                <c:pt idx="5">
                  <c:v>0</c:v>
                </c:pt>
                <c:pt idx="6">
                  <c:v>0</c:v>
                </c:pt>
                <c:pt idx="7">
                  <c:v>0</c:v>
                </c:pt>
              </c:numCache>
            </c:numRef>
          </c:val>
        </c:ser>
        <c:ser>
          <c:idx val="2"/>
          <c:order val="2"/>
          <c:tx>
            <c:strRef>
              <c:f>'Cab Floorspace-Archived'!$L$33</c:f>
              <c:strCache>
                <c:ptCount val="1"/>
                <c:pt idx="0">
                  <c:v>Forecast (m²) </c:v>
                </c:pt>
              </c:strCache>
            </c:strRef>
          </c:tx>
          <c:spPr>
            <a:solidFill>
              <a:srgbClr val="800000"/>
            </a:solidFill>
            <a:ln>
              <a:solidFill>
                <a:srgbClr val="000000"/>
              </a:solidFill>
            </a:ln>
          </c:spPr>
          <c:invertIfNegative val="0"/>
          <c:dLbls>
            <c:txPr>
              <a:bodyPr/>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'Cab Floorspace-Archived'!$A$36:$A$43</c:f>
              <c:strCache>
                <c:ptCount val="8"/>
                <c:pt idx="0">
                  <c:v>XER</c:v>
                </c:pt>
                <c:pt idx="1">
                  <c:v>XKS</c:v>
                </c:pt>
                <c:pt idx="2">
                  <c:v>XKS (1st)</c:v>
                </c:pt>
                <c:pt idx="3">
                  <c:v>XKS (2nd)</c:v>
                </c:pt>
                <c:pt idx="4">
                  <c:v>XKS (3rd)</c:v>
                </c:pt>
                <c:pt idx="5">
                  <c:v>XRM</c:v>
                </c:pt>
                <c:pt idx="6">
                  <c:v>XSN</c:v>
                </c:pt>
                <c:pt idx="7">
                  <c:v>XSY</c:v>
                </c:pt>
              </c:strCache>
            </c:strRef>
          </c:cat>
          <c:val>
            <c:numRef>
              <c:f>'Cab Floorspace-Archived'!$L$36:$L$43</c:f>
              <c:numCache>
                <c:formatCode>General</c:formatCode>
                <c:ptCount val="8"/>
                <c:pt idx="0">
                  <c:v>0</c:v>
                </c:pt>
                <c:pt idx="1">
                  <c:v>0</c:v>
                </c:pt>
                <c:pt idx="2">
                  <c:v>0</c:v>
                </c:pt>
                <c:pt idx="3">
                  <c:v>0</c:v>
                </c:pt>
                <c:pt idx="4">
                  <c:v>0</c:v>
                </c:pt>
                <c:pt idx="5">
                  <c:v>5.12</c:v>
                </c:pt>
                <c:pt idx="6">
                  <c:v>13.44</c:v>
                </c:pt>
                <c:pt idx="7">
                  <c:v>0</c:v>
                </c:pt>
              </c:numCache>
            </c:numRef>
          </c:val>
        </c:ser>
        <c:ser>
          <c:idx val="3"/>
          <c:order val="3"/>
          <c:tx>
            <c:strRef>
              <c:f>'Cab Floorspace-Archived'!$O$33</c:f>
              <c:strCache>
                <c:ptCount val="1"/>
                <c:pt idx="0">
                  <c:v>Remaining (m²) </c:v>
                </c:pt>
              </c:strCache>
            </c:strRef>
          </c:tx>
          <c:spPr>
            <a:solidFill>
              <a:srgbClr val="ffffcc"/>
            </a:solidFill>
            <a:ln>
              <a:solidFill>
                <a:srgbClr val="000000"/>
              </a:solidFill>
            </a:ln>
          </c:spPr>
          <c:invertIfNegative val="0"/>
          <c:dLbls>
            <c:txPr>
              <a:bodyPr/>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'Cab Floorspace-Archived'!$A$36:$A$43</c:f>
              <c:strCache>
                <c:ptCount val="8"/>
                <c:pt idx="0">
                  <c:v>XER</c:v>
                </c:pt>
                <c:pt idx="1">
                  <c:v>XKS</c:v>
                </c:pt>
                <c:pt idx="2">
                  <c:v>XKS (1st)</c:v>
                </c:pt>
                <c:pt idx="3">
                  <c:v>XKS (2nd)</c:v>
                </c:pt>
                <c:pt idx="4">
                  <c:v>XKS (3rd)</c:v>
                </c:pt>
                <c:pt idx="5">
                  <c:v>XRM</c:v>
                </c:pt>
                <c:pt idx="6">
                  <c:v>XSN</c:v>
                </c:pt>
                <c:pt idx="7">
                  <c:v>XSY</c:v>
                </c:pt>
              </c:strCache>
            </c:strRef>
          </c:cat>
          <c:val>
            <c:numRef>
              <c:f>'Cab Floorspace-Archived'!$O$36:$O$43</c:f>
              <c:numCache>
                <c:formatCode>General</c:formatCode>
                <c:ptCount val="8"/>
                <c:pt idx="0">
                  <c:v>352.32</c:v>
                </c:pt>
                <c:pt idx="1">
                  <c:v>920.32</c:v>
                </c:pt>
                <c:pt idx="2">
                  <c:v>311.04</c:v>
                </c:pt>
                <c:pt idx="3">
                  <c:v>274.24</c:v>
                </c:pt>
                <c:pt idx="4">
                  <c:v>340.8</c:v>
                </c:pt>
                <c:pt idx="5">
                  <c:v>661.76</c:v>
                </c:pt>
                <c:pt idx="6">
                  <c:v>874.88</c:v>
                </c:pt>
                <c:pt idx="7">
                  <c:v>494.08</c:v>
                </c:pt>
              </c:numCache>
            </c:numRef>
          </c:val>
        </c:ser>
        <c:gapWidth val="150"/>
        <c:overlap val="100"/>
        <c:axId val="72320847"/>
        <c:axId val="8505846"/>
      </c:barChart>
      <c:catAx>
        <c:axId val="72320847"/>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b="0" sz="2000" spc="-1" strike="noStrike">
                <a:solidFill>
                  <a:srgbClr val="000000"/>
                </a:solidFill>
                <a:latin typeface="Vodafone Lt"/>
              </a:defRPr>
            </a:pPr>
          </a:p>
        </c:txPr>
        <c:crossAx val="8505846"/>
        <c:crosses val="autoZero"/>
        <c:auto val="1"/>
        <c:lblAlgn val="ctr"/>
        <c:lblOffset val="100"/>
        <c:noMultiLvlLbl val="0"/>
      </c:catAx>
      <c:valAx>
        <c:axId val="8505846"/>
        <c:scaling>
          <c:orientation val="minMax"/>
          <c:max val="1100"/>
          <c:min val="0"/>
        </c:scaling>
        <c:delete val="0"/>
        <c:axPos val="l"/>
        <c:majorGridlines>
          <c:spPr>
            <a:ln w="9360">
              <a:solidFill>
                <a:srgbClr val="878787"/>
              </a:solidFill>
              <a:round/>
            </a:ln>
          </c:spPr>
        </c:majorGridlines>
        <c:numFmt formatCode="0" sourceLinked="0"/>
        <c:majorTickMark val="out"/>
        <c:minorTickMark val="none"/>
        <c:tickLblPos val="nextTo"/>
        <c:spPr>
          <a:ln w="9360">
            <a:solidFill>
              <a:srgbClr val="878787"/>
            </a:solidFill>
            <a:round/>
          </a:ln>
        </c:spPr>
        <c:txPr>
          <a:bodyPr/>
          <a:lstStyle/>
          <a:p>
            <a:pPr>
              <a:defRPr b="0" sz="1800" spc="-1" strike="noStrike">
                <a:solidFill>
                  <a:srgbClr val="000000"/>
                </a:solidFill>
                <a:latin typeface="Vodafone Lt"/>
              </a:defRPr>
            </a:pPr>
          </a:p>
        </c:txPr>
        <c:crossAx val="72320847"/>
        <c:crosses val="autoZero"/>
        <c:crossBetween val="between"/>
        <c:majorUnit val="200"/>
      </c:valAx>
      <c:spPr>
        <a:solidFill>
          <a:srgbClr val="e6e0ec"/>
        </a:solidFill>
        <a:ln>
          <a:noFill/>
        </a:ln>
      </c:spPr>
    </c:plotArea>
    <c:legend>
      <c:legendPos val="r"/>
      <c:layout>
        <c:manualLayout>
          <c:xMode val="edge"/>
          <c:yMode val="edge"/>
          <c:x val="0.874803352306856"/>
          <c:y val="0.563739376770538"/>
          <c:w val="0.117848970251716"/>
          <c:h val="0.215764222069911"/>
        </c:manualLayout>
      </c:layout>
      <c:overlay val="0"/>
      <c:spPr>
        <a:noFill/>
        <a:ln>
          <a:noFill/>
        </a:ln>
      </c:spPr>
      <c:txPr>
        <a:bodyPr/>
        <a:lstStyle/>
        <a:p>
          <a:pPr>
            <a:defRPr b="0" sz="1800" spc="-1" strike="noStrike">
              <a:solidFill>
                <a:srgbClr val="000000"/>
              </a:solidFill>
              <a:latin typeface="Vodafone Lt"/>
            </a:defRPr>
          </a:pPr>
        </a:p>
      </c:txPr>
    </c:legend>
    <c:plotVisOnly val="1"/>
    <c:dispBlanksAs val="gap"/>
  </c:chart>
  <c:spPr>
    <a:solidFill>
      <a:srgbClr val="ffffff"/>
    </a:solidFill>
    <a:ln w="9360">
      <a:solidFill>
        <a:srgbClr val="d9d9d9"/>
      </a:solidFill>
      <a:round/>
    </a:ln>
  </c:spPr>
</c:chartSpace>
</file>

<file path=xl/charts/chart56.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18056338028169"/>
          <c:y val="0.103003893936584"/>
          <c:w val="0.786103286384977"/>
          <c:h val="0.756907101798628"/>
        </c:manualLayout>
      </c:layout>
      <c:barChart>
        <c:barDir val="col"/>
        <c:grouping val="stacked"/>
        <c:varyColors val="0"/>
        <c:ser>
          <c:idx val="0"/>
          <c:order val="0"/>
          <c:tx>
            <c:strRef>
              <c:f>'Cab Floorspace-Archived'!$J$33</c:f>
              <c:strCache>
                <c:ptCount val="1"/>
                <c:pt idx="0">
                  <c:v>Used (m²) </c:v>
                </c:pt>
              </c:strCache>
            </c:strRef>
          </c:tx>
          <c:spPr>
            <a:solidFill>
              <a:srgbClr val="009900"/>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'Cab Floorspace-Archived'!$A$38:$A$40</c:f>
              <c:strCache>
                <c:ptCount val="3"/>
                <c:pt idx="0">
                  <c:v>XKS (1st)</c:v>
                </c:pt>
                <c:pt idx="1">
                  <c:v>XKS (2nd)</c:v>
                </c:pt>
                <c:pt idx="2">
                  <c:v>XKS (3rd)</c:v>
                </c:pt>
              </c:strCache>
            </c:strRef>
          </c:cat>
          <c:val>
            <c:numRef>
              <c:f>'Cab Floorspace-Archived'!$J$38:$J$40</c:f>
              <c:numCache>
                <c:formatCode>General</c:formatCode>
                <c:ptCount val="3"/>
                <c:pt idx="0">
                  <c:v>766.4</c:v>
                </c:pt>
                <c:pt idx="1">
                  <c:v>758.72</c:v>
                </c:pt>
                <c:pt idx="2">
                  <c:v>640.32</c:v>
                </c:pt>
              </c:numCache>
            </c:numRef>
          </c:val>
        </c:ser>
        <c:ser>
          <c:idx val="1"/>
          <c:order val="1"/>
          <c:tx>
            <c:strRef>
              <c:f>'Cab Floorspace-Archived'!$K$33</c:f>
              <c:strCache>
                <c:ptCount val="1"/>
                <c:pt idx="0">
                  <c:v>Reserved (m²)</c:v>
                </c:pt>
              </c:strCache>
            </c:strRef>
          </c:tx>
          <c:spPr>
            <a:solidFill>
              <a:srgbClr val="e46c0a"/>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'Cab Floorspace-Archived'!$A$38:$A$40</c:f>
              <c:strCache>
                <c:ptCount val="3"/>
                <c:pt idx="0">
                  <c:v>XKS (1st)</c:v>
                </c:pt>
                <c:pt idx="1">
                  <c:v>XKS (2nd)</c:v>
                </c:pt>
                <c:pt idx="2">
                  <c:v>XKS (3rd)</c:v>
                </c:pt>
              </c:strCache>
            </c:strRef>
          </c:cat>
          <c:val>
            <c:numRef>
              <c:f>'Cab Floorspace-Archived'!$K$38:$K$40</c:f>
              <c:numCache>
                <c:formatCode>General</c:formatCode>
                <c:ptCount val="3"/>
                <c:pt idx="0">
                  <c:v>0</c:v>
                </c:pt>
                <c:pt idx="1">
                  <c:v>0</c:v>
                </c:pt>
                <c:pt idx="2">
                  <c:v>0</c:v>
                </c:pt>
              </c:numCache>
            </c:numRef>
          </c:val>
        </c:ser>
        <c:ser>
          <c:idx val="2"/>
          <c:order val="2"/>
          <c:tx>
            <c:strRef>
              <c:f>'Cab Floorspace-Archived'!$L$33</c:f>
              <c:strCache>
                <c:ptCount val="1"/>
                <c:pt idx="0">
                  <c:v>Forecast (m²) </c:v>
                </c:pt>
              </c:strCache>
            </c:strRef>
          </c:tx>
          <c:spPr>
            <a:solidFill>
              <a:srgbClr val="ffffcc"/>
            </a:solidFill>
            <a:ln>
              <a:solidFill>
                <a:srgbClr val="000000"/>
              </a:solidFill>
            </a:ln>
          </c:spPr>
          <c:invertIfNegative val="0"/>
          <c:dPt>
            <c:idx val="1"/>
            <c:invertIfNegative val="0"/>
            <c:spPr>
              <a:solidFill>
                <a:srgbClr val="990033"/>
              </a:solidFill>
              <a:ln>
                <a:solidFill>
                  <a:srgbClr val="000000"/>
                </a:solidFill>
              </a:ln>
            </c:spPr>
          </c:dPt>
          <c:dLbls>
            <c:dLbl>
              <c:idx val="1"/>
              <c:txPr>
                <a:bodyPr/>
                <a:lstStyle/>
                <a:p>
                  <a:pPr>
                    <a:defRPr b="0" sz="1000" spc="-1" strike="noStrike">
                      <a:solidFill>
                        <a:srgbClr val="000000"/>
                      </a:solidFill>
                      <a:latin typeface="Calibri"/>
                    </a:defRPr>
                  </a:pPr>
                </a:p>
              </c:txPr>
              <c:dLblPos val="ctr"/>
              <c:showLegendKey val="0"/>
              <c:showVal val="0"/>
              <c:showCatName val="0"/>
              <c:showSerName val="0"/>
              <c:showPercent val="0"/>
              <c:separator>; </c:separator>
            </c:dLbl>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'Cab Floorspace-Archived'!$A$38:$A$40</c:f>
              <c:strCache>
                <c:ptCount val="3"/>
                <c:pt idx="0">
                  <c:v>XKS (1st)</c:v>
                </c:pt>
                <c:pt idx="1">
                  <c:v>XKS (2nd)</c:v>
                </c:pt>
                <c:pt idx="2">
                  <c:v>XKS (3rd)</c:v>
                </c:pt>
              </c:strCache>
            </c:strRef>
          </c:cat>
          <c:val>
            <c:numRef>
              <c:f>'Cab Floorspace-Archived'!$L$38:$L$40</c:f>
              <c:numCache>
                <c:formatCode>General</c:formatCode>
                <c:ptCount val="3"/>
                <c:pt idx="0">
                  <c:v>0</c:v>
                </c:pt>
                <c:pt idx="1">
                  <c:v>0</c:v>
                </c:pt>
                <c:pt idx="2">
                  <c:v>0</c:v>
                </c:pt>
              </c:numCache>
            </c:numRef>
          </c:val>
        </c:ser>
        <c:ser>
          <c:idx val="3"/>
          <c:order val="3"/>
          <c:tx>
            <c:strRef>
              <c:f>'Cab Floorspace-Archived'!$O$33</c:f>
              <c:strCache>
                <c:ptCount val="1"/>
                <c:pt idx="0">
                  <c:v>Remaining (m²) </c:v>
                </c:pt>
              </c:strCache>
            </c:strRef>
          </c:tx>
          <c:spPr>
            <a:solidFill>
              <a:srgbClr val="ffffcc"/>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'Cab Floorspace-Archived'!$A$38:$A$40</c:f>
              <c:strCache>
                <c:ptCount val="3"/>
                <c:pt idx="0">
                  <c:v>XKS (1st)</c:v>
                </c:pt>
                <c:pt idx="1">
                  <c:v>XKS (2nd)</c:v>
                </c:pt>
                <c:pt idx="2">
                  <c:v>XKS (3rd)</c:v>
                </c:pt>
              </c:strCache>
            </c:strRef>
          </c:cat>
          <c:val>
            <c:numRef>
              <c:f>'Cab Floorspace-Archived'!$O$38:$O$40</c:f>
              <c:numCache>
                <c:formatCode>General</c:formatCode>
                <c:ptCount val="3"/>
                <c:pt idx="0">
                  <c:v>311.04</c:v>
                </c:pt>
                <c:pt idx="1">
                  <c:v>274.24</c:v>
                </c:pt>
                <c:pt idx="2">
                  <c:v>340.8</c:v>
                </c:pt>
              </c:numCache>
            </c:numRef>
          </c:val>
        </c:ser>
        <c:gapWidth val="150"/>
        <c:overlap val="100"/>
        <c:axId val="11695759"/>
        <c:axId val="60273082"/>
      </c:barChart>
      <c:catAx>
        <c:axId val="11695759"/>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b="0" sz="1600" spc="-1" strike="noStrike">
                <a:solidFill>
                  <a:srgbClr val="000000"/>
                </a:solidFill>
                <a:latin typeface="Vodafone Lt"/>
                <a:ea typeface="Vodafone Lt"/>
              </a:defRPr>
            </a:pPr>
          </a:p>
        </c:txPr>
        <c:crossAx val="60273082"/>
        <c:crosses val="autoZero"/>
        <c:auto val="1"/>
        <c:lblAlgn val="ctr"/>
        <c:lblOffset val="100"/>
        <c:noMultiLvlLbl val="0"/>
      </c:catAx>
      <c:valAx>
        <c:axId val="60273082"/>
        <c:scaling>
          <c:orientation val="minMax"/>
        </c:scaling>
        <c:delete val="0"/>
        <c:axPos val="l"/>
        <c:majorGridlines>
          <c:spPr>
            <a:ln w="9360">
              <a:solidFill>
                <a:srgbClr val="878787"/>
              </a:solidFill>
              <a:round/>
            </a:ln>
          </c:spPr>
        </c:majorGridlines>
        <c:numFmt formatCode="0" sourceLinked="0"/>
        <c:majorTickMark val="out"/>
        <c:minorTickMark val="none"/>
        <c:tickLblPos val="nextTo"/>
        <c:spPr>
          <a:ln w="9360">
            <a:solidFill>
              <a:srgbClr val="878787"/>
            </a:solidFill>
            <a:round/>
          </a:ln>
        </c:spPr>
        <c:txPr>
          <a:bodyPr/>
          <a:lstStyle/>
          <a:p>
            <a:pPr>
              <a:defRPr b="0" sz="1400" spc="-1" strike="noStrike">
                <a:solidFill>
                  <a:srgbClr val="000000"/>
                </a:solidFill>
                <a:latin typeface="Vodafone Lt"/>
                <a:ea typeface="Vodafone Lt"/>
              </a:defRPr>
            </a:pPr>
          </a:p>
        </c:txPr>
        <c:crossAx val="11695759"/>
        <c:crosses val="autoZero"/>
        <c:crossBetween val="between"/>
      </c:valAx>
      <c:spPr>
        <a:solidFill>
          <a:srgbClr val="e6e0ec"/>
        </a:solidFill>
        <a:ln>
          <a:noFill/>
        </a:ln>
      </c:spPr>
    </c:plotArea>
    <c:plotVisOnly val="1"/>
    <c:dispBlanksAs val="gap"/>
  </c:chart>
  <c:spPr>
    <a:solidFill>
      <a:srgbClr val="ffffff"/>
    </a:solidFill>
    <a:ln w="9360">
      <a:solidFill>
        <a:srgbClr val="d9d9d9"/>
      </a:solidFill>
      <a:round/>
    </a:ln>
  </c:spPr>
</c:chartSpace>
</file>

<file path=xl/charts/chart57.xml><?xml version="1.0" encoding="utf-8"?>
<c:chartSpace xmlns:c="http://schemas.openxmlformats.org/drawingml/2006/chart" xmlns:a="http://schemas.openxmlformats.org/drawingml/2006/main" xmlns:r="http://schemas.openxmlformats.org/officeDocument/2006/relationships">
  <c:lang val="en-US"/>
  <c:roundedCorners val="0"/>
  <c:chart>
    <c:autoTitleDeleted val="1"/>
    <c:view3D>
      <c:rotX val="75"/>
      <c:rotY val="0"/>
      <c:rAngAx val="0"/>
      <c:perspective val="30"/>
    </c:view3D>
    <c:floor>
      <c:spPr>
        <a:solidFill>
          <a:srgbClr val="d9d9d9"/>
        </a:solidFill>
        <a:ln>
          <a:noFill/>
        </a:ln>
      </c:spPr>
    </c:floor>
    <c:sideWall>
      <c:spPr>
        <a:solidFill>
          <a:srgbClr val="d9d9d9"/>
        </a:solidFill>
        <a:ln>
          <a:noFill/>
        </a:ln>
      </c:spPr>
    </c:sideWall>
    <c:backWall>
      <c:spPr>
        <a:solidFill>
          <a:srgbClr val="d9d9d9"/>
        </a:solidFill>
        <a:ln>
          <a:noFill/>
        </a:ln>
      </c:spPr>
    </c:backWall>
    <c:plotArea>
      <c:layout>
        <c:manualLayout>
          <c:layoutTarget val="inner"/>
          <c:xMode val="edge"/>
          <c:yMode val="edge"/>
          <c:x val="0.0356718898385565"/>
          <c:y val="0.146822092700527"/>
          <c:w val="0.485695631528965"/>
          <c:h val="0.792302710704043"/>
        </c:manualLayout>
      </c:layout>
      <c:pie3DChart>
        <c:varyColors val="1"/>
        <c:ser>
          <c:idx val="0"/>
          <c:order val="0"/>
          <c:spPr>
            <a:solidFill>
              <a:srgbClr val="4f81bd"/>
            </a:solidFill>
            <a:ln w="12600">
              <a:solidFill>
                <a:srgbClr val="000000"/>
              </a:solidFill>
              <a:round/>
            </a:ln>
          </c:spPr>
          <c:explosion val="5"/>
          <c:dPt>
            <c:idx val="0"/>
            <c:explosion val="5"/>
            <c:spPr>
              <a:solidFill>
                <a:srgbClr val="008000"/>
              </a:solidFill>
              <a:ln w="12600">
                <a:solidFill>
                  <a:srgbClr val="000000"/>
                </a:solidFill>
                <a:round/>
              </a:ln>
            </c:spPr>
          </c:dPt>
          <c:dPt>
            <c:idx val="1"/>
            <c:explosion val="5"/>
            <c:spPr>
              <a:solidFill>
                <a:srgbClr val="e46c0a"/>
              </a:solidFill>
              <a:ln w="12600">
                <a:solidFill>
                  <a:srgbClr val="000000"/>
                </a:solidFill>
                <a:round/>
              </a:ln>
            </c:spPr>
          </c:dPt>
          <c:dPt>
            <c:idx val="2"/>
            <c:explosion val="5"/>
            <c:spPr>
              <a:solidFill>
                <a:srgbClr val="0070c0"/>
              </a:solidFill>
              <a:ln w="12600">
                <a:solidFill>
                  <a:srgbClr val="000000"/>
                </a:solidFill>
                <a:round/>
              </a:ln>
            </c:spPr>
          </c:dPt>
          <c:dLbls>
            <c:numFmt formatCode="0.00%" sourceLinked="0"/>
            <c:dLbl>
              <c:idx val="0"/>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dLbl>
              <c:idx val="1"/>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dLbl>
              <c:idx val="2"/>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txPr>
              <a:bodyPr/>
              <a:lstStyle/>
              <a:p>
                <a:pPr>
                  <a:defRPr b="0" sz="1800" spc="-1" strike="noStrike">
                    <a:solidFill>
                      <a:srgbClr val="000000"/>
                    </a:solidFill>
                    <a:latin typeface="Vodafone Lt"/>
                    <a:ea typeface="Vodafone Lt"/>
                  </a:defRPr>
                </a:pPr>
              </a:p>
            </c:txPr>
            <c:dLblPos val="outEnd"/>
            <c:showLegendKey val="0"/>
            <c:showVal val="0"/>
            <c:showCatName val="0"/>
            <c:showSerName val="0"/>
            <c:showPercent val="1"/>
            <c:separator>
</c:separator>
            <c:showLeaderLines val="0"/>
          </c:dLbls>
          <c:cat>
            <c:strRef>
              <c:f>'Power figures'!$A$110:$A$112</c:f>
              <c:strCache>
                <c:ptCount val="3"/>
                <c:pt idx="0">
                  <c:v>Total Technology Load</c:v>
                </c:pt>
                <c:pt idx="1">
                  <c:v>Total Technology Reserved/Forecast</c:v>
                </c:pt>
                <c:pt idx="2">
                  <c:v>Remaining Power Capability</c:v>
                </c:pt>
              </c:strCache>
            </c:strRef>
          </c:cat>
          <c:val>
            <c:numRef>
              <c:f>'Power figures'!$B$110:$B$112</c:f>
              <c:numCache>
                <c:formatCode>General</c:formatCode>
                <c:ptCount val="3"/>
                <c:pt idx="0">
                  <c:v>362.0544</c:v>
                </c:pt>
                <c:pt idx="1">
                  <c:v>0</c:v>
                </c:pt>
                <c:pt idx="2">
                  <c:v>1943.349</c:v>
                </c:pt>
              </c:numCache>
            </c:numRef>
          </c:val>
        </c:ser>
      </c:pie3DChart>
    </c:plotArea>
    <c:legend>
      <c:legendPos val="r"/>
      <c:layout>
        <c:manualLayout>
          <c:xMode val="edge"/>
          <c:yMode val="edge"/>
          <c:x val="0.530092592592593"/>
          <c:y val="0.555648071051901"/>
          <c:w val="0.433964504066006"/>
          <c:h val="0.412564766839378"/>
        </c:manualLayout>
      </c:layout>
      <c:overlay val="0"/>
      <c:spPr>
        <a:noFill/>
        <a:ln>
          <a:noFill/>
        </a:ln>
      </c:spPr>
      <c:txPr>
        <a:bodyPr/>
        <a:lstStyle/>
        <a:p>
          <a:pPr>
            <a:defRPr b="0" sz="1800" spc="-1" strike="noStrike">
              <a:solidFill>
                <a:srgbClr val="000000"/>
              </a:solidFill>
              <a:latin typeface="Vodafone Lt"/>
              <a:ea typeface="Vodafone Lt"/>
            </a:defRPr>
          </a:pPr>
        </a:p>
      </c:txPr>
    </c:legend>
    <c:plotVisOnly val="1"/>
    <c:dispBlanksAs val="gap"/>
  </c:chart>
  <c:spPr>
    <a:solidFill>
      <a:srgbClr val="ffffff"/>
    </a:solidFill>
    <a:ln w="9360">
      <a:solidFill>
        <a:srgbClr val="d9d9d9"/>
      </a:solidFill>
      <a:round/>
    </a:ln>
  </c:spPr>
</c:chartSpace>
</file>

<file path=xl/charts/chart58.xml><?xml version="1.0" encoding="utf-8"?>
<c:chartSpace xmlns:c="http://schemas.openxmlformats.org/drawingml/2006/chart" xmlns:a="http://schemas.openxmlformats.org/drawingml/2006/main" xmlns:r="http://schemas.openxmlformats.org/officeDocument/2006/relationships">
  <c:lang val="en-US"/>
  <c:roundedCorners val="0"/>
  <c:chart>
    <c:autoTitleDeleted val="1"/>
    <c:view3D>
      <c:rotX val="70"/>
      <c:rotY val="0"/>
      <c:rAngAx val="0"/>
      <c:perspective val="30"/>
    </c:view3D>
    <c:floor>
      <c:spPr>
        <a:solidFill>
          <a:srgbClr val="d9d9d9"/>
        </a:solidFill>
        <a:ln>
          <a:noFill/>
        </a:ln>
      </c:spPr>
    </c:floor>
    <c:sideWall>
      <c:spPr>
        <a:solidFill>
          <a:srgbClr val="d9d9d9"/>
        </a:solidFill>
        <a:ln>
          <a:noFill/>
        </a:ln>
      </c:spPr>
    </c:sideWall>
    <c:backWall>
      <c:spPr>
        <a:solidFill>
          <a:srgbClr val="d9d9d9"/>
        </a:solidFill>
        <a:ln>
          <a:noFill/>
        </a:ln>
      </c:spPr>
    </c:backWall>
    <c:plotArea>
      <c:layout>
        <c:manualLayout>
          <c:layoutTarget val="inner"/>
          <c:xMode val="edge"/>
          <c:yMode val="edge"/>
          <c:x val="0.0777418635755684"/>
          <c:y val="0.158108983254695"/>
          <c:w val="0.462382969237628"/>
          <c:h val="0.760569895457489"/>
        </c:manualLayout>
      </c:layout>
      <c:pie3DChart>
        <c:varyColors val="1"/>
        <c:ser>
          <c:idx val="0"/>
          <c:order val="0"/>
          <c:spPr>
            <a:solidFill>
              <a:srgbClr val="4f81bd"/>
            </a:solidFill>
            <a:ln>
              <a:solidFill>
                <a:srgbClr val="000000"/>
              </a:solidFill>
            </a:ln>
          </c:spPr>
          <c:explosion val="3"/>
          <c:dPt>
            <c:idx val="0"/>
            <c:explosion val="3"/>
            <c:spPr>
              <a:solidFill>
                <a:srgbClr val="008000"/>
              </a:solidFill>
              <a:ln>
                <a:solidFill>
                  <a:srgbClr val="000000"/>
                </a:solidFill>
              </a:ln>
            </c:spPr>
          </c:dPt>
          <c:dPt>
            <c:idx val="1"/>
            <c:explosion val="3"/>
            <c:spPr>
              <a:solidFill>
                <a:srgbClr val="e46c0a"/>
              </a:solidFill>
              <a:ln>
                <a:solidFill>
                  <a:srgbClr val="000000"/>
                </a:solidFill>
              </a:ln>
            </c:spPr>
          </c:dPt>
          <c:dPt>
            <c:idx val="2"/>
            <c:explosion val="3"/>
            <c:spPr>
              <a:solidFill>
                <a:srgbClr val="0070c0"/>
              </a:solidFill>
              <a:ln>
                <a:solidFill>
                  <a:srgbClr val="000000"/>
                </a:solidFill>
              </a:ln>
            </c:spPr>
          </c:dPt>
          <c:dLbls>
            <c:numFmt formatCode="0.00%" sourceLinked="0"/>
            <c:dLbl>
              <c:idx val="0"/>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dLbl>
              <c:idx val="1"/>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dLbl>
              <c:idx val="2"/>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txPr>
              <a:bodyPr/>
              <a:lstStyle/>
              <a:p>
                <a:pPr>
                  <a:defRPr b="0" sz="1800" spc="-1" strike="noStrike">
                    <a:solidFill>
                      <a:srgbClr val="000000"/>
                    </a:solidFill>
                    <a:latin typeface="Vodafone Lt"/>
                    <a:ea typeface="Vodafone Lt"/>
                  </a:defRPr>
                </a:pPr>
              </a:p>
            </c:txPr>
            <c:dLblPos val="outEnd"/>
            <c:showLegendKey val="0"/>
            <c:showVal val="0"/>
            <c:showCatName val="0"/>
            <c:showSerName val="0"/>
            <c:showPercent val="1"/>
            <c:separator>
</c:separator>
            <c:showLeaderLines val="0"/>
          </c:dLbls>
          <c:cat>
            <c:strRef>
              <c:f>'Power figures'!$A$104:$A$106</c:f>
              <c:strCache>
                <c:ptCount val="3"/>
                <c:pt idx="0">
                  <c:v>Total Technology Load</c:v>
                </c:pt>
                <c:pt idx="1">
                  <c:v>Total Technology Reserved/Forecast</c:v>
                </c:pt>
                <c:pt idx="2">
                  <c:v>Remaining Power Capability</c:v>
                </c:pt>
              </c:strCache>
            </c:strRef>
          </c:cat>
          <c:val>
            <c:numRef>
              <c:f>'Power figures'!$B$104:$B$106</c:f>
              <c:numCache>
                <c:formatCode>General</c:formatCode>
                <c:ptCount val="3"/>
                <c:pt idx="0">
                  <c:v>680.6505</c:v>
                </c:pt>
                <c:pt idx="1">
                  <c:v>400.79117</c:v>
                </c:pt>
                <c:pt idx="2">
                  <c:v>1598.78533</c:v>
                </c:pt>
              </c:numCache>
            </c:numRef>
          </c:val>
        </c:ser>
      </c:pie3DChart>
    </c:plotArea>
    <c:legend>
      <c:legendPos val="r"/>
      <c:layout>
        <c:manualLayout>
          <c:xMode val="edge"/>
          <c:yMode val="edge"/>
          <c:x val="0.548261257244761"/>
          <c:y val="0.537607549264502"/>
          <c:w val="0.421445689126679"/>
          <c:h val="0.438841598815692"/>
        </c:manualLayout>
      </c:layout>
      <c:overlay val="0"/>
      <c:spPr>
        <a:noFill/>
        <a:ln>
          <a:noFill/>
        </a:ln>
      </c:spPr>
      <c:txPr>
        <a:bodyPr/>
        <a:lstStyle/>
        <a:p>
          <a:pPr>
            <a:defRPr b="0" sz="1800" spc="-1" strike="noStrike">
              <a:solidFill>
                <a:srgbClr val="000000"/>
              </a:solidFill>
              <a:latin typeface="Vodafone Lt"/>
              <a:ea typeface="Vodafone Lt"/>
            </a:defRPr>
          </a:pPr>
        </a:p>
      </c:txPr>
    </c:legend>
    <c:plotVisOnly val="1"/>
    <c:dispBlanksAs val="gap"/>
  </c:chart>
  <c:spPr>
    <a:solidFill>
      <a:srgbClr val="ffffff"/>
    </a:solidFill>
    <a:ln w="9360">
      <a:solidFill>
        <a:srgbClr val="d9d9d9"/>
      </a:solidFill>
      <a:round/>
    </a:ln>
  </c:spPr>
</c:chartSpace>
</file>

<file path=xl/charts/chart59.xml><?xml version="1.0" encoding="utf-8"?>
<c:chartSpace xmlns:c="http://schemas.openxmlformats.org/drawingml/2006/chart" xmlns:a="http://schemas.openxmlformats.org/drawingml/2006/main" xmlns:r="http://schemas.openxmlformats.org/officeDocument/2006/relationships">
  <c:lang val="en-US"/>
  <c:roundedCorners val="0"/>
  <c:chart>
    <c:autoTitleDeleted val="1"/>
    <c:view3D>
      <c:rotX val="75"/>
      <c:rotY val="0"/>
      <c:rAngAx val="0"/>
      <c:perspective val="30"/>
    </c:view3D>
    <c:floor>
      <c:spPr>
        <a:solidFill>
          <a:srgbClr val="d9d9d9"/>
        </a:solidFill>
        <a:ln>
          <a:noFill/>
        </a:ln>
      </c:spPr>
    </c:floor>
    <c:sideWall>
      <c:spPr>
        <a:solidFill>
          <a:srgbClr val="d9d9d9"/>
        </a:solidFill>
        <a:ln>
          <a:noFill/>
        </a:ln>
      </c:spPr>
    </c:sideWall>
    <c:backWall>
      <c:spPr>
        <a:solidFill>
          <a:srgbClr val="d9d9d9"/>
        </a:solidFill>
        <a:ln>
          <a:noFill/>
        </a:ln>
      </c:spPr>
    </c:backWall>
    <c:plotArea>
      <c:layout>
        <c:manualLayout>
          <c:layoutTarget val="inner"/>
          <c:xMode val="edge"/>
          <c:yMode val="edge"/>
          <c:x val="0.00561636770015474"/>
          <c:y val="0.174309513371328"/>
          <c:w val="0.594475328099031"/>
          <c:h val="0.779131959666813"/>
        </c:manualLayout>
      </c:layout>
      <c:pie3DChart>
        <c:varyColors val="1"/>
        <c:ser>
          <c:idx val="0"/>
          <c:order val="0"/>
          <c:spPr>
            <a:solidFill>
              <a:srgbClr val="4f81bd"/>
            </a:solidFill>
            <a:ln>
              <a:solidFill>
                <a:srgbClr val="000000"/>
              </a:solidFill>
            </a:ln>
          </c:spPr>
          <c:explosion val="5"/>
          <c:dPt>
            <c:idx val="0"/>
            <c:explosion val="5"/>
            <c:spPr>
              <a:solidFill>
                <a:srgbClr val="008000"/>
              </a:solidFill>
              <a:ln>
                <a:solidFill>
                  <a:srgbClr val="000000"/>
                </a:solidFill>
              </a:ln>
            </c:spPr>
          </c:dPt>
          <c:dPt>
            <c:idx val="1"/>
            <c:explosion val="5"/>
            <c:spPr>
              <a:solidFill>
                <a:srgbClr val="92d050"/>
              </a:solidFill>
              <a:ln>
                <a:solidFill>
                  <a:srgbClr val="000000"/>
                </a:solidFill>
              </a:ln>
            </c:spPr>
          </c:dPt>
          <c:dPt>
            <c:idx val="2"/>
            <c:explosion val="5"/>
            <c:spPr>
              <a:solidFill>
                <a:srgbClr val="e46c0a"/>
              </a:solidFill>
              <a:ln>
                <a:solidFill>
                  <a:srgbClr val="000000"/>
                </a:solidFill>
              </a:ln>
            </c:spPr>
          </c:dPt>
          <c:dPt>
            <c:idx val="3"/>
            <c:explosion val="5"/>
            <c:spPr>
              <a:solidFill>
                <a:srgbClr val="fac090"/>
              </a:solidFill>
              <a:ln>
                <a:solidFill>
                  <a:srgbClr val="000000"/>
                </a:solidFill>
              </a:ln>
            </c:spPr>
          </c:dPt>
          <c:dPt>
            <c:idx val="4"/>
            <c:explosion val="5"/>
            <c:spPr>
              <a:solidFill>
                <a:srgbClr val="3a8ed5"/>
              </a:solidFill>
              <a:ln>
                <a:solidFill>
                  <a:srgbClr val="000000"/>
                </a:solidFill>
              </a:ln>
            </c:spPr>
          </c:dPt>
          <c:dPt>
            <c:idx val="5"/>
            <c:explosion val="5"/>
            <c:spPr>
              <a:solidFill>
                <a:srgbClr val="c6d9f1"/>
              </a:solidFill>
              <a:ln>
                <a:solidFill>
                  <a:srgbClr val="000000"/>
                </a:solidFill>
              </a:ln>
            </c:spPr>
          </c:dPt>
          <c:dLbls>
            <c:numFmt formatCode="0.00%" sourceLinked="0"/>
            <c:dLbl>
              <c:idx val="0"/>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dLbl>
              <c:idx val="1"/>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dLbl>
              <c:idx val="2"/>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dLbl>
              <c:idx val="3"/>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dLbl>
              <c:idx val="4"/>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dLbl>
              <c:idx val="5"/>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txPr>
              <a:bodyPr/>
              <a:lstStyle/>
              <a:p>
                <a:pPr>
                  <a:defRPr b="0" sz="1800" spc="-1" strike="noStrike">
                    <a:solidFill>
                      <a:srgbClr val="000000"/>
                    </a:solidFill>
                    <a:latin typeface="Vodafone Lt"/>
                    <a:ea typeface="Vodafone Lt"/>
                  </a:defRPr>
                </a:pPr>
              </a:p>
            </c:txPr>
            <c:dLblPos val="bestFit"/>
            <c:showLegendKey val="0"/>
            <c:showVal val="0"/>
            <c:showCatName val="0"/>
            <c:showSerName val="0"/>
            <c:showPercent val="1"/>
            <c:separator>
</c:separator>
            <c:showLeaderLines val="0"/>
          </c:dLbls>
          <c:cat>
            <c:strRef>
              <c:f>'Power figures'!$A$91:$A$96</c:f>
              <c:strCache>
                <c:ptCount val="6"/>
                <c:pt idx="0">
                  <c:v>CHE Total Technology Load</c:v>
                </c:pt>
                <c:pt idx="1">
                  <c:v>Strategic (Non- CHE) Total Technology Load</c:v>
                </c:pt>
                <c:pt idx="2">
                  <c:v>CHE Total Technology Reserved/Forecast</c:v>
                </c:pt>
                <c:pt idx="3">
                  <c:v>Strategic (Non-CHE) Total Technology Reserved/Forecast</c:v>
                </c:pt>
                <c:pt idx="4">
                  <c:v>CHE Remaining Power Capability</c:v>
                </c:pt>
                <c:pt idx="5">
                  <c:v>Strategic (Non- CHE) Remaining Power Capability</c:v>
                </c:pt>
              </c:strCache>
            </c:strRef>
          </c:cat>
          <c:val>
            <c:numRef>
              <c:f>'Power figures'!$B$91:$B$96</c:f>
              <c:numCache>
                <c:formatCode>General</c:formatCode>
                <c:ptCount val="6"/>
                <c:pt idx="0">
                  <c:v>1379.94</c:v>
                </c:pt>
                <c:pt idx="1">
                  <c:v>959.6905</c:v>
                </c:pt>
                <c:pt idx="2">
                  <c:v>322.030145</c:v>
                </c:pt>
                <c:pt idx="3">
                  <c:v>54.85425</c:v>
                </c:pt>
                <c:pt idx="4">
                  <c:v>0</c:v>
                </c:pt>
                <c:pt idx="5">
                  <c:v>0</c:v>
                </c:pt>
              </c:numCache>
            </c:numRef>
          </c:val>
        </c:ser>
      </c:pie3DChart>
    </c:plotArea>
    <c:legend>
      <c:legendPos val="r"/>
      <c:layout>
        <c:manualLayout>
          <c:xMode val="edge"/>
          <c:yMode val="edge"/>
          <c:x val="0.546850822396699"/>
          <c:y val="0.248224462954844"/>
          <c:w val="0.349657563687423"/>
          <c:h val="0.685987372851631"/>
        </c:manualLayout>
      </c:layout>
      <c:overlay val="0"/>
      <c:spPr>
        <a:noFill/>
        <a:ln>
          <a:noFill/>
        </a:ln>
      </c:spPr>
      <c:txPr>
        <a:bodyPr/>
        <a:lstStyle/>
        <a:p>
          <a:pPr>
            <a:defRPr b="0" sz="1800" spc="-1" strike="noStrike">
              <a:solidFill>
                <a:srgbClr val="000000"/>
              </a:solidFill>
              <a:latin typeface="Vodafone Lt"/>
              <a:ea typeface="Vodafone Lt"/>
            </a:defRPr>
          </a:pPr>
        </a:p>
      </c:txPr>
    </c:legend>
    <c:plotVisOnly val="1"/>
    <c:dispBlanksAs val="gap"/>
  </c:chart>
  <c:spPr>
    <a:solidFill>
      <a:srgbClr val="ffffff"/>
    </a:solidFill>
    <a:ln w="9360">
      <a:solidFill>
        <a:srgbClr val="d9d9d9"/>
      </a:solidFill>
      <a:round/>
    </a:ln>
  </c:spPr>
</c:chartSpace>
</file>

<file path=xl/charts/chart60.xml><?xml version="1.0" encoding="utf-8"?>
<c:chartSpace xmlns:c="http://schemas.openxmlformats.org/drawingml/2006/chart" xmlns:a="http://schemas.openxmlformats.org/drawingml/2006/main" xmlns:r="http://schemas.openxmlformats.org/officeDocument/2006/relationships">
  <c:lang val="en-US"/>
  <c:roundedCorners val="0"/>
  <c:chart>
    <c:autoTitleDeleted val="1"/>
    <c:view3D>
      <c:rotX val="75"/>
      <c:rotY val="0"/>
      <c:rAngAx val="0"/>
      <c:perspective val="30"/>
    </c:view3D>
    <c:floor>
      <c:spPr>
        <a:solidFill>
          <a:srgbClr val="d9d9d9"/>
        </a:solidFill>
        <a:ln>
          <a:noFill/>
        </a:ln>
      </c:spPr>
    </c:floor>
    <c:sideWall>
      <c:spPr>
        <a:solidFill>
          <a:srgbClr val="d9d9d9"/>
        </a:solidFill>
        <a:ln>
          <a:noFill/>
        </a:ln>
      </c:spPr>
    </c:sideWall>
    <c:backWall>
      <c:spPr>
        <a:solidFill>
          <a:srgbClr val="d9d9d9"/>
        </a:solidFill>
        <a:ln>
          <a:noFill/>
        </a:ln>
      </c:spPr>
    </c:backWall>
    <c:plotArea>
      <c:layout>
        <c:manualLayout>
          <c:layoutTarget val="inner"/>
          <c:xMode val="edge"/>
          <c:yMode val="edge"/>
          <c:x val="0.060838081671415"/>
          <c:y val="0.141363678416135"/>
          <c:w val="0.487654320987654"/>
          <c:h val="0.795170691090758"/>
        </c:manualLayout>
      </c:layout>
      <c:pie3DChart>
        <c:varyColors val="1"/>
        <c:ser>
          <c:idx val="0"/>
          <c:order val="0"/>
          <c:spPr>
            <a:solidFill>
              <a:srgbClr val="4f81bd"/>
            </a:solidFill>
            <a:ln w="12600">
              <a:solidFill>
                <a:srgbClr val="000000"/>
              </a:solidFill>
              <a:round/>
            </a:ln>
          </c:spPr>
          <c:explosion val="5"/>
          <c:dPt>
            <c:idx val="0"/>
            <c:explosion val="5"/>
            <c:spPr>
              <a:solidFill>
                <a:srgbClr val="008000"/>
              </a:solidFill>
              <a:ln w="12600">
                <a:solidFill>
                  <a:srgbClr val="000000"/>
                </a:solidFill>
                <a:round/>
              </a:ln>
            </c:spPr>
          </c:dPt>
          <c:dPt>
            <c:idx val="1"/>
            <c:explosion val="5"/>
            <c:spPr>
              <a:solidFill>
                <a:srgbClr val="e46c0a"/>
              </a:solidFill>
              <a:ln w="12600">
                <a:solidFill>
                  <a:srgbClr val="000000"/>
                </a:solidFill>
                <a:round/>
              </a:ln>
            </c:spPr>
          </c:dPt>
          <c:dPt>
            <c:idx val="2"/>
            <c:explosion val="5"/>
            <c:spPr>
              <a:solidFill>
                <a:srgbClr val="0070c0"/>
              </a:solidFill>
              <a:ln w="12600">
                <a:solidFill>
                  <a:srgbClr val="000000"/>
                </a:solidFill>
                <a:round/>
              </a:ln>
            </c:spPr>
          </c:dPt>
          <c:dLbls>
            <c:numFmt formatCode="0.00%" sourceLinked="0"/>
            <c:dLbl>
              <c:idx val="0"/>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dLbl>
              <c:idx val="1"/>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dLbl>
              <c:idx val="2"/>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txPr>
              <a:bodyPr/>
              <a:lstStyle/>
              <a:p>
                <a:pPr>
                  <a:defRPr b="0" sz="1800" spc="-1" strike="noStrike">
                    <a:solidFill>
                      <a:srgbClr val="000000"/>
                    </a:solidFill>
                    <a:latin typeface="Vodafone Lt"/>
                    <a:ea typeface="Vodafone Lt"/>
                  </a:defRPr>
                </a:pPr>
              </a:p>
            </c:txPr>
            <c:dLblPos val="outEnd"/>
            <c:showLegendKey val="0"/>
            <c:showVal val="0"/>
            <c:showCatName val="0"/>
            <c:showSerName val="0"/>
            <c:showPercent val="1"/>
            <c:separator>
</c:separator>
            <c:showLeaderLines val="0"/>
          </c:dLbls>
          <c:cat>
            <c:strRef>
              <c:f>'Power figures'!$A$110:$A$112</c:f>
              <c:strCache>
                <c:ptCount val="3"/>
                <c:pt idx="0">
                  <c:v>Total Technology Load</c:v>
                </c:pt>
                <c:pt idx="1">
                  <c:v>Total Technology Reserved/Forecast</c:v>
                </c:pt>
                <c:pt idx="2">
                  <c:v>Remaining Power Capability</c:v>
                </c:pt>
              </c:strCache>
            </c:strRef>
          </c:cat>
          <c:val>
            <c:numRef>
              <c:f>'Power figures'!$B$110:$B$112</c:f>
              <c:numCache>
                <c:formatCode>General</c:formatCode>
                <c:ptCount val="3"/>
                <c:pt idx="0">
                  <c:v>362.0544</c:v>
                </c:pt>
                <c:pt idx="1">
                  <c:v>0</c:v>
                </c:pt>
                <c:pt idx="2">
                  <c:v>1943.349</c:v>
                </c:pt>
              </c:numCache>
            </c:numRef>
          </c:val>
        </c:ser>
      </c:pie3DChart>
    </c:plotArea>
    <c:legend>
      <c:legendPos val="r"/>
      <c:layout>
        <c:manualLayout>
          <c:xMode val="edge"/>
          <c:yMode val="edge"/>
          <c:x val="0.541726020892687"/>
          <c:y val="0.552872606161532"/>
          <c:w val="0.433964504066006"/>
          <c:h val="0.412564766839378"/>
        </c:manualLayout>
      </c:layout>
      <c:overlay val="0"/>
      <c:spPr>
        <a:noFill/>
        <a:ln>
          <a:noFill/>
        </a:ln>
      </c:spPr>
      <c:txPr>
        <a:bodyPr/>
        <a:lstStyle/>
        <a:p>
          <a:pPr>
            <a:defRPr b="0" sz="1800" spc="-1" strike="noStrike">
              <a:solidFill>
                <a:srgbClr val="000000"/>
              </a:solidFill>
              <a:latin typeface="Vodafone Lt"/>
              <a:ea typeface="Vodafone Lt"/>
            </a:defRPr>
          </a:pPr>
        </a:p>
      </c:txPr>
    </c:legend>
    <c:plotVisOnly val="1"/>
    <c:dispBlanksAs val="gap"/>
  </c:chart>
  <c:spPr>
    <a:solidFill>
      <a:srgbClr val="ffffff"/>
    </a:solidFill>
    <a:ln w="9360">
      <a:solidFill>
        <a:srgbClr val="d9d9d9"/>
      </a:solidFill>
      <a:round/>
    </a:ln>
  </c:spPr>
</c:chartSpace>
</file>

<file path=xl/charts/chart6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view3D>
      <c:rotX val="70"/>
      <c:rotY val="0"/>
      <c:rAngAx val="0"/>
      <c:perspective val="30"/>
    </c:view3D>
    <c:floor>
      <c:spPr>
        <a:solidFill>
          <a:srgbClr val="d9d9d9"/>
        </a:solidFill>
        <a:ln>
          <a:noFill/>
        </a:ln>
      </c:spPr>
    </c:floor>
    <c:sideWall>
      <c:spPr>
        <a:solidFill>
          <a:srgbClr val="d9d9d9"/>
        </a:solidFill>
        <a:ln>
          <a:noFill/>
        </a:ln>
      </c:spPr>
    </c:sideWall>
    <c:backWall>
      <c:spPr>
        <a:solidFill>
          <a:srgbClr val="d9d9d9"/>
        </a:solidFill>
        <a:ln>
          <a:noFill/>
        </a:ln>
      </c:spPr>
    </c:backWall>
    <c:plotArea>
      <c:layout>
        <c:manualLayout>
          <c:layoutTarget val="inner"/>
          <c:xMode val="edge"/>
          <c:yMode val="edge"/>
          <c:x val="0.0759585376727597"/>
          <c:y val="0.163567397539088"/>
          <c:w val="0.462382969237628"/>
          <c:h val="0.760569895457489"/>
        </c:manualLayout>
      </c:layout>
      <c:pie3DChart>
        <c:varyColors val="1"/>
        <c:ser>
          <c:idx val="0"/>
          <c:order val="0"/>
          <c:spPr>
            <a:solidFill>
              <a:srgbClr val="4f81bd"/>
            </a:solidFill>
            <a:ln>
              <a:solidFill>
                <a:srgbClr val="000000"/>
              </a:solidFill>
            </a:ln>
          </c:spPr>
          <c:explosion val="3"/>
          <c:dPt>
            <c:idx val="0"/>
            <c:explosion val="3"/>
            <c:spPr>
              <a:solidFill>
                <a:srgbClr val="008000"/>
              </a:solidFill>
              <a:ln>
                <a:solidFill>
                  <a:srgbClr val="000000"/>
                </a:solidFill>
              </a:ln>
            </c:spPr>
          </c:dPt>
          <c:dPt>
            <c:idx val="1"/>
            <c:explosion val="3"/>
            <c:spPr>
              <a:solidFill>
                <a:srgbClr val="e46c0a"/>
              </a:solidFill>
              <a:ln>
                <a:solidFill>
                  <a:srgbClr val="000000"/>
                </a:solidFill>
              </a:ln>
            </c:spPr>
          </c:dPt>
          <c:dPt>
            <c:idx val="2"/>
            <c:explosion val="3"/>
            <c:spPr>
              <a:solidFill>
                <a:srgbClr val="0070c0"/>
              </a:solidFill>
              <a:ln>
                <a:solidFill>
                  <a:srgbClr val="000000"/>
                </a:solidFill>
              </a:ln>
            </c:spPr>
          </c:dPt>
          <c:dLbls>
            <c:numFmt formatCode="0.00%" sourceLinked="0"/>
            <c:dLbl>
              <c:idx val="0"/>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dLbl>
              <c:idx val="1"/>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dLbl>
              <c:idx val="2"/>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txPr>
              <a:bodyPr/>
              <a:lstStyle/>
              <a:p>
                <a:pPr>
                  <a:defRPr b="0" sz="1800" spc="-1" strike="noStrike">
                    <a:solidFill>
                      <a:srgbClr val="000000"/>
                    </a:solidFill>
                    <a:latin typeface="Vodafone Lt"/>
                    <a:ea typeface="Vodafone Lt"/>
                  </a:defRPr>
                </a:pPr>
              </a:p>
            </c:txPr>
            <c:dLblPos val="outEnd"/>
            <c:showLegendKey val="0"/>
            <c:showVal val="0"/>
            <c:showCatName val="0"/>
            <c:showSerName val="0"/>
            <c:showPercent val="1"/>
            <c:separator>
</c:separator>
            <c:showLeaderLines val="0"/>
          </c:dLbls>
          <c:cat>
            <c:strRef>
              <c:f>'Power figures'!$A$104:$A$106</c:f>
              <c:strCache>
                <c:ptCount val="3"/>
                <c:pt idx="0">
                  <c:v>Total Technology Load</c:v>
                </c:pt>
                <c:pt idx="1">
                  <c:v>Total Technology Reserved/Forecast</c:v>
                </c:pt>
                <c:pt idx="2">
                  <c:v>Remaining Power Capability</c:v>
                </c:pt>
              </c:strCache>
            </c:strRef>
          </c:cat>
          <c:val>
            <c:numRef>
              <c:f>'Power figures'!$B$104:$B$106</c:f>
              <c:numCache>
                <c:formatCode>General</c:formatCode>
                <c:ptCount val="3"/>
                <c:pt idx="0">
                  <c:v>680.6505</c:v>
                </c:pt>
                <c:pt idx="1">
                  <c:v>400.79117</c:v>
                </c:pt>
                <c:pt idx="2">
                  <c:v>1598.78533</c:v>
                </c:pt>
              </c:numCache>
            </c:numRef>
          </c:val>
        </c:ser>
      </c:pie3DChart>
    </c:plotArea>
    <c:legend>
      <c:legendPos val="r"/>
      <c:layout>
        <c:manualLayout>
          <c:xMode val="edge"/>
          <c:yMode val="edge"/>
          <c:x val="0.548261257244761"/>
          <c:y val="0.537607549264502"/>
          <c:w val="0.421445689126679"/>
          <c:h val="0.438841598815692"/>
        </c:manualLayout>
      </c:layout>
      <c:overlay val="0"/>
      <c:spPr>
        <a:noFill/>
        <a:ln>
          <a:noFill/>
        </a:ln>
      </c:spPr>
      <c:txPr>
        <a:bodyPr/>
        <a:lstStyle/>
        <a:p>
          <a:pPr>
            <a:defRPr b="0" sz="1800" spc="-1" strike="noStrike">
              <a:solidFill>
                <a:srgbClr val="000000"/>
              </a:solidFill>
              <a:latin typeface="Vodafone Lt"/>
              <a:ea typeface="Vodafone Lt"/>
            </a:defRPr>
          </a:pPr>
        </a:p>
      </c:txPr>
    </c:legend>
    <c:plotVisOnly val="1"/>
    <c:dispBlanksAs val="gap"/>
  </c:chart>
  <c:spPr>
    <a:solidFill>
      <a:srgbClr val="ffffff"/>
    </a:solidFill>
    <a:ln w="9360">
      <a:solidFill>
        <a:srgbClr val="d9d9d9"/>
      </a:solidFill>
      <a:round/>
    </a:ln>
  </c:spPr>
</c:chartSpace>
</file>

<file path=xl/charts/chart6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view3D>
      <c:rotX val="75"/>
      <c:rotY val="0"/>
      <c:rAngAx val="0"/>
      <c:perspective val="30"/>
    </c:view3D>
    <c:floor>
      <c:spPr>
        <a:solidFill>
          <a:srgbClr val="d9d9d9"/>
        </a:solidFill>
        <a:ln>
          <a:noFill/>
        </a:ln>
      </c:spPr>
    </c:floor>
    <c:sideWall>
      <c:spPr>
        <a:solidFill>
          <a:srgbClr val="d9d9d9"/>
        </a:solidFill>
        <a:ln>
          <a:noFill/>
        </a:ln>
      </c:spPr>
    </c:sideWall>
    <c:backWall>
      <c:spPr>
        <a:solidFill>
          <a:srgbClr val="d9d9d9"/>
        </a:solidFill>
        <a:ln>
          <a:noFill/>
        </a:ln>
      </c:spPr>
    </c:backWall>
    <c:plotArea>
      <c:layout>
        <c:manualLayout>
          <c:layoutTarget val="inner"/>
          <c:xMode val="edge"/>
          <c:yMode val="edge"/>
          <c:x val="0.0453256214893499"/>
          <c:y val="0.266725742135578"/>
          <c:w val="0.517323841833046"/>
          <c:h val="0.678334071776695"/>
        </c:manualLayout>
      </c:layout>
      <c:pie3DChart>
        <c:varyColors val="1"/>
        <c:ser>
          <c:idx val="0"/>
          <c:order val="0"/>
          <c:spPr>
            <a:solidFill>
              <a:srgbClr val="4f81bd"/>
            </a:solidFill>
            <a:ln>
              <a:solidFill>
                <a:srgbClr val="000000"/>
              </a:solidFill>
            </a:ln>
          </c:spPr>
          <c:explosion val="4"/>
          <c:dPt>
            <c:idx val="0"/>
            <c:explosion val="4"/>
            <c:spPr>
              <a:solidFill>
                <a:srgbClr val="008000"/>
              </a:solidFill>
              <a:ln>
                <a:solidFill>
                  <a:srgbClr val="000000"/>
                </a:solidFill>
              </a:ln>
            </c:spPr>
          </c:dPt>
          <c:dPt>
            <c:idx val="1"/>
            <c:explosion val="4"/>
            <c:spPr>
              <a:solidFill>
                <a:srgbClr val="e46c0a"/>
              </a:solidFill>
              <a:ln>
                <a:solidFill>
                  <a:srgbClr val="000000"/>
                </a:solidFill>
              </a:ln>
            </c:spPr>
          </c:dPt>
          <c:dPt>
            <c:idx val="2"/>
            <c:explosion val="4"/>
            <c:spPr>
              <a:solidFill>
                <a:srgbClr val="0070c0"/>
              </a:solidFill>
              <a:ln>
                <a:solidFill>
                  <a:srgbClr val="000000"/>
                </a:solidFill>
              </a:ln>
            </c:spPr>
          </c:dPt>
          <c:dLbls>
            <c:numFmt formatCode="0.00%" sourceLinked="0"/>
            <c:dLbl>
              <c:idx val="0"/>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dLbl>
              <c:idx val="1"/>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dLbl>
              <c:idx val="2"/>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txPr>
              <a:bodyPr/>
              <a:lstStyle/>
              <a:p>
                <a:pPr>
                  <a:defRPr b="0" sz="1800" spc="-1" strike="noStrike">
                    <a:solidFill>
                      <a:srgbClr val="000000"/>
                    </a:solidFill>
                    <a:latin typeface="Vodafone Lt"/>
                    <a:ea typeface="Vodafone Lt"/>
                  </a:defRPr>
                </a:pPr>
              </a:p>
            </c:txPr>
            <c:dLblPos val="bestFit"/>
            <c:showLegendKey val="0"/>
            <c:showVal val="0"/>
            <c:showCatName val="0"/>
            <c:showSerName val="0"/>
            <c:showPercent val="1"/>
            <c:separator>
</c:separator>
            <c:showLeaderLines val="0"/>
          </c:dLbls>
          <c:cat>
            <c:strRef>
              <c:f>'Power figures'!$C$91:$C$93</c:f>
              <c:strCache>
                <c:ptCount val="3"/>
                <c:pt idx="0">
                  <c:v>Total Technology Load</c:v>
                </c:pt>
                <c:pt idx="1">
                  <c:v>Total Technology Reserved/Forecast</c:v>
                </c:pt>
                <c:pt idx="2">
                  <c:v>Remaining Power Capability</c:v>
                </c:pt>
              </c:strCache>
            </c:strRef>
          </c:cat>
          <c:val>
            <c:numRef>
              <c:f>'Power figures'!$D$91:$D$93</c:f>
              <c:numCache>
                <c:formatCode>General</c:formatCode>
                <c:ptCount val="3"/>
                <c:pt idx="0">
                  <c:v>1379.94</c:v>
                </c:pt>
                <c:pt idx="1">
                  <c:v>322.030145</c:v>
                </c:pt>
                <c:pt idx="2">
                  <c:v>0</c:v>
                </c:pt>
              </c:numCache>
            </c:numRef>
          </c:val>
        </c:ser>
      </c:pie3DChart>
    </c:plotArea>
    <c:legend>
      <c:legendPos val="r"/>
      <c:layout>
        <c:manualLayout>
          <c:xMode val="edge"/>
          <c:yMode val="edge"/>
          <c:x val="0.573994772259607"/>
          <c:y val="0.477536552946389"/>
          <c:w val="0.418520578420467"/>
          <c:h val="0.499734136830911"/>
        </c:manualLayout>
      </c:layout>
      <c:overlay val="0"/>
      <c:spPr>
        <a:noFill/>
        <a:ln>
          <a:noFill/>
        </a:ln>
      </c:spPr>
      <c:txPr>
        <a:bodyPr/>
        <a:lstStyle/>
        <a:p>
          <a:pPr>
            <a:defRPr b="0" sz="1800" spc="-1" strike="noStrike">
              <a:solidFill>
                <a:srgbClr val="000000"/>
              </a:solidFill>
              <a:latin typeface="Vodafone Lt"/>
              <a:ea typeface="Vodafone Lt"/>
            </a:defRPr>
          </a:pPr>
        </a:p>
      </c:txPr>
    </c:legend>
    <c:plotVisOnly val="1"/>
    <c:dispBlanksAs val="gap"/>
  </c:chart>
  <c:spPr>
    <a:solidFill>
      <a:srgbClr val="ffffff"/>
    </a:solidFill>
    <a:ln w="9360">
      <a:solidFill>
        <a:srgbClr val="d9d9d9"/>
      </a:solidFill>
      <a:round/>
    </a:ln>
  </c:spPr>
</c:chartSpace>
</file>

<file path=xl/charts/chart6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view3D>
      <c:rotX val="75"/>
      <c:rotY val="0"/>
      <c:rAngAx val="0"/>
      <c:perspective val="30"/>
    </c:view3D>
    <c:floor>
      <c:spPr>
        <a:solidFill>
          <a:srgbClr val="d9d9d9"/>
        </a:solidFill>
        <a:ln>
          <a:noFill/>
        </a:ln>
      </c:spPr>
    </c:floor>
    <c:sideWall>
      <c:spPr>
        <a:solidFill>
          <a:srgbClr val="d9d9d9"/>
        </a:solidFill>
        <a:ln>
          <a:noFill/>
        </a:ln>
      </c:spPr>
    </c:sideWall>
    <c:backWall>
      <c:spPr>
        <a:solidFill>
          <a:srgbClr val="d9d9d9"/>
        </a:solidFill>
        <a:ln>
          <a:noFill/>
        </a:ln>
      </c:spPr>
    </c:backWall>
    <c:plotArea>
      <c:layout>
        <c:manualLayout>
          <c:layoutTarget val="inner"/>
          <c:xMode val="edge"/>
          <c:yMode val="edge"/>
          <c:x val="0.0492640075973409"/>
          <c:y val="0.26308796173266"/>
          <c:w val="0.514897910731244"/>
          <c:h val="0.67853662857649"/>
        </c:manualLayout>
      </c:layout>
      <c:pie3DChart>
        <c:varyColors val="1"/>
        <c:ser>
          <c:idx val="0"/>
          <c:order val="0"/>
          <c:spPr>
            <a:solidFill>
              <a:srgbClr val="4f81bd"/>
            </a:solidFill>
            <a:ln>
              <a:solidFill>
                <a:srgbClr val="000000"/>
              </a:solidFill>
            </a:ln>
          </c:spPr>
          <c:explosion val="4"/>
          <c:dPt>
            <c:idx val="0"/>
            <c:explosion val="4"/>
            <c:spPr>
              <a:solidFill>
                <a:srgbClr val="008000"/>
              </a:solidFill>
              <a:ln>
                <a:solidFill>
                  <a:srgbClr val="000000"/>
                </a:solidFill>
              </a:ln>
            </c:spPr>
          </c:dPt>
          <c:dPt>
            <c:idx val="1"/>
            <c:explosion val="4"/>
            <c:spPr>
              <a:solidFill>
                <a:srgbClr val="e46c0a"/>
              </a:solidFill>
              <a:ln>
                <a:solidFill>
                  <a:srgbClr val="000000"/>
                </a:solidFill>
              </a:ln>
            </c:spPr>
          </c:dPt>
          <c:dPt>
            <c:idx val="2"/>
            <c:explosion val="4"/>
            <c:spPr>
              <a:solidFill>
                <a:srgbClr val="0070c0"/>
              </a:solidFill>
              <a:ln>
                <a:solidFill>
                  <a:srgbClr val="000000"/>
                </a:solidFill>
              </a:ln>
            </c:spPr>
          </c:dPt>
          <c:dLbls>
            <c:numFmt formatCode="0.00%" sourceLinked="0"/>
            <c:dLbl>
              <c:idx val="0"/>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dLbl>
              <c:idx val="1"/>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dLbl>
              <c:idx val="2"/>
              <c:numFmt formatCode="0.00%" sourceLinked="0"/>
              <c:txPr>
                <a:bodyPr/>
                <a:lstStyle/>
                <a:p>
                  <a:pPr>
                    <a:defRPr b="0" sz="1000" spc="-1" strike="noStrike">
                      <a:solidFill>
                        <a:srgbClr val="000000"/>
                      </a:solidFill>
                      <a:latin typeface="Calibri"/>
                      <a:ea typeface="Calibri"/>
                    </a:defRPr>
                  </a:pPr>
                </a:p>
              </c:txPr>
              <c:dLblPos val="bestFit"/>
              <c:showLegendKey val="0"/>
              <c:showVal val="0"/>
              <c:showCatName val="0"/>
              <c:showSerName val="0"/>
              <c:showPercent val="1"/>
              <c:separator>
</c:separator>
            </c:dLbl>
            <c:txPr>
              <a:bodyPr/>
              <a:lstStyle/>
              <a:p>
                <a:pPr>
                  <a:defRPr b="0" sz="1800" spc="-1" strike="noStrike">
                    <a:solidFill>
                      <a:srgbClr val="000000"/>
                    </a:solidFill>
                    <a:latin typeface="Vodafone Lt"/>
                    <a:ea typeface="Vodafone Lt"/>
                  </a:defRPr>
                </a:pPr>
              </a:p>
            </c:txPr>
            <c:dLblPos val="bestFit"/>
            <c:showLegendKey val="0"/>
            <c:showVal val="0"/>
            <c:showCatName val="0"/>
            <c:showSerName val="0"/>
            <c:showPercent val="1"/>
            <c:separator>
</c:separator>
            <c:showLeaderLines val="0"/>
          </c:dLbls>
          <c:cat>
            <c:strRef>
              <c:f>'Power figures'!$E$91:$E$93</c:f>
              <c:strCache>
                <c:ptCount val="3"/>
                <c:pt idx="0">
                  <c:v>Total Technology Load</c:v>
                </c:pt>
                <c:pt idx="1">
                  <c:v>Total Technology Reserved/Forecast</c:v>
                </c:pt>
                <c:pt idx="2">
                  <c:v>Remaining Power Capability</c:v>
                </c:pt>
              </c:strCache>
            </c:strRef>
          </c:cat>
          <c:val>
            <c:numRef>
              <c:f>'Power figures'!$F$91:$F$93</c:f>
              <c:numCache>
                <c:formatCode>General</c:formatCode>
                <c:ptCount val="3"/>
                <c:pt idx="0">
                  <c:v>959.6905</c:v>
                </c:pt>
                <c:pt idx="1">
                  <c:v>54.85425</c:v>
                </c:pt>
                <c:pt idx="2">
                  <c:v>0</c:v>
                </c:pt>
              </c:numCache>
            </c:numRef>
          </c:val>
        </c:ser>
      </c:pie3DChart>
    </c:plotArea>
    <c:legend>
      <c:legendPos val="r"/>
      <c:layout>
        <c:manualLayout>
          <c:xMode val="edge"/>
          <c:yMode val="edge"/>
          <c:x val="0.574014719848053"/>
          <c:y val="0.477544512357162"/>
          <c:w val="0.418531489285926"/>
          <c:h val="0.499734231041814"/>
        </c:manualLayout>
      </c:layout>
      <c:overlay val="0"/>
      <c:spPr>
        <a:noFill/>
        <a:ln>
          <a:noFill/>
        </a:ln>
      </c:spPr>
      <c:txPr>
        <a:bodyPr/>
        <a:lstStyle/>
        <a:p>
          <a:pPr>
            <a:defRPr b="0" sz="1800" spc="-1" strike="noStrike">
              <a:solidFill>
                <a:srgbClr val="000000"/>
              </a:solidFill>
              <a:latin typeface="Vodafone Lt"/>
              <a:ea typeface="Vodafone Lt"/>
            </a:defRPr>
          </a:pPr>
        </a:p>
      </c:txPr>
    </c:legend>
    <c:plotVisOnly val="1"/>
    <c:dispBlanksAs val="gap"/>
  </c:chart>
  <c:spPr>
    <a:solidFill>
      <a:srgbClr val="ffffff"/>
    </a:solidFill>
    <a:ln w="9360">
      <a:solidFill>
        <a:srgbClr val="d9d9d9"/>
      </a:solidFill>
      <a:round/>
    </a:ln>
  </c:spPr>
</c:chartSpace>
</file>

<file path=xl/charts/chart64.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736019736842105"/>
          <c:y val="0.0494510563705139"/>
          <c:w val="0.826315789473684"/>
          <c:h val="0.854045576160162"/>
        </c:manualLayout>
      </c:layout>
      <c:barChart>
        <c:barDir val="col"/>
        <c:grouping val="clustered"/>
        <c:varyColors val="0"/>
        <c:ser>
          <c:idx val="0"/>
          <c:order val="0"/>
          <c:tx>
            <c:strRef>
              <c:f>'PUE Values'!$B$32</c:f>
              <c:strCache>
                <c:ptCount val="1"/>
                <c:pt idx="0">
                  <c:v>July 16 PUE</c:v>
                </c:pt>
              </c:strCache>
            </c:strRef>
          </c:tx>
          <c:spPr>
            <a:solidFill>
              <a:srgbClr val="558ed5"/>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outEnd"/>
            <c:showLegendKey val="0"/>
            <c:showVal val="0"/>
            <c:showCatName val="0"/>
            <c:showSerName val="0"/>
            <c:showPercent val="0"/>
            <c:separator>; </c:separator>
            <c:showLeaderLines val="0"/>
          </c:dLbls>
          <c:cat>
            <c:strRef>
              <c:f>'PUE Values'!$A$33:$A$37</c:f>
              <c:strCache>
                <c:ptCount val="5"/>
                <c:pt idx="0">
                  <c:v>XEH</c:v>
                </c:pt>
                <c:pt idx="1">
                  <c:v>XER</c:v>
                </c:pt>
                <c:pt idx="2">
                  <c:v>XKS</c:v>
                </c:pt>
                <c:pt idx="3">
                  <c:v>XSN</c:v>
                </c:pt>
                <c:pt idx="4">
                  <c:v>XSY</c:v>
                </c:pt>
              </c:strCache>
            </c:strRef>
          </c:cat>
          <c:val>
            <c:numRef>
              <c:f>'PUE Values'!$B$33:$B$37</c:f>
              <c:numCache>
                <c:formatCode>General</c:formatCode>
                <c:ptCount val="5"/>
                <c:pt idx="0">
                  <c:v>1.46</c:v>
                </c:pt>
                <c:pt idx="1">
                  <c:v>1.76</c:v>
                </c:pt>
                <c:pt idx="2">
                  <c:v>2.02</c:v>
                </c:pt>
                <c:pt idx="3">
                  <c:v>1.74</c:v>
                </c:pt>
                <c:pt idx="4">
                  <c:v>1.49</c:v>
                </c:pt>
              </c:numCache>
            </c:numRef>
          </c:val>
        </c:ser>
        <c:ser>
          <c:idx val="1"/>
          <c:order val="1"/>
          <c:tx>
            <c:strRef>
              <c:f>'PUE Values'!$E$32</c:f>
              <c:strCache>
                <c:ptCount val="1"/>
                <c:pt idx="0">
                  <c:v/>
                </c:pt>
              </c:strCache>
            </c:strRef>
          </c:tx>
          <c:spPr>
            <a:solidFill>
              <a:srgbClr val="8064a2"/>
            </a:solidFill>
            <a:ln>
              <a:noFill/>
            </a:ln>
          </c:spPr>
          <c:invertIfNegative val="0"/>
          <c:dLbls>
            <c:txPr>
              <a:bodyPr/>
              <a:lstStyle/>
              <a:p>
                <a:pPr>
                  <a:defRPr b="0" sz="1000" spc="-1" strike="noStrike">
                    <a:solidFill>
                      <a:srgbClr val="000000"/>
                    </a:solidFill>
                    <a:latin typeface="Calibri"/>
                    <a:ea typeface="Calibri"/>
                  </a:defRPr>
                </a:pPr>
              </a:p>
            </c:txPr>
            <c:dLblPos val="outEnd"/>
            <c:showLegendKey val="0"/>
            <c:showVal val="0"/>
            <c:showCatName val="0"/>
            <c:showSerName val="0"/>
            <c:showPercent val="0"/>
            <c:separator>; </c:separator>
            <c:showLeaderLines val="0"/>
          </c:dLbls>
          <c:cat>
            <c:strRef>
              <c:f>'PUE Values'!$A$33:$A$37</c:f>
              <c:strCache>
                <c:ptCount val="5"/>
                <c:pt idx="0">
                  <c:v>XEH</c:v>
                </c:pt>
                <c:pt idx="1">
                  <c:v>XER</c:v>
                </c:pt>
                <c:pt idx="2">
                  <c:v>XKS</c:v>
                </c:pt>
                <c:pt idx="3">
                  <c:v>XSN</c:v>
                </c:pt>
                <c:pt idx="4">
                  <c:v>XSY</c:v>
                </c:pt>
              </c:strCache>
            </c:strRef>
          </c:cat>
          <c:val>
            <c:numRef>
              <c:f>'PUE Values'!$E$33:$E$37</c:f>
              <c:numCache>
                <c:formatCode>General</c:formatCode>
                <c:ptCount val="5"/>
              </c:numCache>
            </c:numRef>
          </c:val>
        </c:ser>
        <c:ser>
          <c:idx val="2"/>
          <c:order val="2"/>
          <c:tx>
            <c:strRef>
              <c:f>'PUE Values'!$F$32</c:f>
              <c:strCache>
                <c:ptCount val="1"/>
                <c:pt idx="0">
                  <c:v/>
                </c:pt>
              </c:strCache>
            </c:strRef>
          </c:tx>
          <c:spPr>
            <a:solidFill>
              <a:srgbClr val="4bacc6"/>
            </a:solidFill>
            <a:ln>
              <a:noFill/>
            </a:ln>
          </c:spPr>
          <c:invertIfNegative val="0"/>
          <c:dLbls>
            <c:txPr>
              <a:bodyPr/>
              <a:lstStyle/>
              <a:p>
                <a:pPr>
                  <a:defRPr b="0" sz="1000" spc="-1" strike="noStrike">
                    <a:solidFill>
                      <a:srgbClr val="000000"/>
                    </a:solidFill>
                    <a:latin typeface="Calibri"/>
                    <a:ea typeface="Calibri"/>
                  </a:defRPr>
                </a:pPr>
              </a:p>
            </c:txPr>
            <c:dLblPos val="outEnd"/>
            <c:showLegendKey val="0"/>
            <c:showVal val="0"/>
            <c:showCatName val="0"/>
            <c:showSerName val="0"/>
            <c:showPercent val="0"/>
            <c:separator>; </c:separator>
            <c:showLeaderLines val="0"/>
          </c:dLbls>
          <c:cat>
            <c:strRef>
              <c:f>'PUE Values'!$A$33:$A$37</c:f>
              <c:strCache>
                <c:ptCount val="5"/>
                <c:pt idx="0">
                  <c:v>XEH</c:v>
                </c:pt>
                <c:pt idx="1">
                  <c:v>XER</c:v>
                </c:pt>
                <c:pt idx="2">
                  <c:v>XKS</c:v>
                </c:pt>
                <c:pt idx="3">
                  <c:v>XSN</c:v>
                </c:pt>
                <c:pt idx="4">
                  <c:v>XSY</c:v>
                </c:pt>
              </c:strCache>
            </c:strRef>
          </c:cat>
          <c:val>
            <c:numRef>
              <c:f>'PUE Values'!$F$33:$F$37</c:f>
              <c:numCache>
                <c:formatCode>General</c:formatCode>
                <c:ptCount val="5"/>
              </c:numCache>
            </c:numRef>
          </c:val>
        </c:ser>
        <c:ser>
          <c:idx val="3"/>
          <c:order val="3"/>
          <c:tx>
            <c:strRef>
              <c:f>'PUE Values'!$C$32</c:f>
              <c:strCache>
                <c:ptCount val="1"/>
                <c:pt idx="0">
                  <c:v>July 17 PUE</c:v>
                </c:pt>
              </c:strCache>
            </c:strRef>
          </c:tx>
          <c:spPr>
            <a:solidFill>
              <a:srgbClr val="c00000"/>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outEnd"/>
            <c:showLegendKey val="0"/>
            <c:showVal val="0"/>
            <c:showCatName val="0"/>
            <c:showSerName val="0"/>
            <c:showPercent val="0"/>
            <c:separator>; </c:separator>
            <c:showLeaderLines val="0"/>
          </c:dLbls>
          <c:cat>
            <c:strRef>
              <c:f>'PUE Values'!$A$33:$A$37</c:f>
              <c:strCache>
                <c:ptCount val="5"/>
                <c:pt idx="0">
                  <c:v>XEH</c:v>
                </c:pt>
                <c:pt idx="1">
                  <c:v>XER</c:v>
                </c:pt>
                <c:pt idx="2">
                  <c:v>XKS</c:v>
                </c:pt>
                <c:pt idx="3">
                  <c:v>XSN</c:v>
                </c:pt>
                <c:pt idx="4">
                  <c:v>XSY</c:v>
                </c:pt>
              </c:strCache>
            </c:strRef>
          </c:cat>
          <c:val>
            <c:numRef>
              <c:f>'PUE Values'!$C$33:$C$37</c:f>
              <c:numCache>
                <c:formatCode>General</c:formatCode>
                <c:ptCount val="5"/>
                <c:pt idx="0">
                  <c:v>1.4</c:v>
                </c:pt>
                <c:pt idx="1">
                  <c:v>1.89</c:v>
                </c:pt>
                <c:pt idx="2">
                  <c:v>1.99</c:v>
                </c:pt>
                <c:pt idx="3">
                  <c:v>1.81</c:v>
                </c:pt>
                <c:pt idx="4">
                  <c:v>1.49</c:v>
                </c:pt>
              </c:numCache>
            </c:numRef>
          </c:val>
        </c:ser>
        <c:gapWidth val="150"/>
        <c:overlap val="0"/>
        <c:axId val="15623662"/>
        <c:axId val="24014196"/>
      </c:barChart>
      <c:catAx>
        <c:axId val="15623662"/>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b="0" sz="1800" spc="-1" strike="noStrike">
                <a:solidFill>
                  <a:srgbClr val="000000"/>
                </a:solidFill>
                <a:latin typeface="Vodafone Lt"/>
                <a:ea typeface="Vodafone Lt"/>
              </a:defRPr>
            </a:pPr>
          </a:p>
        </c:txPr>
        <c:crossAx val="24014196"/>
        <c:crosses val="autoZero"/>
        <c:auto val="1"/>
        <c:lblAlgn val="ctr"/>
        <c:lblOffset val="100"/>
        <c:noMultiLvlLbl val="0"/>
      </c:catAx>
      <c:valAx>
        <c:axId val="24014196"/>
        <c:scaling>
          <c:orientation val="minMax"/>
          <c:max val="2.2"/>
          <c:min val="1.2"/>
        </c:scaling>
        <c:delete val="0"/>
        <c:axPos val="l"/>
        <c:majorGridlines>
          <c:spPr>
            <a:ln w="9360">
              <a:solidFill>
                <a:srgbClr val="878787"/>
              </a:solidFill>
              <a:round/>
            </a:ln>
          </c:spPr>
        </c:majorGridlines>
        <c:numFmt formatCode="0.00" sourceLinked="0"/>
        <c:majorTickMark val="out"/>
        <c:minorTickMark val="none"/>
        <c:tickLblPos val="nextTo"/>
        <c:spPr>
          <a:ln w="9360">
            <a:solidFill>
              <a:srgbClr val="878787"/>
            </a:solidFill>
            <a:round/>
          </a:ln>
        </c:spPr>
        <c:txPr>
          <a:bodyPr/>
          <a:lstStyle/>
          <a:p>
            <a:pPr>
              <a:defRPr b="0" sz="1600" spc="-1" strike="noStrike">
                <a:solidFill>
                  <a:srgbClr val="000000"/>
                </a:solidFill>
                <a:latin typeface="Vodafone Lt"/>
                <a:ea typeface="Vodafone Lt"/>
              </a:defRPr>
            </a:pPr>
          </a:p>
        </c:txPr>
        <c:crossAx val="15623662"/>
        <c:crosses val="autoZero"/>
        <c:crossBetween val="between"/>
        <c:majorUnit val="0.1"/>
      </c:valAx>
      <c:spPr>
        <a:solidFill>
          <a:srgbClr val="e6e0ec"/>
        </a:solidFill>
        <a:ln>
          <a:noFill/>
        </a:ln>
      </c:spPr>
    </c:plotArea>
    <c:legend>
      <c:legendPos val="r"/>
      <c:layout>
        <c:manualLayout>
          <c:xMode val="edge"/>
          <c:yMode val="edge"/>
          <c:x val="0.9078125"/>
          <c:y val="0.394778116062367"/>
          <c:w val="0.0867074207078045"/>
          <c:h val="0.215261118287507"/>
        </c:manualLayout>
      </c:layout>
      <c:overlay val="0"/>
      <c:spPr>
        <a:noFill/>
        <a:ln>
          <a:noFill/>
        </a:ln>
      </c:spPr>
      <c:txPr>
        <a:bodyPr/>
        <a:lstStyle/>
        <a:p>
          <a:pPr>
            <a:defRPr b="0" sz="1600" spc="-1" strike="noStrike">
              <a:solidFill>
                <a:srgbClr val="000000"/>
              </a:solidFill>
              <a:latin typeface="Vodafone Lt"/>
              <a:ea typeface="Vodafone Lt"/>
            </a:defRPr>
          </a:pPr>
        </a:p>
      </c:txPr>
    </c:legend>
    <c:plotVisOnly val="1"/>
    <c:dispBlanksAs val="gap"/>
  </c:chart>
  <c:spPr>
    <a:solidFill>
      <a:srgbClr val="ffffff"/>
    </a:solidFill>
    <a:ln w="9360">
      <a:solidFill>
        <a:srgbClr val="d9d9d9"/>
      </a:solidFill>
      <a:round/>
    </a:ln>
  </c:spPr>
</c:chartSpace>
</file>

<file path=xl/charts/chart65.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791978712314487"/>
          <c:y val="0.0282295756216115"/>
          <c:w val="0.829424190052945"/>
          <c:h val="0.871097401383436"/>
        </c:manualLayout>
      </c:layout>
      <c:barChart>
        <c:barDir val="col"/>
        <c:grouping val="clustered"/>
        <c:varyColors val="0"/>
        <c:ser>
          <c:idx val="0"/>
          <c:order val="0"/>
          <c:tx>
            <c:strRef>
              <c:f>'PUE Values'!$B$22</c:f>
              <c:strCache>
                <c:ptCount val="1"/>
                <c:pt idx="0">
                  <c:v>July 16 PUE</c:v>
                </c:pt>
              </c:strCache>
            </c:strRef>
          </c:tx>
          <c:spPr>
            <a:solidFill>
              <a:srgbClr val="558ed5"/>
            </a:solidFill>
            <a:ln>
              <a:solidFill>
                <a:srgbClr val="000000"/>
              </a:solid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'PUE Values'!$A$23:$A$31</c:f>
              <c:strCache>
                <c:ptCount val="9"/>
                <c:pt idx="0">
                  <c:v>XBE</c:v>
                </c:pt>
                <c:pt idx="1">
                  <c:v>XGL</c:v>
                </c:pt>
                <c:pt idx="2">
                  <c:v>XLD</c:v>
                </c:pt>
                <c:pt idx="3">
                  <c:v>XMS</c:v>
                </c:pt>
                <c:pt idx="4">
                  <c:v>XAN</c:v>
                </c:pt>
                <c:pt idx="5">
                  <c:v>XCY</c:v>
                </c:pt>
                <c:pt idx="6">
                  <c:v>XGR</c:v>
                </c:pt>
                <c:pt idx="7">
                  <c:v>XOM</c:v>
                </c:pt>
                <c:pt idx="8">
                  <c:v>XRM</c:v>
                </c:pt>
              </c:strCache>
            </c:strRef>
          </c:cat>
          <c:val>
            <c:numRef>
              <c:f>'PUE Values'!$B$23:$B$31</c:f>
              <c:numCache>
                <c:formatCode>General</c:formatCode>
                <c:ptCount val="9"/>
                <c:pt idx="0">
                  <c:v>1.55</c:v>
                </c:pt>
                <c:pt idx="1">
                  <c:v>1.48</c:v>
                </c:pt>
                <c:pt idx="2">
                  <c:v>1.53</c:v>
                </c:pt>
                <c:pt idx="3">
                  <c:v>1.4</c:v>
                </c:pt>
                <c:pt idx="4">
                  <c:v>1.73</c:v>
                </c:pt>
                <c:pt idx="5">
                  <c:v>1.56</c:v>
                </c:pt>
                <c:pt idx="6">
                  <c:v>1.49</c:v>
                </c:pt>
                <c:pt idx="7">
                  <c:v>1.54</c:v>
                </c:pt>
                <c:pt idx="8">
                  <c:v>1.52</c:v>
                </c:pt>
              </c:numCache>
            </c:numRef>
          </c:val>
        </c:ser>
        <c:ser>
          <c:idx val="1"/>
          <c:order val="1"/>
          <c:tx>
            <c:strRef>
              <c:f>'PUE Values'!$C$22</c:f>
              <c:strCache>
                <c:ptCount val="1"/>
                <c:pt idx="0">
                  <c:v>July 17 PUE</c:v>
                </c:pt>
              </c:strCache>
            </c:strRef>
          </c:tx>
          <c:spPr>
            <a:solidFill>
              <a:srgbClr val="c00000"/>
            </a:solidFill>
            <a:ln>
              <a:solidFill>
                <a:srgbClr val="000000"/>
              </a:solid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'PUE Values'!$A$23:$A$31</c:f>
              <c:strCache>
                <c:ptCount val="9"/>
                <c:pt idx="0">
                  <c:v>XBE</c:v>
                </c:pt>
                <c:pt idx="1">
                  <c:v>XGL</c:v>
                </c:pt>
                <c:pt idx="2">
                  <c:v>XLD</c:v>
                </c:pt>
                <c:pt idx="3">
                  <c:v>XMS</c:v>
                </c:pt>
                <c:pt idx="4">
                  <c:v>XAN</c:v>
                </c:pt>
                <c:pt idx="5">
                  <c:v>XCY</c:v>
                </c:pt>
                <c:pt idx="6">
                  <c:v>XGR</c:v>
                </c:pt>
                <c:pt idx="7">
                  <c:v>XOM</c:v>
                </c:pt>
                <c:pt idx="8">
                  <c:v>XRM</c:v>
                </c:pt>
              </c:strCache>
            </c:strRef>
          </c:cat>
          <c:val>
            <c:numRef>
              <c:f>'PUE Values'!$C$23:$C$31</c:f>
              <c:numCache>
                <c:formatCode>General</c:formatCode>
                <c:ptCount val="9"/>
                <c:pt idx="0">
                  <c:v>1.58</c:v>
                </c:pt>
                <c:pt idx="1">
                  <c:v>1.51</c:v>
                </c:pt>
                <c:pt idx="2">
                  <c:v>1.52</c:v>
                </c:pt>
                <c:pt idx="3">
                  <c:v>1.42</c:v>
                </c:pt>
                <c:pt idx="4">
                  <c:v>2.06</c:v>
                </c:pt>
                <c:pt idx="5">
                  <c:v>1.44</c:v>
                </c:pt>
                <c:pt idx="6">
                  <c:v>1.5</c:v>
                </c:pt>
                <c:pt idx="7">
                  <c:v>1.49</c:v>
                </c:pt>
                <c:pt idx="8">
                  <c:v>1.5</c:v>
                </c:pt>
              </c:numCache>
            </c:numRef>
          </c:val>
        </c:ser>
        <c:gapWidth val="100"/>
        <c:overlap val="0"/>
        <c:axId val="19211655"/>
        <c:axId val="69115670"/>
      </c:barChart>
      <c:catAx>
        <c:axId val="19211655"/>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b="0" sz="1800" spc="-1" strike="noStrike">
                <a:solidFill>
                  <a:srgbClr val="000000"/>
                </a:solidFill>
                <a:latin typeface="Vodafone Lt"/>
              </a:defRPr>
            </a:pPr>
          </a:p>
        </c:txPr>
        <c:crossAx val="69115670"/>
        <c:crosses val="autoZero"/>
        <c:auto val="1"/>
        <c:lblAlgn val="ctr"/>
        <c:lblOffset val="100"/>
        <c:noMultiLvlLbl val="0"/>
      </c:catAx>
      <c:valAx>
        <c:axId val="69115670"/>
        <c:scaling>
          <c:orientation val="minMax"/>
          <c:min val="1.2"/>
        </c:scaling>
        <c:delete val="0"/>
        <c:axPos val="l"/>
        <c:majorGridlines>
          <c:spPr>
            <a:ln w="9360">
              <a:solidFill>
                <a:srgbClr val="878787"/>
              </a:solidFill>
              <a:round/>
            </a:ln>
          </c:spPr>
        </c:majorGridlines>
        <c:numFmt formatCode="0.00" sourceLinked="0"/>
        <c:majorTickMark val="out"/>
        <c:minorTickMark val="none"/>
        <c:tickLblPos val="nextTo"/>
        <c:spPr>
          <a:ln w="9360">
            <a:solidFill>
              <a:srgbClr val="878787"/>
            </a:solidFill>
            <a:round/>
          </a:ln>
        </c:spPr>
        <c:txPr>
          <a:bodyPr/>
          <a:lstStyle/>
          <a:p>
            <a:pPr>
              <a:defRPr b="0" sz="1600" spc="-1" strike="noStrike">
                <a:solidFill>
                  <a:srgbClr val="000000"/>
                </a:solidFill>
                <a:latin typeface="Vodafone Lt"/>
              </a:defRPr>
            </a:pPr>
          </a:p>
        </c:txPr>
        <c:crossAx val="19211655"/>
        <c:crosses val="autoZero"/>
        <c:crossBetween val="between"/>
      </c:valAx>
      <c:spPr>
        <a:solidFill>
          <a:srgbClr val="e6e0ec"/>
        </a:solidFill>
        <a:ln>
          <a:noFill/>
        </a:ln>
      </c:spPr>
    </c:plotArea>
    <c:legend>
      <c:legendPos val="r"/>
      <c:layout>
        <c:manualLayout>
          <c:xMode val="edge"/>
          <c:yMode val="edge"/>
          <c:x val="0.907497325323019"/>
          <c:y val="0.339689661618994"/>
          <c:w val="0.0871282782837704"/>
          <c:h val="0.213798261194727"/>
        </c:manualLayout>
      </c:layout>
      <c:overlay val="0"/>
      <c:spPr>
        <a:noFill/>
        <a:ln>
          <a:noFill/>
        </a:ln>
      </c:spPr>
      <c:txPr>
        <a:bodyPr/>
        <a:lstStyle/>
        <a:p>
          <a:pPr>
            <a:defRPr b="0" sz="1600" spc="-1" strike="noStrike">
              <a:solidFill>
                <a:srgbClr val="000000"/>
              </a:solidFill>
              <a:latin typeface="Vodafone Lt"/>
            </a:defRPr>
          </a:pPr>
        </a:p>
      </c:txPr>
    </c:legend>
    <c:plotVisOnly val="1"/>
    <c:dispBlanksAs val="gap"/>
  </c:chart>
  <c:spPr>
    <a:solidFill>
      <a:srgbClr val="ffffff"/>
    </a:solidFill>
    <a:ln w="9360">
      <a:solidFill>
        <a:srgbClr val="d9d9d9"/>
      </a:solidFill>
      <a:round/>
    </a:ln>
  </c:spPr>
</c:chartSpace>
</file>

<file path=xl/charts/chart66.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853944920552624"/>
          <c:y val="0.0537830446672744"/>
          <c:w val="0.681387050535241"/>
          <c:h val="0.734161349134002"/>
        </c:manualLayout>
      </c:layout>
      <c:barChart>
        <c:barDir val="col"/>
        <c:grouping val="stacked"/>
        <c:varyColors val="0"/>
        <c:ser>
          <c:idx val="0"/>
          <c:order val="0"/>
          <c:tx>
            <c:strRef>
              <c:f>'Power figures'!$B$59</c:f>
              <c:strCache>
                <c:ptCount val="1"/>
                <c:pt idx="0">
                  <c:v>Inverter Usage (kW)</c:v>
                </c:pt>
              </c:strCache>
            </c:strRef>
          </c:tx>
          <c:spPr>
            <a:solidFill>
              <a:srgbClr val="ff0000"/>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figures'!$B$60:$B$70</c:f>
              <c:numCache>
                <c:formatCode>General</c:formatCode>
                <c:ptCount val="11"/>
                <c:pt idx="0">
                  <c:v>1.2535</c:v>
                </c:pt>
                <c:pt idx="1">
                  <c:v>0.2507</c:v>
                </c:pt>
                <c:pt idx="2">
                  <c:v>1.2535</c:v>
                </c:pt>
                <c:pt idx="3">
                  <c:v>1.7549</c:v>
                </c:pt>
                <c:pt idx="4">
                  <c:v>0.5014</c:v>
                </c:pt>
                <c:pt idx="5">
                  <c:v>1.7549</c:v>
                </c:pt>
                <c:pt idx="6">
                  <c:v>1.5042</c:v>
                </c:pt>
                <c:pt idx="7">
                  <c:v>6.5182</c:v>
                </c:pt>
                <c:pt idx="8">
                  <c:v>1.0028</c:v>
                </c:pt>
                <c:pt idx="9">
                  <c:v>1.5042</c:v>
                </c:pt>
                <c:pt idx="10">
                  <c:v>0</c:v>
                </c:pt>
              </c:numCache>
            </c:numRef>
          </c:val>
        </c:ser>
        <c:ser>
          <c:idx val="1"/>
          <c:order val="1"/>
          <c:tx>
            <c:strRef>
              <c:f>'Power figures'!$C$59</c:f>
              <c:strCache>
                <c:ptCount val="1"/>
                <c:pt idx="0">
                  <c:v>DC Usage (kW)</c:v>
                </c:pt>
              </c:strCache>
            </c:strRef>
          </c:tx>
          <c:spPr>
            <a:solidFill>
              <a:srgbClr val="008000"/>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figures'!$C$60:$C$70</c:f>
              <c:numCache>
                <c:formatCode>General</c:formatCode>
                <c:ptCount val="11"/>
                <c:pt idx="0">
                  <c:v>40.003</c:v>
                </c:pt>
                <c:pt idx="1">
                  <c:v>39.5125</c:v>
                </c:pt>
                <c:pt idx="2">
                  <c:v>42.837</c:v>
                </c:pt>
                <c:pt idx="3">
                  <c:v>31.3811</c:v>
                </c:pt>
                <c:pt idx="4">
                  <c:v>9.2541</c:v>
                </c:pt>
                <c:pt idx="5">
                  <c:v>52.7996</c:v>
                </c:pt>
                <c:pt idx="6">
                  <c:v>37.1908</c:v>
                </c:pt>
                <c:pt idx="7">
                  <c:v>22.6938</c:v>
                </c:pt>
                <c:pt idx="8">
                  <c:v>16.132</c:v>
                </c:pt>
                <c:pt idx="9">
                  <c:v>42.4228</c:v>
                </c:pt>
                <c:pt idx="10">
                  <c:v>45.126</c:v>
                </c:pt>
              </c:numCache>
            </c:numRef>
          </c:val>
        </c:ser>
        <c:ser>
          <c:idx val="2"/>
          <c:order val="2"/>
          <c:tx>
            <c:strRef>
              <c:f>'Power figures'!$D$59</c:f>
              <c:strCache>
                <c:ptCount val="1"/>
                <c:pt idx="0">
                  <c:v>Reserved (kW)</c:v>
                </c:pt>
              </c:strCache>
            </c:strRef>
          </c:tx>
          <c:spPr>
            <a:solidFill>
              <a:srgbClr val="e46c0a"/>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figures'!$D$60:$D$70</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ser>
        <c:ser>
          <c:idx val="3"/>
          <c:order val="3"/>
          <c:tx>
            <c:strRef>
              <c:f>'Power figures'!$E$59</c:f>
              <c:strCache>
                <c:ptCount val="1"/>
                <c:pt idx="0">
                  <c:v>Forecast (kW)</c:v>
                </c:pt>
              </c:strCache>
            </c:strRef>
          </c:tx>
          <c:spPr>
            <a:solidFill>
              <a:srgbClr val="800000"/>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figures'!$E$60:$E$70</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ser>
        <c:ser>
          <c:idx val="4"/>
          <c:order val="4"/>
          <c:tx>
            <c:strRef>
              <c:f>'Power figures'!$F$59</c:f>
              <c:strCache>
                <c:ptCount val="1"/>
                <c:pt idx="0">
                  <c:v>Remaining Capacity (kW)</c:v>
                </c:pt>
              </c:strCache>
            </c:strRef>
          </c:tx>
          <c:spPr>
            <a:solidFill>
              <a:srgbClr val="0070c0"/>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figures'!$F$60:$F$70</c:f>
              <c:numCache>
                <c:formatCode>General</c:formatCode>
                <c:ptCount val="11"/>
                <c:pt idx="0">
                  <c:v>188.7435</c:v>
                </c:pt>
                <c:pt idx="1">
                  <c:v>190.2368</c:v>
                </c:pt>
                <c:pt idx="2">
                  <c:v>184.9095</c:v>
                </c:pt>
                <c:pt idx="3">
                  <c:v>196.864</c:v>
                </c:pt>
                <c:pt idx="4">
                  <c:v>52.2445</c:v>
                </c:pt>
                <c:pt idx="5">
                  <c:v>175.4455</c:v>
                </c:pt>
                <c:pt idx="6">
                  <c:v>248.305</c:v>
                </c:pt>
                <c:pt idx="7">
                  <c:v>200.788</c:v>
                </c:pt>
                <c:pt idx="8">
                  <c:v>193.8652</c:v>
                </c:pt>
                <c:pt idx="9">
                  <c:v>186.073</c:v>
                </c:pt>
                <c:pt idx="10">
                  <c:v>125.874</c:v>
                </c:pt>
              </c:numCache>
            </c:numRef>
          </c:val>
        </c:ser>
        <c:gapWidth val="68"/>
        <c:overlap val="100"/>
        <c:axId val="59548486"/>
        <c:axId val="86614852"/>
      </c:barChart>
      <c:catAx>
        <c:axId val="59548486"/>
        <c:scaling>
          <c:orientation val="minMax"/>
        </c:scaling>
        <c:delete val="0"/>
        <c:axPos val="b"/>
        <c:numFmt formatCode="General" sourceLinked="1"/>
        <c:majorTickMark val="out"/>
        <c:minorTickMark val="none"/>
        <c:tickLblPos val="nextTo"/>
        <c:spPr>
          <a:ln w="9360">
            <a:solidFill>
              <a:srgbClr val="878787"/>
            </a:solidFill>
            <a:round/>
          </a:ln>
        </c:spPr>
        <c:txPr>
          <a:bodyPr rot="-5400000"/>
          <a:lstStyle/>
          <a:p>
            <a:pPr>
              <a:defRPr b="0" sz="2000" spc="-1" strike="noStrike">
                <a:solidFill>
                  <a:srgbClr val="000000"/>
                </a:solidFill>
                <a:latin typeface="Vodafone Lt"/>
                <a:ea typeface="Vodafone Lt"/>
              </a:defRPr>
            </a:pPr>
          </a:p>
        </c:txPr>
        <c:crossAx val="86614852"/>
        <c:crosses val="autoZero"/>
        <c:auto val="1"/>
        <c:lblAlgn val="ctr"/>
        <c:lblOffset val="100"/>
        <c:noMultiLvlLbl val="0"/>
      </c:catAx>
      <c:valAx>
        <c:axId val="86614852"/>
        <c:scaling>
          <c:orientation val="minMax"/>
          <c:max val="350"/>
          <c:min val="0"/>
        </c:scaling>
        <c:delete val="0"/>
        <c:axPos val="l"/>
        <c:majorGridlines>
          <c:spPr>
            <a:ln w="9360">
              <a:solidFill>
                <a:srgbClr val="878787"/>
              </a:solidFill>
              <a:round/>
            </a:ln>
          </c:spPr>
        </c:majorGridlines>
        <c:numFmt formatCode="0" sourceLinked="0"/>
        <c:majorTickMark val="out"/>
        <c:minorTickMark val="none"/>
        <c:tickLblPos val="nextTo"/>
        <c:spPr>
          <a:ln w="9360">
            <a:solidFill>
              <a:srgbClr val="878787"/>
            </a:solidFill>
            <a:round/>
          </a:ln>
        </c:spPr>
        <c:txPr>
          <a:bodyPr/>
          <a:lstStyle/>
          <a:p>
            <a:pPr>
              <a:defRPr b="0" sz="2000" spc="-1" strike="noStrike">
                <a:solidFill>
                  <a:srgbClr val="000000"/>
                </a:solidFill>
                <a:latin typeface="Vodafone Lt"/>
                <a:ea typeface="Vodafone Lt"/>
              </a:defRPr>
            </a:pPr>
          </a:p>
        </c:txPr>
        <c:crossAx val="59548486"/>
        <c:crosses val="autoZero"/>
        <c:crossBetween val="between"/>
      </c:valAx>
      <c:spPr>
        <a:solidFill>
          <a:srgbClr val="e6e0ec"/>
        </a:solidFill>
        <a:ln>
          <a:noFill/>
        </a:ln>
      </c:spPr>
    </c:plotArea>
    <c:legend>
      <c:legendPos val="r"/>
      <c:layout>
        <c:manualLayout>
          <c:xMode val="edge"/>
          <c:yMode val="edge"/>
          <c:x val="0.774894019335753"/>
          <c:y val="0.118846855059253"/>
          <c:w val="0.196352324020983"/>
          <c:h val="0.5002849002849"/>
        </c:manualLayout>
      </c:layout>
      <c:overlay val="0"/>
      <c:spPr>
        <a:noFill/>
        <a:ln>
          <a:noFill/>
        </a:ln>
      </c:spPr>
      <c:txPr>
        <a:bodyPr/>
        <a:lstStyle/>
        <a:p>
          <a:pPr>
            <a:defRPr b="0" sz="1600" spc="-1" strike="noStrike">
              <a:solidFill>
                <a:srgbClr val="000000"/>
              </a:solidFill>
              <a:latin typeface="Vodafone Lt"/>
              <a:ea typeface="Vodafone Lt"/>
            </a:defRPr>
          </a:pPr>
        </a:p>
      </c:txPr>
    </c:legend>
    <c:plotVisOnly val="1"/>
    <c:dispBlanksAs val="gap"/>
  </c:chart>
  <c:spPr>
    <a:solidFill>
      <a:srgbClr val="ffffff"/>
    </a:solidFill>
    <a:ln w="9360">
      <a:solidFill>
        <a:srgbClr val="d9d9d9"/>
      </a:solidFill>
      <a:round/>
    </a:ln>
  </c:spPr>
</c:chartSpace>
</file>

<file path=xl/charts/chart67.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112624504980199"/>
          <c:y val="0.161009067658684"/>
          <c:w val="0.575423016920677"/>
          <c:h val="0.730295280167403"/>
        </c:manualLayout>
      </c:layout>
      <c:barChart>
        <c:barDir val="col"/>
        <c:grouping val="stacked"/>
        <c:varyColors val="0"/>
        <c:ser>
          <c:idx val="0"/>
          <c:order val="0"/>
          <c:tx>
            <c:strRef>
              <c:f>'Inverter Loading'!$B$112</c:f>
              <c:strCache>
                <c:ptCount val="1"/>
                <c:pt idx="0">
                  <c:v>System Load (A)</c:v>
                </c:pt>
              </c:strCache>
            </c:strRef>
          </c:tx>
          <c:spPr>
            <a:solidFill>
              <a:srgbClr val="008000"/>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'Inverter Loading'!$A$113:$A$115</c:f>
              <c:strCache>
                <c:ptCount val="3"/>
                <c:pt idx="0">
                  <c:v>Phase L1</c:v>
                </c:pt>
                <c:pt idx="1">
                  <c:v>Phase L2</c:v>
                </c:pt>
                <c:pt idx="2">
                  <c:v>Phase L3</c:v>
                </c:pt>
              </c:strCache>
            </c:strRef>
          </c:cat>
          <c:val>
            <c:numRef>
              <c:f>'Inverter Loading'!$B$113:$B$115</c:f>
              <c:numCache>
                <c:formatCode>General</c:formatCode>
                <c:ptCount val="3"/>
                <c:pt idx="0">
                  <c:v>52</c:v>
                </c:pt>
                <c:pt idx="1">
                  <c:v>42</c:v>
                </c:pt>
                <c:pt idx="2">
                  <c:v>56</c:v>
                </c:pt>
              </c:numCache>
            </c:numRef>
          </c:val>
        </c:ser>
        <c:ser>
          <c:idx val="1"/>
          <c:order val="1"/>
          <c:tx>
            <c:strRef>
              <c:f>'Inverter Loading'!$C$112</c:f>
              <c:strCache>
                <c:ptCount val="1"/>
                <c:pt idx="0">
                  <c:v>Forecast (A)</c:v>
                </c:pt>
              </c:strCache>
            </c:strRef>
          </c:tx>
          <c:spPr>
            <a:solidFill>
              <a:srgbClr val="800000"/>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cat>
            <c:strRef>
              <c:f>'Inverter Loading'!$A$113:$A$115</c:f>
              <c:strCache>
                <c:ptCount val="3"/>
                <c:pt idx="0">
                  <c:v>Phase L1</c:v>
                </c:pt>
                <c:pt idx="1">
                  <c:v>Phase L2</c:v>
                </c:pt>
                <c:pt idx="2">
                  <c:v>Phase L3</c:v>
                </c:pt>
              </c:strCache>
            </c:strRef>
          </c:cat>
          <c:val>
            <c:numRef>
              <c:f>'Inverter Loading'!$C$113:$C$115</c:f>
              <c:numCache>
                <c:formatCode>General</c:formatCode>
                <c:ptCount val="3"/>
                <c:pt idx="0">
                  <c:v>0</c:v>
                </c:pt>
                <c:pt idx="1">
                  <c:v>0</c:v>
                </c:pt>
                <c:pt idx="2">
                  <c:v>0</c:v>
                </c:pt>
              </c:numCache>
            </c:numRef>
          </c:val>
        </c:ser>
        <c:ser>
          <c:idx val="2"/>
          <c:order val="2"/>
          <c:tx>
            <c:strRef>
              <c:f>'Inverter Loading'!$D$112</c:f>
              <c:strCache>
                <c:ptCount val="1"/>
                <c:pt idx="0">
                  <c:v/>
                </c:pt>
              </c:strCache>
            </c:strRef>
          </c:tx>
          <c:spPr>
            <a:solidFill>
              <a:srgbClr val="ffffcc"/>
            </a:solidFill>
            <a:ln>
              <a:solidFill>
                <a:srgbClr val="000000"/>
              </a:solidFill>
            </a:ln>
          </c:spPr>
          <c:invertIfNegative val="0"/>
          <c:cat>
            <c:strRef>
              <c:f>'Inverter Loading'!$A$113:$A$115</c:f>
              <c:strCache>
                <c:ptCount val="3"/>
                <c:pt idx="0">
                  <c:v>Phase L1</c:v>
                </c:pt>
                <c:pt idx="1">
                  <c:v>Phase L2</c:v>
                </c:pt>
                <c:pt idx="2">
                  <c:v>Phase L3</c:v>
                </c:pt>
              </c:strCache>
            </c:strRef>
          </c:cat>
          <c:val>
            <c:numRef>
              <c:f>'Inverter Loading'!$D$113:$D$115</c:f>
              <c:numCache>
                <c:formatCode>General</c:formatCode>
                <c:ptCount val="0"/>
              </c:numCache>
            </c:numRef>
          </c:val>
        </c:ser>
        <c:gapWidth val="20"/>
        <c:overlap val="100"/>
        <c:axId val="85302074"/>
        <c:axId val="46588520"/>
      </c:barChart>
      <c:catAx>
        <c:axId val="85302074"/>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b="0" sz="1400" spc="-1" strike="noStrike">
                <a:solidFill>
                  <a:srgbClr val="000000"/>
                </a:solidFill>
                <a:latin typeface="Vodafone Lt"/>
                <a:ea typeface="Vodafone Lt"/>
              </a:defRPr>
            </a:pPr>
          </a:p>
        </c:txPr>
        <c:crossAx val="46588520"/>
        <c:crosses val="autoZero"/>
        <c:auto val="1"/>
        <c:lblAlgn val="ctr"/>
        <c:lblOffset val="100"/>
        <c:noMultiLvlLbl val="0"/>
      </c:catAx>
      <c:valAx>
        <c:axId val="46588520"/>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400" spc="-1" strike="noStrike">
                <a:solidFill>
                  <a:srgbClr val="000000"/>
                </a:solidFill>
                <a:latin typeface="Vodafone Lt"/>
                <a:ea typeface="Vodafone Lt"/>
              </a:defRPr>
            </a:pPr>
          </a:p>
        </c:txPr>
        <c:crossAx val="85302074"/>
        <c:crosses val="autoZero"/>
        <c:crossBetween val="between"/>
      </c:valAx>
      <c:spPr>
        <a:solidFill>
          <a:srgbClr val="e6e0ec"/>
        </a:solidFill>
        <a:ln>
          <a:noFill/>
        </a:ln>
      </c:spPr>
    </c:plotArea>
    <c:legend>
      <c:legendPos val="r"/>
      <c:layout>
        <c:manualLayout>
          <c:xMode val="edge"/>
          <c:yMode val="edge"/>
          <c:x val="0.693267730709228"/>
          <c:y val="0.242617995814927"/>
          <c:w val="0.300990099009901"/>
          <c:h val="0.388326938728055"/>
        </c:manualLayout>
      </c:layout>
      <c:overlay val="0"/>
      <c:spPr>
        <a:noFill/>
        <a:ln>
          <a:noFill/>
        </a:ln>
      </c:spPr>
      <c:txPr>
        <a:bodyPr/>
        <a:lstStyle/>
        <a:p>
          <a:pPr>
            <a:defRPr b="0" sz="1600" spc="-1" strike="noStrike">
              <a:solidFill>
                <a:srgbClr val="000000"/>
              </a:solidFill>
              <a:latin typeface="Vodafone Lt"/>
              <a:ea typeface="Vodafone Lt"/>
            </a:defRPr>
          </a:pPr>
        </a:p>
      </c:txPr>
    </c:legend>
    <c:plotVisOnly val="1"/>
    <c:dispBlanksAs val="gap"/>
  </c:chart>
  <c:spPr>
    <a:solidFill>
      <a:srgbClr val="ffffff"/>
    </a:solidFill>
    <a:ln w="9360">
      <a:solidFill>
        <a:srgbClr val="d9d9d9"/>
      </a:solidFill>
      <a:round/>
    </a:ln>
  </c:spPr>
</c:chartSpace>
</file>

<file path=xl/charts/chart68.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126572816743491"/>
          <c:y val="0.195368861996742"/>
          <c:w val="0.621465055437897"/>
          <c:h val="0.711542936932744"/>
        </c:manualLayout>
      </c:layout>
      <c:barChart>
        <c:barDir val="col"/>
        <c:grouping val="stacked"/>
        <c:varyColors val="0"/>
        <c:ser>
          <c:idx val="0"/>
          <c:order val="0"/>
          <c:tx>
            <c:strRef>
              <c:f>'Cab Floorspace-Archived'!$B$85</c:f>
              <c:strCache>
                <c:ptCount val="1"/>
                <c:pt idx="0">
                  <c:v>Used (m²)</c:v>
                </c:pt>
              </c:strCache>
            </c:strRef>
          </c:tx>
          <c:spPr>
            <a:solidFill>
              <a:srgbClr val="008000"/>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val>
            <c:numRef>
              <c:f>'Cab Floorspace-Archived'!$B$86</c:f>
              <c:numCache>
                <c:formatCode>General</c:formatCode>
                <c:ptCount val="1"/>
                <c:pt idx="0">
                  <c:v>48.96</c:v>
                </c:pt>
              </c:numCache>
            </c:numRef>
          </c:val>
        </c:ser>
        <c:ser>
          <c:idx val="1"/>
          <c:order val="1"/>
          <c:tx>
            <c:strRef>
              <c:f>'Cab Floorspace-Archived'!$C$85</c:f>
              <c:strCache>
                <c:ptCount val="1"/>
                <c:pt idx="0">
                  <c:v>Forecast (m²)</c:v>
                </c:pt>
              </c:strCache>
            </c:strRef>
          </c:tx>
          <c:spPr>
            <a:solidFill>
              <a:srgbClr val="800000"/>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val>
            <c:numRef>
              <c:f>'Cab Floorspace-Archived'!$C$86</c:f>
              <c:numCache>
                <c:formatCode>General</c:formatCode>
                <c:ptCount val="1"/>
                <c:pt idx="0">
                  <c:v>0</c:v>
                </c:pt>
              </c:numCache>
            </c:numRef>
          </c:val>
        </c:ser>
        <c:ser>
          <c:idx val="2"/>
          <c:order val="2"/>
          <c:tx>
            <c:strRef>
              <c:f>'Cab Floorspace-Archived'!$D$85</c:f>
              <c:strCache>
                <c:ptCount val="1"/>
                <c:pt idx="0">
                  <c:v>Remaining (m²)</c:v>
                </c:pt>
              </c:strCache>
            </c:strRef>
          </c:tx>
          <c:spPr>
            <a:solidFill>
              <a:srgbClr val="ffffcc"/>
            </a:solidFill>
            <a:ln>
              <a:solidFill>
                <a:srgbClr val="000000"/>
              </a:solidFill>
            </a:ln>
          </c:spPr>
          <c:invertIfNegative val="0"/>
          <c:dLbls>
            <c:txPr>
              <a:bodyPr/>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0"/>
          </c:dLbls>
          <c:val>
            <c:numRef>
              <c:f>'Cab Floorspace-Archived'!$D$86</c:f>
              <c:numCache>
                <c:formatCode>General</c:formatCode>
                <c:ptCount val="1"/>
                <c:pt idx="0">
                  <c:v>3.84</c:v>
                </c:pt>
              </c:numCache>
            </c:numRef>
          </c:val>
        </c:ser>
        <c:gapWidth val="150"/>
        <c:overlap val="100"/>
        <c:axId val="15169959"/>
        <c:axId val="54619852"/>
      </c:barChart>
      <c:catAx>
        <c:axId val="15169959"/>
        <c:scaling>
          <c:orientation val="minMax"/>
        </c:scaling>
        <c:delete val="1"/>
        <c:axPos val="b"/>
        <c:numFmt formatCode="General"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ea typeface="Calibri"/>
              </a:defRPr>
            </a:pPr>
          </a:p>
        </c:txPr>
        <c:crossAx val="54619852"/>
        <c:auto val="1"/>
        <c:lblAlgn val="ctr"/>
        <c:lblOffset val="100"/>
        <c:noMultiLvlLbl val="0"/>
      </c:catAx>
      <c:valAx>
        <c:axId val="54619852"/>
        <c:scaling>
          <c:orientation val="minMax"/>
          <c:min val="0"/>
        </c:scaling>
        <c:delete val="0"/>
        <c:axPos val="l"/>
        <c:majorGridlines>
          <c:spPr>
            <a:ln w="9360">
              <a:solidFill>
                <a:srgbClr val="878787"/>
              </a:solidFill>
              <a:round/>
            </a:ln>
          </c:spPr>
        </c:majorGridlines>
        <c:numFmt formatCode="0" sourceLinked="0"/>
        <c:majorTickMark val="out"/>
        <c:minorTickMark val="none"/>
        <c:tickLblPos val="nextTo"/>
        <c:spPr>
          <a:ln w="9360">
            <a:solidFill>
              <a:srgbClr val="878787"/>
            </a:solidFill>
            <a:round/>
          </a:ln>
        </c:spPr>
        <c:txPr>
          <a:bodyPr/>
          <a:lstStyle/>
          <a:p>
            <a:pPr>
              <a:defRPr b="0" sz="1400" spc="-1" strike="noStrike">
                <a:solidFill>
                  <a:srgbClr val="000000"/>
                </a:solidFill>
                <a:latin typeface="Vodafone Lt"/>
                <a:ea typeface="Vodafone Lt"/>
              </a:defRPr>
            </a:pPr>
          </a:p>
        </c:txPr>
        <c:crossAx val="15169959"/>
        <c:crosses val="autoZero"/>
        <c:crossBetween val="between"/>
        <c:majorUnit val="10"/>
      </c:valAx>
      <c:spPr>
        <a:solidFill>
          <a:srgbClr val="e6e0ec"/>
        </a:solidFill>
        <a:ln>
          <a:noFill/>
        </a:ln>
      </c:spPr>
    </c:plotArea>
    <c:legend>
      <c:legendPos val="r"/>
      <c:layout>
        <c:manualLayout>
          <c:xMode val="edge"/>
          <c:yMode val="edge"/>
          <c:x val="0.753643951663137"/>
          <c:y val="0.246800093088201"/>
          <c:w val="0.239456799352146"/>
          <c:h val="0.393343419062027"/>
        </c:manualLayout>
      </c:layout>
      <c:overlay val="0"/>
      <c:spPr>
        <a:noFill/>
        <a:ln>
          <a:noFill/>
        </a:ln>
      </c:spPr>
      <c:txPr>
        <a:bodyPr/>
        <a:lstStyle/>
        <a:p>
          <a:pPr>
            <a:defRPr b="0" sz="1600" spc="-1" strike="noStrike">
              <a:solidFill>
                <a:srgbClr val="000000"/>
              </a:solidFill>
              <a:latin typeface="Vodafone Lt"/>
              <a:ea typeface="Vodafone Lt"/>
            </a:defRPr>
          </a:pPr>
        </a:p>
      </c:txPr>
    </c:legend>
    <c:plotVisOnly val="1"/>
    <c:dispBlanksAs val="gap"/>
  </c:chart>
  <c:spPr>
    <a:solidFill>
      <a:srgbClr val="ffffff"/>
    </a:solidFill>
    <a:ln w="9360">
      <a:solidFill>
        <a:srgbClr val="d9d9d9"/>
      </a:solidFill>
      <a:round/>
    </a:ln>
  </c:spPr>
</c:chartSpace>
</file>

<file path=xl/drawings/_rels/drawing11.xml.rels><?xml version="1.0" encoding="UTF-8"?>
<Relationships xmlns="http://schemas.openxmlformats.org/package/2006/relationships"><Relationship Id="rId1" Type="http://schemas.openxmlformats.org/officeDocument/2006/relationships/chart" Target="../charts/chart49.xml"/>
</Relationships>
</file>

<file path=xl/drawings/_rels/drawing12.xml.rels><?xml version="1.0" encoding="UTF-8"?>
<Relationships xmlns="http://schemas.openxmlformats.org/package/2006/relationships"><Relationship Id="rId1" Type="http://schemas.openxmlformats.org/officeDocument/2006/relationships/chart" Target="../charts/chart50.xml"/><Relationship Id="rId2" Type="http://schemas.openxmlformats.org/officeDocument/2006/relationships/chart" Target="../charts/chart51.xml"/>
</Relationships>
</file>

<file path=xl/drawings/_rels/drawing13.xml.rels><?xml version="1.0" encoding="UTF-8"?>
<Relationships xmlns="http://schemas.openxmlformats.org/package/2006/relationships"><Relationship Id="rId1" Type="http://schemas.openxmlformats.org/officeDocument/2006/relationships/chart" Target="../charts/chart52.xml"/><Relationship Id="rId2" Type="http://schemas.openxmlformats.org/officeDocument/2006/relationships/chart" Target="../charts/chart53.xml"/>
</Relationships>
</file>

<file path=xl/drawings/_rels/drawing14.xml.rels><?xml version="1.0" encoding="UTF-8"?>
<Relationships xmlns="http://schemas.openxmlformats.org/package/2006/relationships"><Relationship Id="rId1" Type="http://schemas.openxmlformats.org/officeDocument/2006/relationships/chart" Target="../charts/chart54.xml"/>
</Relationships>
</file>

<file path=xl/drawings/_rels/drawing15.xml.rels><?xml version="1.0" encoding="UTF-8"?>
<Relationships xmlns="http://schemas.openxmlformats.org/package/2006/relationships"><Relationship Id="rId1" Type="http://schemas.openxmlformats.org/officeDocument/2006/relationships/chart" Target="../charts/chart55.xml"/><Relationship Id="rId2" Type="http://schemas.openxmlformats.org/officeDocument/2006/relationships/chart" Target="../charts/chart56.xml"/>
</Relationships>
</file>

<file path=xl/drawings/_rels/drawing16.xml.rels><?xml version="1.0" encoding="UTF-8"?>
<Relationships xmlns="http://schemas.openxmlformats.org/package/2006/relationships"><Relationship Id="rId1" Type="http://schemas.openxmlformats.org/officeDocument/2006/relationships/chart" Target="../charts/chart57.xml"/><Relationship Id="rId2" Type="http://schemas.openxmlformats.org/officeDocument/2006/relationships/chart" Target="../charts/chart58.xml"/><Relationship Id="rId3" Type="http://schemas.openxmlformats.org/officeDocument/2006/relationships/chart" Target="../charts/chart59.xml"/>
</Relationships>
</file>

<file path=xl/drawings/_rels/drawing17.xml.rels><?xml version="1.0" encoding="UTF-8"?>
<Relationships xmlns="http://schemas.openxmlformats.org/package/2006/relationships"><Relationship Id="rId1" Type="http://schemas.openxmlformats.org/officeDocument/2006/relationships/chart" Target="../charts/chart60.xml"/><Relationship Id="rId2" Type="http://schemas.openxmlformats.org/officeDocument/2006/relationships/chart" Target="../charts/chart61.xml"/><Relationship Id="rId3" Type="http://schemas.openxmlformats.org/officeDocument/2006/relationships/chart" Target="../charts/chart62.xml"/><Relationship Id="rId4" Type="http://schemas.openxmlformats.org/officeDocument/2006/relationships/chart" Target="../charts/chart63.xml"/>
</Relationships>
</file>

<file path=xl/drawings/_rels/drawing18.xml.rels><?xml version="1.0" encoding="UTF-8"?>
<Relationships xmlns="http://schemas.openxmlformats.org/package/2006/relationships"><Relationship Id="rId1" Type="http://schemas.openxmlformats.org/officeDocument/2006/relationships/chart" Target="../charts/chart64.xml"/><Relationship Id="rId2" Type="http://schemas.openxmlformats.org/officeDocument/2006/relationships/chart" Target="../charts/chart65.xml"/>
</Relationships>
</file>

<file path=xl/drawings/_rels/drawing19.xml.rels><?xml version="1.0" encoding="UTF-8"?>
<Relationships xmlns="http://schemas.openxmlformats.org/package/2006/relationships"><Relationship Id="rId1" Type="http://schemas.openxmlformats.org/officeDocument/2006/relationships/chart" Target="../charts/chart66.xml"/><Relationship Id="rId2" Type="http://schemas.openxmlformats.org/officeDocument/2006/relationships/chart" Target="../charts/chart67.xml"/><Relationship Id="rId3" Type="http://schemas.openxmlformats.org/officeDocument/2006/relationships/chart" Target="../charts/chart68.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809640</xdr:colOff>
      <xdr:row>152</xdr:row>
      <xdr:rowOff>4320</xdr:rowOff>
    </xdr:from>
    <xdr:to>
      <xdr:col>13</xdr:col>
      <xdr:colOff>199800</xdr:colOff>
      <xdr:row>172</xdr:row>
      <xdr:rowOff>28080</xdr:rowOff>
    </xdr:to>
    <xdr:sp>
      <xdr:nvSpPr>
        <xdr:cNvPr id="0" name="CustomShape 1"/>
        <xdr:cNvSpPr/>
      </xdr:nvSpPr>
      <xdr:spPr>
        <a:xfrm>
          <a:off x="809640" y="21302640"/>
          <a:ext cx="12763080" cy="260172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en-GB" sz="1100" spc="-1" strike="noStrike">
              <a:solidFill>
                <a:srgbClr val="000000"/>
              </a:solidFill>
              <a:latin typeface="Calibri"/>
            </a:rPr>
            <a:t>Charging current</a:t>
          </a:r>
          <a:endParaRPr b="0" lang="en-US" sz="1100" spc="-1" strike="noStrike">
            <a:latin typeface="Times New Roman"/>
          </a:endParaRPr>
        </a:p>
        <a:p>
          <a:pPr>
            <a:lnSpc>
              <a:spcPct val="100000"/>
            </a:lnSpc>
          </a:pPr>
          <a:r>
            <a:rPr b="0" lang="en-GB" sz="1100" spc="-1" strike="noStrike">
              <a:solidFill>
                <a:srgbClr val="000000"/>
              </a:solidFill>
              <a:latin typeface="Calibri"/>
            </a:rPr>
            <a:t>A discharged VRLA battery will accept a high recharge current, but for those seeking a more economical charging system a current limit of 0.08 C10 : 0.1 C3 (A) is adequate.</a:t>
          </a:r>
          <a:endParaRPr b="0" lang="en-US" sz="1100" spc="-1" strike="noStrike">
            <a:latin typeface="Times New Roman"/>
          </a:endParaRPr>
        </a:p>
        <a:p>
          <a:pPr>
            <a:lnSpc>
              <a:spcPct val="100000"/>
            </a:lnSpc>
          </a:pPr>
          <a:r>
            <a:rPr b="1" i="1" lang="en-GB" sz="1100" spc="-1" strike="noStrike">
              <a:solidFill>
                <a:srgbClr val="000000"/>
              </a:solidFill>
              <a:latin typeface="Calibri"/>
            </a:rPr>
            <a:t>Note: </a:t>
          </a:r>
          <a:r>
            <a:rPr b="0" i="1" lang="en-GB" sz="1100" spc="-1" strike="noStrike">
              <a:solidFill>
                <a:srgbClr val="000000"/>
              </a:solidFill>
              <a:latin typeface="Calibri"/>
            </a:rPr>
            <a:t>For a completely discharged battery, 80% of the capacity is</a:t>
          </a:r>
          <a:endParaRPr b="0" lang="en-US" sz="1100" spc="-1" strike="noStrike">
            <a:latin typeface="Times New Roman"/>
          </a:endParaRPr>
        </a:p>
        <a:p>
          <a:pPr>
            <a:lnSpc>
              <a:spcPct val="100000"/>
            </a:lnSpc>
          </a:pPr>
          <a:r>
            <a:rPr b="0" i="1" lang="en-GB" sz="1100" spc="-1" strike="noStrike">
              <a:solidFill>
                <a:srgbClr val="000000"/>
              </a:solidFill>
              <a:latin typeface="Calibri"/>
            </a:rPr>
            <a:t>replaced in approximately:</a:t>
          </a:r>
          <a:endParaRPr b="0" lang="en-US" sz="1100" spc="-1" strike="noStrike">
            <a:latin typeface="Times New Roman"/>
          </a:endParaRPr>
        </a:p>
        <a:p>
          <a:pPr>
            <a:lnSpc>
              <a:spcPct val="100000"/>
            </a:lnSpc>
          </a:pPr>
          <a:r>
            <a:rPr b="0" i="1" lang="en-GB" sz="1100" spc="-1" strike="noStrike">
              <a:solidFill>
                <a:srgbClr val="000000"/>
              </a:solidFill>
              <a:latin typeface="Calibri"/>
            </a:rPr>
            <a:t>10 hours at 0.1 C</a:t>
          </a:r>
          <a:r>
            <a:rPr b="0" i="1" lang="en-GB" sz="1100" spc="-1" strike="noStrike" baseline="-25000">
              <a:solidFill>
                <a:srgbClr val="000000"/>
              </a:solidFill>
              <a:latin typeface="Calibri"/>
            </a:rPr>
            <a:t>10</a:t>
          </a:r>
          <a:endParaRPr b="0" lang="en-US" sz="1100" spc="-1" strike="noStrike">
            <a:latin typeface="Times New Roman"/>
          </a:endParaRPr>
        </a:p>
        <a:p>
          <a:pPr>
            <a:lnSpc>
              <a:spcPct val="100000"/>
            </a:lnSpc>
            <a:tabLst>
              <a:tab algn="l" pos="0"/>
            </a:tabLst>
          </a:pPr>
          <a:r>
            <a:rPr b="0" i="1" lang="en-GB" sz="1100" spc="-1" strike="noStrike">
              <a:solidFill>
                <a:srgbClr val="000000"/>
              </a:solidFill>
              <a:latin typeface="Calibri"/>
            </a:rPr>
            <a:t>6 hours at 0.3 C</a:t>
          </a:r>
          <a:r>
            <a:rPr b="0" i="1" lang="en-GB" sz="1100" spc="-1" strike="noStrike" baseline="-25000">
              <a:solidFill>
                <a:srgbClr val="000000"/>
              </a:solidFill>
              <a:latin typeface="Calibri"/>
            </a:rPr>
            <a:t>10</a:t>
          </a:r>
          <a:endParaRPr b="0" lang="en-US" sz="1100" spc="-1" strike="noStrike">
            <a:latin typeface="Times New Roman"/>
          </a:endParaRPr>
        </a:p>
        <a:p>
          <a:pPr>
            <a:lnSpc>
              <a:spcPct val="100000"/>
            </a:lnSpc>
            <a:tabLst>
              <a:tab algn="l" pos="0"/>
            </a:tabLst>
          </a:pPr>
          <a:r>
            <a:rPr b="0" i="1" lang="en-GB" sz="1100" spc="-1" strike="noStrike">
              <a:solidFill>
                <a:srgbClr val="000000"/>
              </a:solidFill>
              <a:latin typeface="Calibri"/>
            </a:rPr>
            <a:t>5 hours no current limit applied</a:t>
          </a:r>
          <a:endParaRPr b="0" lang="en-US" sz="1100" spc="-1" strike="noStrike">
            <a:latin typeface="Times New Roman"/>
          </a:endParaRPr>
        </a:p>
        <a:p>
          <a:pPr>
            <a:lnSpc>
              <a:spcPct val="100000"/>
            </a:lnSpc>
            <a:tabLst>
              <a:tab algn="l" pos="0"/>
            </a:tabLst>
          </a:pPr>
          <a:endParaRPr b="0" lang="en-US" sz="1100" spc="-1" strike="noStrike">
            <a:latin typeface="Times New Roman"/>
          </a:endParaRPr>
        </a:p>
        <a:p>
          <a:pPr>
            <a:lnSpc>
              <a:spcPct val="100000"/>
            </a:lnSpc>
            <a:tabLst>
              <a:tab algn="l" pos="0"/>
            </a:tabLst>
          </a:pPr>
          <a:r>
            <a:rPr b="0" i="1" lang="en-GB" sz="1100" spc="-1" strike="noStrike">
              <a:solidFill>
                <a:srgbClr val="000000"/>
              </a:solidFill>
              <a:latin typeface="Calibri"/>
            </a:rPr>
            <a:t>For a  6V165/6 (the current standard MTX battery ) C</a:t>
          </a:r>
          <a:r>
            <a:rPr b="0" i="1" lang="en-GB" sz="1100" spc="-1" strike="noStrike" baseline="-25000">
              <a:solidFill>
                <a:srgbClr val="000000"/>
              </a:solidFill>
              <a:latin typeface="Calibri"/>
            </a:rPr>
            <a:t>10</a:t>
          </a:r>
          <a:r>
            <a:rPr b="0" i="1" lang="en-GB" sz="1100" spc="-1" strike="noStrike">
              <a:solidFill>
                <a:srgbClr val="000000"/>
              </a:solidFill>
              <a:latin typeface="Calibri"/>
            </a:rPr>
            <a:t> is 173 (Ah) @ 20degC   </a:t>
          </a:r>
          <a:endParaRPr b="0" lang="en-US" sz="1100" spc="-1" strike="noStrike">
            <a:latin typeface="Times New Roman"/>
          </a:endParaRPr>
        </a:p>
        <a:p>
          <a:pPr>
            <a:lnSpc>
              <a:spcPct val="100000"/>
            </a:lnSpc>
            <a:tabLst>
              <a:tab algn="l" pos="0"/>
            </a:tabLst>
          </a:pPr>
          <a:r>
            <a:rPr b="0" i="1" lang="en-GB" sz="1100" spc="-1" strike="noStrike">
              <a:solidFill>
                <a:srgbClr val="000000"/>
              </a:solidFill>
              <a:latin typeface="Calibri"/>
            </a:rPr>
            <a:t>The recommended power plant capacity reserved for charging is 10-30%</a:t>
          </a:r>
          <a:endParaRPr b="0" lang="en-US" sz="1100" spc="-1" strike="noStrike">
            <a:latin typeface="Times New Roman"/>
          </a:endParaRPr>
        </a:p>
        <a:p>
          <a:pPr>
            <a:lnSpc>
              <a:spcPct val="100000"/>
            </a:lnSpc>
            <a:tabLst>
              <a:tab algn="l" pos="0"/>
            </a:tabLst>
          </a:pPr>
          <a:endParaRPr b="0" lang="en-US" sz="1100" spc="-1" strike="noStrike">
            <a:latin typeface="Times New Roman"/>
          </a:endParaRPr>
        </a:p>
        <a:p>
          <a:pPr>
            <a:lnSpc>
              <a:spcPct val="100000"/>
            </a:lnSpc>
            <a:tabLst>
              <a:tab algn="l" pos="0"/>
            </a:tabLst>
          </a:pPr>
          <a:r>
            <a:rPr b="0" lang="en-GB" sz="1100" spc="-1" strike="noStrike">
              <a:solidFill>
                <a:srgbClr val="000000"/>
              </a:solidFill>
              <a:latin typeface="Calibri"/>
            </a:rPr>
            <a:t>Recharge % rate is calculated by ((redundant rectifier capacity in amps/number of battery strings - </a:t>
          </a:r>
          <a:r>
            <a:rPr b="0" i="1" lang="en-GB" sz="1100" spc="-1" strike="noStrike">
              <a:solidFill>
                <a:srgbClr val="000000"/>
              </a:solidFill>
              <a:latin typeface="Calibri"/>
            </a:rPr>
            <a:t>2 strings per cab in 6V165/6 config)/C</a:t>
          </a:r>
          <a:r>
            <a:rPr b="0" i="1" lang="en-GB" sz="1100" spc="-1" strike="noStrike" baseline="-25000">
              <a:solidFill>
                <a:srgbClr val="000000"/>
              </a:solidFill>
              <a:latin typeface="Calibri"/>
            </a:rPr>
            <a:t>10 </a:t>
          </a:r>
          <a:r>
            <a:rPr b="0" i="1" lang="en-GB" sz="1100" spc="-1" strike="noStrike">
              <a:solidFill>
                <a:srgbClr val="000000"/>
              </a:solidFill>
              <a:latin typeface="Calibri"/>
            </a:rPr>
            <a:t> Value)*100</a:t>
          </a:r>
          <a:endParaRPr b="0" lang="en-US" sz="1100" spc="-1" strike="noStrike">
            <a:latin typeface="Times New Roman"/>
          </a:endParaRPr>
        </a:p>
        <a:p>
          <a:pPr>
            <a:lnSpc>
              <a:spcPct val="100000"/>
            </a:lnSpc>
            <a:tabLst>
              <a:tab algn="l" pos="0"/>
            </a:tabLst>
          </a:pPr>
          <a:endParaRPr b="0" lang="en-US" sz="1100" spc="-1" strike="noStrike">
            <a:latin typeface="Times New Roman"/>
          </a:endParaRPr>
        </a:p>
        <a:p>
          <a:pPr>
            <a:lnSpc>
              <a:spcPct val="100000"/>
            </a:lnSpc>
            <a:tabLst>
              <a:tab algn="l" pos="0"/>
            </a:tabLst>
          </a:pPr>
          <a:r>
            <a:rPr b="0" i="1" lang="en-GB" sz="1100" spc="-1" strike="noStrike">
              <a:solidFill>
                <a:srgbClr val="000000"/>
              </a:solidFill>
              <a:latin typeface="Calibri"/>
            </a:rPr>
            <a:t>For a standard LPF10 NetSure deployment the recharge rate using 50% of the rectifers is 33.9%</a:t>
          </a:r>
          <a:endParaRPr b="0" lang="en-US" sz="1100" spc="-1" strike="noStrike">
            <a:latin typeface="Times New Roman"/>
          </a:endParaRPr>
        </a:p>
        <a:p>
          <a:pPr>
            <a:lnSpc>
              <a:spcPct val="100000"/>
            </a:lnSpc>
            <a:tabLst>
              <a:tab algn="l" pos="0"/>
            </a:tabLst>
          </a:pPr>
          <a:r>
            <a:rPr b="0" i="1" lang="en-GB" sz="1100" spc="-1" strike="noStrike">
              <a:solidFill>
                <a:srgbClr val="000000"/>
              </a:solidFill>
              <a:latin typeface="Calibri"/>
            </a:rPr>
            <a:t>For a standard LPF 10 eSure deployment the recharge rate using 50% of the rectifiers is 37.1%</a:t>
          </a: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137160</xdr:colOff>
      <xdr:row>87</xdr:row>
      <xdr:rowOff>60840</xdr:rowOff>
    </xdr:from>
    <xdr:to>
      <xdr:col>8</xdr:col>
      <xdr:colOff>403560</xdr:colOff>
      <xdr:row>111</xdr:row>
      <xdr:rowOff>128520</xdr:rowOff>
    </xdr:to>
    <xdr:sp>
      <xdr:nvSpPr>
        <xdr:cNvPr id="1" name="CustomShape 1" hidden="1"/>
        <xdr:cNvSpPr/>
      </xdr:nvSpPr>
      <xdr:spPr>
        <a:xfrm>
          <a:off x="5657040" y="12548520"/>
          <a:ext cx="4599000" cy="31615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11</xdr:col>
      <xdr:colOff>457200</xdr:colOff>
      <xdr:row>114</xdr:row>
      <xdr:rowOff>4320</xdr:rowOff>
    </xdr:from>
    <xdr:to>
      <xdr:col>12</xdr:col>
      <xdr:colOff>180720</xdr:colOff>
      <xdr:row>116</xdr:row>
      <xdr:rowOff>28080</xdr:rowOff>
    </xdr:to>
    <xdr:sp>
      <xdr:nvSpPr>
        <xdr:cNvPr id="2" name="CustomShape 1"/>
        <xdr:cNvSpPr/>
      </xdr:nvSpPr>
      <xdr:spPr>
        <a:xfrm>
          <a:off x="8989560" y="14722920"/>
          <a:ext cx="213120" cy="281520"/>
        </a:xfrm>
        <a:prstGeom prst="rect">
          <a:avLst/>
        </a:prstGeom>
        <a:solidFill>
          <a:schemeClr val="lt1"/>
        </a:solidFill>
        <a:ln w="9360">
          <a:noFill/>
        </a:ln>
      </xdr:spPr>
      <xdr:style>
        <a:lnRef idx="0"/>
        <a:fillRef idx="0"/>
        <a:effectRef idx="0"/>
        <a:fontRef idx="minor"/>
      </xdr:style>
      <xdr:txBody>
        <a:bodyPr lIns="90000" rIns="90000" tIns="45000" bIns="45000" vert="vert270" rot="16200000">
          <a:noAutofit/>
        </a:bodyPr>
        <a:p>
          <a:pPr>
            <a:lnSpc>
              <a:spcPct val="100000"/>
            </a:lnSpc>
          </a:pPr>
          <a:r>
            <a:rPr b="0" lang="en-GB" sz="800" spc="-1" strike="noStrike">
              <a:solidFill>
                <a:srgbClr val="000000"/>
              </a:solidFill>
              <a:latin typeface="Vodafone Rg"/>
            </a:rPr>
            <a:t>m²</a:t>
          </a:r>
          <a:endParaRPr b="0" lang="en-US" sz="800" spc="-1" strike="noStrike">
            <a:latin typeface="Times New Roman"/>
          </a:endParaRPr>
        </a:p>
      </xdr:txBody>
    </xdr:sp>
    <xdr:clientData/>
  </xdr:twoCellAnchor>
  <xdr:twoCellAnchor editAs="twoCell">
    <xdr:from>
      <xdr:col>17</xdr:col>
      <xdr:colOff>200160</xdr:colOff>
      <xdr:row>102</xdr:row>
      <xdr:rowOff>0</xdr:rowOff>
    </xdr:from>
    <xdr:to>
      <xdr:col>20</xdr:col>
      <xdr:colOff>409320</xdr:colOff>
      <xdr:row>103</xdr:row>
      <xdr:rowOff>85320</xdr:rowOff>
    </xdr:to>
    <xdr:sp>
      <xdr:nvSpPr>
        <xdr:cNvPr id="3" name="CustomShape 1"/>
        <xdr:cNvSpPr/>
      </xdr:nvSpPr>
      <xdr:spPr>
        <a:xfrm>
          <a:off x="11670120" y="13171680"/>
          <a:ext cx="1677960" cy="214200"/>
        </a:xfrm>
        <a:prstGeom prst="rect">
          <a:avLst/>
        </a:prstGeom>
        <a:solidFill>
          <a:srgbClr val="ffff00"/>
        </a:solidFill>
        <a:ln w="9360">
          <a:solidFill>
            <a:schemeClr val="lt1">
              <a:shade val="50000"/>
            </a:schemeClr>
          </a:solidFill>
          <a:round/>
        </a:ln>
      </xdr:spPr>
      <xdr:style>
        <a:lnRef idx="0"/>
        <a:fillRef idx="0"/>
        <a:effectRef idx="0"/>
        <a:fontRef idx="minor"/>
      </xdr:style>
      <xdr:txBody>
        <a:bodyPr>
          <a:noAutofit/>
        </a:bodyPr>
        <a:p>
          <a:pPr>
            <a:lnSpc>
              <a:spcPct val="100000"/>
            </a:lnSpc>
            <a:tabLst>
              <a:tab algn="l" pos="0"/>
            </a:tabLst>
          </a:pPr>
          <a:r>
            <a:rPr b="0" lang="en-US" sz="1100" spc="-1" strike="noStrike">
              <a:solidFill>
                <a:srgbClr val="ff0000"/>
              </a:solidFill>
              <a:latin typeface="Calibri"/>
              <a:ea typeface="Calibri"/>
            </a:rPr>
            <a:t>Archived- refer to DCM</a:t>
          </a:r>
          <a:endParaRPr b="0" lang="en-US" sz="1100" spc="-1" strike="noStrike">
            <a:latin typeface="Times New Roman"/>
          </a:endParaRPr>
        </a:p>
      </xdr:txBody>
    </xdr:sp>
    <xdr:clientData/>
  </xdr:twoCellAnchor>
  <xdr:twoCellAnchor editAs="twoCell">
    <xdr:from>
      <xdr:col>1</xdr:col>
      <xdr:colOff>743040</xdr:colOff>
      <xdr:row>105</xdr:row>
      <xdr:rowOff>4320</xdr:rowOff>
    </xdr:from>
    <xdr:to>
      <xdr:col>3</xdr:col>
      <xdr:colOff>647280</xdr:colOff>
      <xdr:row>106</xdr:row>
      <xdr:rowOff>75600</xdr:rowOff>
    </xdr:to>
    <xdr:sp>
      <xdr:nvSpPr>
        <xdr:cNvPr id="4" name="CustomShape 1"/>
        <xdr:cNvSpPr/>
      </xdr:nvSpPr>
      <xdr:spPr>
        <a:xfrm>
          <a:off x="2466720" y="13562640"/>
          <a:ext cx="1674720" cy="200160"/>
        </a:xfrm>
        <a:prstGeom prst="rect">
          <a:avLst/>
        </a:prstGeom>
        <a:solidFill>
          <a:srgbClr val="ffff00"/>
        </a:solidFill>
        <a:ln w="9360">
          <a:solidFill>
            <a:schemeClr val="lt1">
              <a:shade val="50000"/>
            </a:schemeClr>
          </a:solidFill>
          <a:round/>
        </a:ln>
      </xdr:spPr>
      <xdr:style>
        <a:lnRef idx="0"/>
        <a:fillRef idx="0"/>
        <a:effectRef idx="0"/>
        <a:fontRef idx="minor"/>
      </xdr:style>
      <xdr:txBody>
        <a:bodyPr>
          <a:noAutofit/>
        </a:bodyPr>
        <a:p>
          <a:pPr>
            <a:lnSpc>
              <a:spcPct val="100000"/>
            </a:lnSpc>
            <a:tabLst>
              <a:tab algn="l" pos="0"/>
            </a:tabLst>
          </a:pPr>
          <a:r>
            <a:rPr b="0" lang="en-US" sz="1100" spc="-1" strike="noStrike">
              <a:solidFill>
                <a:srgbClr val="ff0000"/>
              </a:solidFill>
              <a:latin typeface="Calibri"/>
              <a:ea typeface="Calibri"/>
            </a:rPr>
            <a:t>Archived- refer to DCM</a:t>
          </a:r>
          <a:endParaRPr b="0" lang="en-US" sz="11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14</xdr:col>
      <xdr:colOff>438120</xdr:colOff>
      <xdr:row>2</xdr:row>
      <xdr:rowOff>19080</xdr:rowOff>
    </xdr:from>
    <xdr:to>
      <xdr:col>15</xdr:col>
      <xdr:colOff>132840</xdr:colOff>
      <xdr:row>4</xdr:row>
      <xdr:rowOff>25560</xdr:rowOff>
    </xdr:to>
    <xdr:sp>
      <xdr:nvSpPr>
        <xdr:cNvPr id="5" name="CustomShape 1"/>
        <xdr:cNvSpPr/>
      </xdr:nvSpPr>
      <xdr:spPr>
        <a:xfrm>
          <a:off x="7292160" y="276840"/>
          <a:ext cx="184320" cy="264240"/>
        </a:xfrm>
        <a:prstGeom prst="rect">
          <a:avLst/>
        </a:prstGeom>
        <a:noFill/>
        <a:ln>
          <a:noFill/>
        </a:ln>
      </xdr:spPr>
      <xdr:style>
        <a:lnRef idx="0"/>
        <a:fillRef idx="0"/>
        <a:effectRef idx="0"/>
        <a:fontRef idx="minor"/>
      </xdr:style>
    </xdr:sp>
    <xdr:clientData/>
  </xdr:twoCellAnchor>
  <xdr:twoCellAnchor editAs="twoCell">
    <xdr:from>
      <xdr:col>5</xdr:col>
      <xdr:colOff>123840</xdr:colOff>
      <xdr:row>1</xdr:row>
      <xdr:rowOff>76320</xdr:rowOff>
    </xdr:from>
    <xdr:to>
      <xdr:col>19</xdr:col>
      <xdr:colOff>352080</xdr:colOff>
      <xdr:row>6</xdr:row>
      <xdr:rowOff>47520</xdr:rowOff>
    </xdr:to>
    <xdr:sp>
      <xdr:nvSpPr>
        <xdr:cNvPr id="6" name="CustomShape 1"/>
        <xdr:cNvSpPr/>
      </xdr:nvSpPr>
      <xdr:spPr>
        <a:xfrm>
          <a:off x="2571480" y="205200"/>
          <a:ext cx="7082640" cy="615600"/>
        </a:xfrm>
        <a:prstGeom prst="rect">
          <a:avLst/>
        </a:prstGeom>
        <a:solidFill>
          <a:schemeClr val="lt1"/>
        </a:solidFill>
        <a:ln w="9360">
          <a:noFill/>
        </a:ln>
      </xdr:spPr>
      <xdr:style>
        <a:lnRef idx="0"/>
        <a:fillRef idx="0"/>
        <a:effectRef idx="0"/>
        <a:fontRef idx="minor"/>
      </xdr:style>
      <xdr:txBody>
        <a:bodyPr lIns="90000" rIns="90000" tIns="45000" bIns="45000">
          <a:noAutofit/>
        </a:bodyPr>
        <a:p>
          <a:pPr algn="ctr">
            <a:lnSpc>
              <a:spcPct val="100000"/>
            </a:lnSpc>
            <a:tabLst>
              <a:tab algn="l" pos="0"/>
            </a:tabLst>
          </a:pPr>
          <a:r>
            <a:rPr b="1" lang="en-GB" sz="3600" spc="-1" strike="noStrike">
              <a:solidFill>
                <a:srgbClr val="000000"/>
              </a:solidFill>
              <a:latin typeface="Vodafone Lt"/>
            </a:rPr>
            <a:t>Type A Sites - Dual Running Analysis (DC)</a:t>
          </a:r>
          <a:endParaRPr b="0" lang="en-US" sz="3600" spc="-1" strike="noStrike">
            <a:latin typeface="Times New Roman"/>
          </a:endParaRPr>
        </a:p>
        <a:p>
          <a:pPr algn="ctr">
            <a:lnSpc>
              <a:spcPct val="100000"/>
            </a:lnSpc>
            <a:tabLst>
              <a:tab algn="l" pos="0"/>
            </a:tabLst>
          </a:pPr>
          <a:endParaRPr b="0" lang="en-US" sz="3600" spc="-1" strike="noStrike">
            <a:latin typeface="Times New Roman"/>
          </a:endParaRPr>
        </a:p>
      </xdr:txBody>
    </xdr:sp>
    <xdr:clientData/>
  </xdr:twoCellAnchor>
  <xdr:twoCellAnchor editAs="twoCell">
    <xdr:from>
      <xdr:col>11</xdr:col>
      <xdr:colOff>374760</xdr:colOff>
      <xdr:row>45</xdr:row>
      <xdr:rowOff>98280</xdr:rowOff>
    </xdr:from>
    <xdr:to>
      <xdr:col>24</xdr:col>
      <xdr:colOff>253800</xdr:colOff>
      <xdr:row>63</xdr:row>
      <xdr:rowOff>10440</xdr:rowOff>
    </xdr:to>
    <xdr:sp>
      <xdr:nvSpPr>
        <xdr:cNvPr id="7" name="CustomShape 1"/>
        <xdr:cNvSpPr/>
      </xdr:nvSpPr>
      <xdr:spPr>
        <a:xfrm>
          <a:off x="5760000" y="5898960"/>
          <a:ext cx="6243840" cy="223236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ct val="100000"/>
            </a:lnSpc>
          </a:pPr>
          <a:r>
            <a:rPr b="0" lang="en-GB" sz="2000" spc="-1" strike="noStrike">
              <a:solidFill>
                <a:srgbClr val="000000"/>
              </a:solidFill>
              <a:latin typeface="Vodafone Lt"/>
            </a:rPr>
            <a:t>The top graph shows the % of a site's DC load attributed to dual running</a:t>
          </a:r>
          <a:endParaRPr b="0" lang="en-US" sz="2000" spc="-1" strike="noStrike">
            <a:latin typeface="Times New Roman"/>
          </a:endParaRPr>
        </a:p>
        <a:p>
          <a:pPr>
            <a:lnSpc>
              <a:spcPct val="100000"/>
            </a:lnSpc>
          </a:pPr>
          <a:r>
            <a:rPr b="0" lang="en-GB" sz="2000" spc="-1" strike="noStrike">
              <a:solidFill>
                <a:srgbClr val="000000"/>
              </a:solidFill>
              <a:latin typeface="Vodafone Lt"/>
            </a:rPr>
            <a:t>The lower graph shows which network elements are dual running and the % they use across all Type A sites</a:t>
          </a:r>
          <a:endParaRPr b="0" lang="en-US" sz="2000" spc="-1" strike="noStrike">
            <a:latin typeface="Times New Roman"/>
          </a:endParaRPr>
        </a:p>
        <a:p>
          <a:pPr>
            <a:lnSpc>
              <a:spcPct val="100000"/>
            </a:lnSpc>
          </a:pPr>
          <a:r>
            <a:rPr b="0" lang="en-GB" sz="2000" spc="-1" strike="noStrike">
              <a:solidFill>
                <a:srgbClr val="000000"/>
              </a:solidFill>
              <a:latin typeface="Vodafone Lt"/>
            </a:rPr>
            <a:t>Reducing the number of dual running elements could increase our DC capacity by 23%</a:t>
          </a:r>
          <a:endParaRPr b="0" lang="en-US" sz="2000" spc="-1" strike="noStrike">
            <a:latin typeface="Times New Roman"/>
          </a:endParaRPr>
        </a:p>
        <a:p>
          <a:pPr>
            <a:lnSpc>
              <a:spcPct val="100000"/>
            </a:lnSpc>
          </a:pPr>
          <a:r>
            <a:rPr b="0" lang="en-GB" sz="2000" spc="-1" strike="noStrike">
              <a:solidFill>
                <a:srgbClr val="000000"/>
              </a:solidFill>
              <a:latin typeface="Vodafone Lt"/>
            </a:rPr>
            <a:t>    </a:t>
          </a:r>
          <a:endParaRPr b="0" lang="en-US" sz="20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108000</xdr:colOff>
      <xdr:row>11</xdr:row>
      <xdr:rowOff>17280</xdr:rowOff>
    </xdr:from>
    <xdr:to>
      <xdr:col>23</xdr:col>
      <xdr:colOff>374400</xdr:colOff>
      <xdr:row>58</xdr:row>
      <xdr:rowOff>120240</xdr:rowOff>
    </xdr:to>
    <xdr:sp>
      <xdr:nvSpPr>
        <xdr:cNvPr id="8" name="CustomShape 1"/>
        <xdr:cNvSpPr/>
      </xdr:nvSpPr>
      <xdr:spPr>
        <a:xfrm>
          <a:off x="108000" y="1434960"/>
          <a:ext cx="11526840" cy="616176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GB" sz="3600" spc="-1" strike="noStrike">
              <a:solidFill>
                <a:srgbClr val="ff0000"/>
              </a:solidFill>
              <a:latin typeface="Vodafone Lt"/>
            </a:rPr>
            <a:t>MTX Space and Power Utilisation</a:t>
          </a:r>
          <a:br/>
          <a:br/>
          <a:r>
            <a:rPr b="1" lang="en-GB" sz="3600" spc="-1" strike="noStrike">
              <a:solidFill>
                <a:srgbClr val="ff0000"/>
              </a:solidFill>
              <a:latin typeface="Vodafone Lt"/>
            </a:rPr>
            <a:t>July 2017</a:t>
          </a:r>
          <a:endParaRPr b="0" lang="en-US" sz="3600" spc="-1" strike="noStrike">
            <a:latin typeface="Times New Roman"/>
          </a:endParaRPr>
        </a:p>
        <a:p>
          <a:pPr>
            <a:lnSpc>
              <a:spcPct val="100000"/>
            </a:lnSpc>
          </a:pPr>
          <a:br/>
          <a:br/>
          <a:r>
            <a:rPr b="1" lang="en-GB" sz="3600" spc="-1" strike="noStrike">
              <a:solidFill>
                <a:srgbClr val="d9d9d9"/>
              </a:solidFill>
              <a:latin typeface="Vodafone Lt"/>
            </a:rPr>
            <a:t>Leigh Peake, MTX  Infrastructure Team</a:t>
          </a:r>
          <a:endParaRPr b="0" lang="en-US" sz="36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114120</xdr:colOff>
      <xdr:row>2</xdr:row>
      <xdr:rowOff>4320</xdr:rowOff>
    </xdr:from>
    <xdr:to>
      <xdr:col>21</xdr:col>
      <xdr:colOff>123120</xdr:colOff>
      <xdr:row>54</xdr:row>
      <xdr:rowOff>123480</xdr:rowOff>
    </xdr:to>
    <xdr:sp>
      <xdr:nvSpPr>
        <xdr:cNvPr id="9" name="CustomShape 1"/>
        <xdr:cNvSpPr/>
      </xdr:nvSpPr>
      <xdr:spPr>
        <a:xfrm>
          <a:off x="603360" y="262080"/>
          <a:ext cx="9801000" cy="6822000"/>
        </a:xfrm>
        <a:prstGeom prst="rect">
          <a:avLst/>
        </a:prstGeom>
        <a:solidFill>
          <a:schemeClr val="lt1"/>
        </a:solidFill>
        <a:ln w="9360">
          <a:noFill/>
        </a:ln>
      </xdr:spPr>
      <xdr:style>
        <a:lnRef idx="0"/>
        <a:fillRef idx="0"/>
        <a:effectRef idx="0"/>
        <a:fontRef idx="minor"/>
      </xdr:style>
      <xdr:txBody>
        <a:bodyPr lIns="90000" rIns="90000" tIns="45000" bIns="45000">
          <a:noAutofit/>
        </a:bodyPr>
        <a:p>
          <a:pPr algn="ctr">
            <a:lnSpc>
              <a:spcPct val="100000"/>
            </a:lnSpc>
          </a:pPr>
          <a:r>
            <a:rPr b="0" lang="en-GB" sz="3200" spc="-1" strike="noStrike" u="sng">
              <a:solidFill>
                <a:srgbClr val="000000"/>
              </a:solidFill>
              <a:uFillTx/>
              <a:latin typeface="Vodafone Lt"/>
            </a:rPr>
            <a:t>MTX Site Information</a:t>
          </a:r>
          <a:endParaRPr b="0" lang="en-US" sz="3200" spc="-1" strike="noStrike">
            <a:latin typeface="Times New Roman"/>
          </a:endParaRPr>
        </a:p>
        <a:p>
          <a:pPr algn="ctr">
            <a:lnSpc>
              <a:spcPct val="100000"/>
            </a:lnSpc>
          </a:pPr>
          <a:endParaRPr b="0" lang="en-US" sz="3200" spc="-1" strike="noStrike">
            <a:latin typeface="Times New Roman"/>
          </a:endParaRPr>
        </a:p>
        <a:p>
          <a:pPr>
            <a:lnSpc>
              <a:spcPct val="100000"/>
            </a:lnSpc>
          </a:pPr>
          <a:r>
            <a:rPr b="0" lang="en-GB" sz="2000" spc="-1" strike="noStrike">
              <a:solidFill>
                <a:srgbClr val="000000"/>
              </a:solidFill>
              <a:latin typeface="Vodafone Lt"/>
            </a:rPr>
            <a:t>The MTX sites are split into the following categories-</a:t>
          </a:r>
          <a:endParaRPr b="0" lang="en-US" sz="2000" spc="-1" strike="noStrike">
            <a:latin typeface="Times New Roman"/>
          </a:endParaRPr>
        </a:p>
        <a:p>
          <a:pPr>
            <a:lnSpc>
              <a:spcPct val="100000"/>
            </a:lnSpc>
          </a:pPr>
          <a:endParaRPr b="0" lang="en-US" sz="2000" spc="-1" strike="noStrike">
            <a:latin typeface="Times New Roman"/>
          </a:endParaRPr>
        </a:p>
        <a:p>
          <a:pPr>
            <a:lnSpc>
              <a:spcPct val="100000"/>
            </a:lnSpc>
          </a:pPr>
          <a:r>
            <a:rPr b="0" lang="en-GB" sz="2000" spc="-1" strike="noStrike" u="sng">
              <a:solidFill>
                <a:srgbClr val="000000"/>
              </a:solidFill>
              <a:uFillTx/>
              <a:latin typeface="Vodafone Lt"/>
            </a:rPr>
            <a:t>Core MTX Sites</a:t>
          </a:r>
          <a:r>
            <a:rPr b="0" lang="en-GB" sz="2000" spc="-1" strike="noStrike">
              <a:solidFill>
                <a:srgbClr val="000000"/>
              </a:solidFill>
              <a:latin typeface="Vodafone Lt"/>
            </a:rPr>
            <a:t>  contain Core Network elements (switching, messaging and IN) RAN Capability and Transmission equipment</a:t>
          </a:r>
          <a:br/>
          <a:endParaRPr b="0" lang="en-US" sz="2000" spc="-1" strike="noStrike">
            <a:latin typeface="Times New Roman"/>
          </a:endParaRPr>
        </a:p>
        <a:p>
          <a:pPr>
            <a:lnSpc>
              <a:spcPct val="100000"/>
            </a:lnSpc>
          </a:pPr>
          <a:r>
            <a:rPr b="0" lang="en-GB" sz="2000" spc="-1" strike="noStrike">
              <a:solidFill>
                <a:srgbClr val="000000"/>
              </a:solidFill>
              <a:latin typeface="Vodafone Lt"/>
            </a:rPr>
            <a:t>x9 strategic sites for new Core deployment</a:t>
          </a:r>
          <a:endParaRPr b="0" lang="en-US" sz="2000" spc="-1" strike="noStrike">
            <a:latin typeface="Times New Roman"/>
          </a:endParaRPr>
        </a:p>
        <a:p>
          <a:pPr>
            <a:lnSpc>
              <a:spcPct val="100000"/>
            </a:lnSpc>
          </a:pPr>
          <a:endParaRPr b="0" lang="en-US" sz="2000" spc="-1" strike="noStrike">
            <a:latin typeface="Times New Roman"/>
          </a:endParaRPr>
        </a:p>
        <a:p>
          <a:pPr>
            <a:lnSpc>
              <a:spcPct val="100000"/>
            </a:lnSpc>
          </a:pPr>
          <a:r>
            <a:rPr b="0" lang="en-GB" sz="2000" spc="-1" strike="noStrike">
              <a:solidFill>
                <a:srgbClr val="000000"/>
              </a:solidFill>
              <a:latin typeface="Vodafone Lt"/>
            </a:rPr>
            <a:t>x5 non-strategic sites closed to new Core deployment</a:t>
          </a:r>
          <a:endParaRPr b="0" lang="en-US" sz="2000" spc="-1" strike="noStrike">
            <a:latin typeface="Times New Roman"/>
          </a:endParaRPr>
        </a:p>
        <a:p>
          <a:pPr>
            <a:lnSpc>
              <a:spcPct val="100000"/>
            </a:lnSpc>
          </a:pPr>
          <a:endParaRPr b="0" lang="en-US" sz="2000" spc="-1" strike="noStrike">
            <a:latin typeface="Times New Roman"/>
          </a:endParaRPr>
        </a:p>
        <a:p>
          <a:pPr>
            <a:lnSpc>
              <a:spcPct val="100000"/>
            </a:lnSpc>
          </a:pPr>
          <a:r>
            <a:rPr b="0" lang="en-GB" sz="2000" spc="-1" strike="noStrike" u="sng">
              <a:solidFill>
                <a:srgbClr val="000000"/>
              </a:solidFill>
              <a:uFillTx/>
              <a:latin typeface="Vodafone Lt"/>
            </a:rPr>
            <a:t>Network Aggregation Sites</a:t>
          </a:r>
          <a:r>
            <a:rPr b="0" lang="en-GB" sz="2000" spc="-1" strike="noStrike">
              <a:solidFill>
                <a:srgbClr val="000000"/>
              </a:solidFill>
              <a:latin typeface="Vodafone Lt"/>
            </a:rPr>
            <a:t> </a:t>
          </a:r>
          <a:br/>
          <a:endParaRPr b="0" lang="en-US" sz="2000" spc="-1" strike="noStrike">
            <a:latin typeface="Times New Roman"/>
          </a:endParaRPr>
        </a:p>
        <a:p>
          <a:pPr>
            <a:lnSpc>
              <a:spcPct val="100000"/>
            </a:lnSpc>
          </a:pPr>
          <a:r>
            <a:rPr b="0" lang="en-GB" sz="2000" spc="-1" strike="noStrike">
              <a:solidFill>
                <a:srgbClr val="000000"/>
              </a:solidFill>
              <a:latin typeface="Vodafone Lt"/>
            </a:rPr>
            <a:t>x12 sites that generally only contain RAN Capability and Transmission equipment</a:t>
          </a:r>
          <a:endParaRPr b="0" lang="en-US" sz="2000" spc="-1" strike="noStrike">
            <a:latin typeface="Times New Roman"/>
          </a:endParaRPr>
        </a:p>
        <a:p>
          <a:pPr>
            <a:lnSpc>
              <a:spcPct val="100000"/>
            </a:lnSpc>
          </a:pPr>
          <a:endParaRPr b="0" lang="en-US" sz="2000" spc="-1" strike="noStrike">
            <a:latin typeface="Times New Roman"/>
          </a:endParaRPr>
        </a:p>
        <a:p>
          <a:pPr>
            <a:lnSpc>
              <a:spcPct val="100000"/>
            </a:lnSpc>
          </a:pPr>
          <a:r>
            <a:rPr b="0" lang="en-GB" sz="2000" spc="-1" strike="noStrike">
              <a:solidFill>
                <a:srgbClr val="000000"/>
              </a:solidFill>
              <a:latin typeface="Vodafone Lt"/>
            </a:rPr>
            <a:t>x2 sites that only contain Transmission equipment</a:t>
          </a:r>
          <a:endParaRPr b="0" lang="en-US" sz="2000" spc="-1" strike="noStrike">
            <a:latin typeface="Times New Roman"/>
          </a:endParaRPr>
        </a:p>
        <a:p>
          <a:pPr>
            <a:lnSpc>
              <a:spcPct val="100000"/>
            </a:lnSpc>
          </a:pPr>
          <a:endParaRPr b="0" lang="en-US" sz="2000" spc="-1" strike="noStrike">
            <a:latin typeface="Times New Roman"/>
          </a:endParaRPr>
        </a:p>
        <a:p>
          <a:pPr>
            <a:lnSpc>
              <a:spcPct val="100000"/>
            </a:lnSpc>
          </a:pPr>
          <a:r>
            <a:rPr b="0" lang="en-GB" sz="2000" spc="-1" strike="noStrike">
              <a:solidFill>
                <a:srgbClr val="000000"/>
              </a:solidFill>
              <a:latin typeface="Vodafone Lt"/>
            </a:rPr>
            <a:t>Canal House Computer Room at XNY has been included in the report as it is under Networks control</a:t>
          </a:r>
          <a:endParaRPr b="0" lang="en-US" sz="2000" spc="-1" strike="noStrike">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5</xdr:col>
      <xdr:colOff>76320</xdr:colOff>
      <xdr:row>0</xdr:row>
      <xdr:rowOff>9360</xdr:rowOff>
    </xdr:from>
    <xdr:to>
      <xdr:col>22</xdr:col>
      <xdr:colOff>203040</xdr:colOff>
      <xdr:row>3</xdr:row>
      <xdr:rowOff>113760</xdr:rowOff>
    </xdr:to>
    <xdr:sp>
      <xdr:nvSpPr>
        <xdr:cNvPr id="10" name="CustomShape 1"/>
        <xdr:cNvSpPr/>
      </xdr:nvSpPr>
      <xdr:spPr>
        <a:xfrm>
          <a:off x="2523960" y="9360"/>
          <a:ext cx="8449920" cy="491040"/>
        </a:xfrm>
        <a:prstGeom prst="rect">
          <a:avLst/>
        </a:prstGeom>
        <a:solidFill>
          <a:schemeClr val="lt1"/>
        </a:solidFill>
        <a:ln w="9360">
          <a:noFill/>
        </a:ln>
      </xdr:spPr>
      <xdr:style>
        <a:lnRef idx="0"/>
        <a:fillRef idx="0"/>
        <a:effectRef idx="0"/>
        <a:fontRef idx="minor"/>
      </xdr:style>
      <xdr:txBody>
        <a:bodyPr lIns="90000" rIns="90000" tIns="45000" bIns="45000">
          <a:noAutofit/>
        </a:bodyPr>
        <a:p>
          <a:pPr algn="ctr">
            <a:lnSpc>
              <a:spcPts val="3300"/>
            </a:lnSpc>
            <a:tabLst>
              <a:tab algn="l" pos="0"/>
            </a:tabLst>
          </a:pPr>
          <a:r>
            <a:rPr b="1" lang="en-GB" sz="3600" spc="-1" strike="noStrike">
              <a:solidFill>
                <a:srgbClr val="000000"/>
              </a:solidFill>
              <a:latin typeface="Vodafone Lt"/>
            </a:rPr>
            <a:t>Strategic Core MTX Sites - Power Breakdown</a:t>
          </a:r>
          <a:endParaRPr b="0" lang="en-US" sz="3600" spc="-1" strike="noStrike">
            <a:latin typeface="Times New Roman"/>
          </a:endParaRPr>
        </a:p>
        <a:p>
          <a:pPr>
            <a:lnSpc>
              <a:spcPts val="1100"/>
            </a:lnSpc>
            <a:tabLst>
              <a:tab algn="l" pos="0"/>
            </a:tabLst>
          </a:pPr>
          <a:endParaRPr b="0" lang="en-US" sz="3600" spc="-1" strike="noStrike">
            <a:latin typeface="Times New Roman"/>
          </a:endParaRPr>
        </a:p>
      </xdr:txBody>
    </xdr:sp>
    <xdr:clientData/>
  </xdr:twoCellAnchor>
  <xdr:twoCellAnchor editAs="twoCell">
    <xdr:from>
      <xdr:col>0</xdr:col>
      <xdr:colOff>312840</xdr:colOff>
      <xdr:row>61</xdr:row>
      <xdr:rowOff>108720</xdr:rowOff>
    </xdr:from>
    <xdr:to>
      <xdr:col>26</xdr:col>
      <xdr:colOff>27000</xdr:colOff>
      <xdr:row>73</xdr:row>
      <xdr:rowOff>108360</xdr:rowOff>
    </xdr:to>
    <xdr:sp>
      <xdr:nvSpPr>
        <xdr:cNvPr id="11" name="CustomShape 1"/>
        <xdr:cNvSpPr/>
      </xdr:nvSpPr>
      <xdr:spPr>
        <a:xfrm>
          <a:off x="312840" y="7971840"/>
          <a:ext cx="12443040" cy="154656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ts val="1500"/>
            </a:lnSpc>
            <a:spcBef>
              <a:spcPts val="601"/>
            </a:spcBef>
            <a:tabLst>
              <a:tab algn="l" pos="0"/>
            </a:tabLst>
          </a:pPr>
          <a:endParaRPr b="0" lang="en-US" sz="1200" spc="-1" strike="noStrike">
            <a:latin typeface="Times New Roman"/>
          </a:endParaRPr>
        </a:p>
        <a:p>
          <a:pPr>
            <a:lnSpc>
              <a:spcPts val="1500"/>
            </a:lnSpc>
            <a:spcBef>
              <a:spcPts val="601"/>
            </a:spcBef>
            <a:tabLst>
              <a:tab algn="l" pos="0"/>
            </a:tabLst>
          </a:pPr>
          <a:r>
            <a:rPr b="0" lang="en-GB" sz="2000" spc="-1" strike="noStrike">
              <a:solidFill>
                <a:srgbClr val="000000"/>
              </a:solidFill>
              <a:latin typeface="Vodafone Lt"/>
            </a:rPr>
            <a:t>Power capability is defined as the maximum power available to technology given each building's infrastructure capability</a:t>
          </a:r>
          <a:endParaRPr b="0" lang="en-US" sz="2000" spc="-1" strike="noStrike">
            <a:latin typeface="Times New Roman"/>
          </a:endParaRPr>
        </a:p>
        <a:p>
          <a:pPr>
            <a:lnSpc>
              <a:spcPts val="1500"/>
            </a:lnSpc>
            <a:spcBef>
              <a:spcPts val="601"/>
            </a:spcBef>
            <a:tabLst>
              <a:tab algn="l" pos="0"/>
            </a:tabLst>
          </a:pPr>
          <a:r>
            <a:rPr b="0" lang="en-GB" sz="2000" spc="-1" strike="noStrike">
              <a:solidFill>
                <a:srgbClr val="000000"/>
              </a:solidFill>
              <a:latin typeface="Vodafone Lt"/>
            </a:rPr>
            <a:t>The remaining power capability at XMS is reserved for Virtulisation and is not currently deployed</a:t>
          </a:r>
          <a:endParaRPr b="0" lang="en-US" sz="2000" spc="-1" strike="noStrike">
            <a:latin typeface="Times New Roman"/>
          </a:endParaRPr>
        </a:p>
        <a:p>
          <a:pPr>
            <a:lnSpc>
              <a:spcPts val="2001"/>
            </a:lnSpc>
            <a:spcBef>
              <a:spcPts val="601"/>
            </a:spcBef>
            <a:spcAft>
              <a:spcPts val="601"/>
            </a:spcAft>
            <a:tabLst>
              <a:tab algn="l" pos="0"/>
            </a:tabLst>
          </a:pPr>
          <a:endParaRPr b="0" lang="en-US" sz="2000" spc="-1" strike="noStrike">
            <a:latin typeface="Times New Roman"/>
          </a:endParaRPr>
        </a:p>
        <a:p>
          <a:pPr>
            <a:lnSpc>
              <a:spcPts val="1500"/>
            </a:lnSpc>
            <a:tabLst>
              <a:tab algn="l" pos="0"/>
            </a:tabLst>
          </a:pPr>
          <a:endParaRPr b="0" lang="en-US" sz="2000" spc="-1" strike="noStrike">
            <a:latin typeface="Times New Roman"/>
          </a:endParaRPr>
        </a:p>
        <a:p>
          <a:pPr>
            <a:lnSpc>
              <a:spcPts val="1800"/>
            </a:lnSpc>
            <a:tabLst>
              <a:tab algn="l" pos="0"/>
            </a:tabLst>
          </a:pPr>
          <a:endParaRPr b="0" lang="en-US" sz="2000" spc="-1" strike="noStrike">
            <a:latin typeface="Times New Roman"/>
          </a:endParaRPr>
        </a:p>
        <a:p>
          <a:pPr>
            <a:lnSpc>
              <a:spcPts val="1899"/>
            </a:lnSpc>
            <a:tabLst>
              <a:tab algn="l" pos="0"/>
            </a:tabLst>
          </a:pPr>
          <a:endParaRPr b="0" lang="en-US" sz="2000" spc="-1" strike="noStrike">
            <a:latin typeface="Times New Roman"/>
          </a:endParaRPr>
        </a:p>
        <a:p>
          <a:pPr>
            <a:lnSpc>
              <a:spcPts val="1800"/>
            </a:lnSpc>
            <a:tabLst>
              <a:tab algn="l" pos="0"/>
            </a:tabLst>
          </a:pPr>
          <a:endParaRPr b="0" lang="en-US" sz="2000" spc="-1" strike="noStrike">
            <a:latin typeface="Times New Roman"/>
          </a:endParaRPr>
        </a:p>
      </xdr:txBody>
    </xdr:sp>
    <xdr:clientData/>
  </xdr:twoCellAnchor>
  <xdr:twoCellAnchor editAs="twoCell">
    <xdr:from>
      <xdr:col>6</xdr:col>
      <xdr:colOff>139680</xdr:colOff>
      <xdr:row>6</xdr:row>
      <xdr:rowOff>50760</xdr:rowOff>
    </xdr:from>
    <xdr:to>
      <xdr:col>16</xdr:col>
      <xdr:colOff>341640</xdr:colOff>
      <xdr:row>9</xdr:row>
      <xdr:rowOff>20880</xdr:rowOff>
    </xdr:to>
    <xdr:sp>
      <xdr:nvSpPr>
        <xdr:cNvPr id="12" name="CustomShape 1"/>
        <xdr:cNvSpPr/>
      </xdr:nvSpPr>
      <xdr:spPr>
        <a:xfrm>
          <a:off x="3076920" y="824040"/>
          <a:ext cx="5097960" cy="35676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gn="ctr">
            <a:lnSpc>
              <a:spcPct val="100000"/>
            </a:lnSpc>
          </a:pPr>
          <a:r>
            <a:rPr b="0" lang="en-GB" sz="2000" spc="-1" strike="noStrike">
              <a:solidFill>
                <a:srgbClr val="000000"/>
              </a:solidFill>
              <a:latin typeface="Vodafone Lt"/>
            </a:rPr>
            <a:t>STRATEGIC SITES FOR NEW CORE DEPLOYMENT</a:t>
          </a:r>
          <a:br/>
          <a:br/>
          <a:endParaRPr b="0" lang="en-US" sz="2000" spc="-1" strike="noStrike">
            <a:latin typeface="Times New Roman"/>
          </a:endParaRPr>
        </a:p>
      </xdr:txBody>
    </xdr:sp>
    <xdr:clientData/>
  </xdr:twoCellAnchor>
  <xdr:twoCellAnchor editAs="twoCell">
    <xdr:from>
      <xdr:col>22</xdr:col>
      <xdr:colOff>355680</xdr:colOff>
      <xdr:row>37</xdr:row>
      <xdr:rowOff>101520</xdr:rowOff>
    </xdr:from>
    <xdr:to>
      <xdr:col>24</xdr:col>
      <xdr:colOff>469800</xdr:colOff>
      <xdr:row>39</xdr:row>
      <xdr:rowOff>113760</xdr:rowOff>
    </xdr:to>
    <xdr:sp>
      <xdr:nvSpPr>
        <xdr:cNvPr id="13" name="CustomShape 1"/>
        <xdr:cNvSpPr/>
      </xdr:nvSpPr>
      <xdr:spPr>
        <a:xfrm>
          <a:off x="11126520" y="4870800"/>
          <a:ext cx="1093320" cy="27000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ct val="100000"/>
            </a:lnSpc>
          </a:pPr>
          <a:r>
            <a:rPr b="0" lang="en-GB" sz="1600" spc="-1" strike="noStrike">
              <a:solidFill>
                <a:srgbClr val="000000"/>
              </a:solidFill>
              <a:latin typeface="Vodafone Lt"/>
            </a:rPr>
            <a:t>* - CHE SITEC</a:t>
          </a:r>
          <a:endParaRPr b="0" lang="en-US" sz="1600" spc="-1" strike="noStrike">
            <a:latin typeface="Times New Roman"/>
          </a:endParaRPr>
        </a:p>
      </xdr:txBody>
    </xdr:sp>
    <xdr:clientData/>
  </xdr:twoCellAnchor>
  <xdr:twoCellAnchor editAs="twoCell">
    <xdr:from>
      <xdr:col>0</xdr:col>
      <xdr:colOff>355680</xdr:colOff>
      <xdr:row>24</xdr:row>
      <xdr:rowOff>38160</xdr:rowOff>
    </xdr:from>
    <xdr:to>
      <xdr:col>1</xdr:col>
      <xdr:colOff>344520</xdr:colOff>
      <xdr:row>34</xdr:row>
      <xdr:rowOff>56880</xdr:rowOff>
    </xdr:to>
    <xdr:sp>
      <xdr:nvSpPr>
        <xdr:cNvPr id="14" name="CustomShape 1"/>
        <xdr:cNvSpPr/>
      </xdr:nvSpPr>
      <xdr:spPr>
        <a:xfrm>
          <a:off x="355680" y="3131640"/>
          <a:ext cx="478080" cy="1307880"/>
        </a:xfrm>
        <a:prstGeom prst="rect">
          <a:avLst/>
        </a:prstGeom>
        <a:noFill/>
        <a:ln>
          <a:noFill/>
        </a:ln>
      </xdr:spPr>
      <xdr:style>
        <a:lnRef idx="0"/>
        <a:fillRef idx="0"/>
        <a:effectRef idx="0"/>
        <a:fontRef idx="minor"/>
      </xdr:style>
      <xdr:txBody>
        <a:bodyPr lIns="90000" rIns="90000" tIns="45000" bIns="45000" vert="vert270" rot="16200000">
          <a:noAutofit/>
        </a:bodyPr>
        <a:p>
          <a:pPr>
            <a:lnSpc>
              <a:spcPct val="100000"/>
            </a:lnSpc>
          </a:pPr>
          <a:r>
            <a:rPr b="0" lang="en-GB" sz="2000" spc="-1" strike="noStrike">
              <a:solidFill>
                <a:srgbClr val="000000"/>
              </a:solidFill>
              <a:latin typeface="Vodafone Lt"/>
            </a:rPr>
            <a:t>Power (kW)</a:t>
          </a:r>
          <a:endParaRPr b="0" lang="en-US" sz="200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127080</xdr:colOff>
      <xdr:row>75</xdr:row>
      <xdr:rowOff>0</xdr:rowOff>
    </xdr:from>
    <xdr:to>
      <xdr:col>31</xdr:col>
      <xdr:colOff>253800</xdr:colOff>
      <xdr:row>83</xdr:row>
      <xdr:rowOff>47160</xdr:rowOff>
    </xdr:to>
    <xdr:sp>
      <xdr:nvSpPr>
        <xdr:cNvPr id="15" name="CustomShape 1"/>
        <xdr:cNvSpPr/>
      </xdr:nvSpPr>
      <xdr:spPr>
        <a:xfrm>
          <a:off x="127080" y="10181520"/>
          <a:ext cx="15303600" cy="107820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ts val="1899"/>
            </a:lnSpc>
            <a:spcAft>
              <a:spcPts val="901"/>
            </a:spcAft>
            <a:tabLst>
              <a:tab algn="l" pos="0"/>
            </a:tabLst>
          </a:pPr>
          <a:r>
            <a:rPr b="0" lang="en-GB" sz="2400" spc="-1" strike="noStrike">
              <a:solidFill>
                <a:srgbClr val="000000"/>
              </a:solidFill>
              <a:latin typeface="Vodafone Lt"/>
            </a:rPr>
            <a:t>Derived AC expansion and deployed capability is subject to DC power availability at each site</a:t>
          </a:r>
          <a:endParaRPr b="0" lang="en-US" sz="2400" spc="-1" strike="noStrike">
            <a:latin typeface="Times New Roman"/>
          </a:endParaRPr>
        </a:p>
        <a:p>
          <a:pPr>
            <a:lnSpc>
              <a:spcPts val="1899"/>
            </a:lnSpc>
            <a:spcAft>
              <a:spcPts val="901"/>
            </a:spcAft>
            <a:tabLst>
              <a:tab algn="l" pos="0"/>
            </a:tabLst>
          </a:pPr>
          <a:r>
            <a:rPr b="0" lang="en-GB" sz="2400" spc="-1" strike="noStrike">
              <a:solidFill>
                <a:srgbClr val="000000"/>
              </a:solidFill>
              <a:latin typeface="Vodafone Lt"/>
            </a:rPr>
            <a:t>The reserved and forecast figures at XBE, XMS and XLD are for Virtulisation use</a:t>
          </a:r>
          <a:endParaRPr b="0" lang="en-US" sz="2400" spc="-1" strike="noStrike">
            <a:latin typeface="Times New Roman"/>
          </a:endParaRPr>
        </a:p>
        <a:p>
          <a:pPr>
            <a:lnSpc>
              <a:spcPts val="1899"/>
            </a:lnSpc>
            <a:spcAft>
              <a:spcPts val="901"/>
            </a:spcAft>
            <a:tabLst>
              <a:tab algn="l" pos="0"/>
            </a:tabLst>
          </a:pPr>
          <a:r>
            <a:rPr b="0" lang="en-GB" sz="2400" spc="-1" strike="noStrike">
              <a:solidFill>
                <a:srgbClr val="000000"/>
              </a:solidFill>
              <a:latin typeface="Vodafone Lt"/>
            </a:rPr>
            <a:t>IC13GL, IC14GL, IC12LD and IC13LD are TSi inverter systems for Voicemail use</a:t>
          </a:r>
          <a:endParaRPr b="0" lang="en-US" sz="2400" spc="-1" strike="noStrike">
            <a:latin typeface="Times New Roman"/>
          </a:endParaRPr>
        </a:p>
        <a:p>
          <a:pPr>
            <a:lnSpc>
              <a:spcPts val="2001"/>
            </a:lnSpc>
            <a:tabLst>
              <a:tab algn="l" pos="0"/>
            </a:tabLst>
          </a:pPr>
          <a:endParaRPr b="0" lang="en-US" sz="2400" spc="-1" strike="noStrike">
            <a:latin typeface="Times New Roman"/>
          </a:endParaRPr>
        </a:p>
        <a:p>
          <a:pPr>
            <a:lnSpc>
              <a:spcPts val="2001"/>
            </a:lnSpc>
            <a:tabLst>
              <a:tab algn="l" pos="0"/>
            </a:tabLst>
          </a:pPr>
          <a:endParaRPr b="0" lang="en-US" sz="2400" spc="-1" strike="noStrike">
            <a:latin typeface="Times New Roman"/>
          </a:endParaRPr>
        </a:p>
        <a:p>
          <a:pPr>
            <a:lnSpc>
              <a:spcPts val="1899"/>
            </a:lnSpc>
            <a:tabLst>
              <a:tab algn="l" pos="0"/>
            </a:tabLst>
          </a:pPr>
          <a:endParaRPr b="0" lang="en-US" sz="2400" spc="-1" strike="noStrike">
            <a:latin typeface="Times New Roman"/>
          </a:endParaRPr>
        </a:p>
        <a:p>
          <a:pPr>
            <a:lnSpc>
              <a:spcPts val="1400"/>
            </a:lnSpc>
            <a:tabLst>
              <a:tab algn="l" pos="0"/>
            </a:tabLst>
          </a:pPr>
          <a:r>
            <a:rPr b="0" lang="en-GB" sz="1400" spc="-1" strike="noStrike">
              <a:solidFill>
                <a:srgbClr val="000000"/>
              </a:solidFill>
              <a:latin typeface="Vodafone Lt"/>
            </a:rPr>
            <a:t> </a:t>
          </a:r>
          <a:endParaRPr b="0" lang="en-US" sz="1400" spc="-1" strike="noStrike">
            <a:latin typeface="Times New Roman"/>
          </a:endParaRPr>
        </a:p>
      </xdr:txBody>
    </xdr:sp>
    <xdr:clientData/>
  </xdr:twoCellAnchor>
  <xdr:twoCellAnchor editAs="twoCell">
    <xdr:from>
      <xdr:col>8</xdr:col>
      <xdr:colOff>435600</xdr:colOff>
      <xdr:row>0</xdr:row>
      <xdr:rowOff>9360</xdr:rowOff>
    </xdr:from>
    <xdr:to>
      <xdr:col>21</xdr:col>
      <xdr:colOff>298440</xdr:colOff>
      <xdr:row>4</xdr:row>
      <xdr:rowOff>54000</xdr:rowOff>
    </xdr:to>
    <xdr:sp>
      <xdr:nvSpPr>
        <xdr:cNvPr id="16" name="CustomShape 1"/>
        <xdr:cNvSpPr/>
      </xdr:nvSpPr>
      <xdr:spPr>
        <a:xfrm>
          <a:off x="4352040" y="9360"/>
          <a:ext cx="6227640" cy="560160"/>
        </a:xfrm>
        <a:prstGeom prst="rect">
          <a:avLst/>
        </a:prstGeom>
        <a:solidFill>
          <a:schemeClr val="lt1"/>
        </a:solidFill>
        <a:ln w="9360">
          <a:noFill/>
        </a:ln>
      </xdr:spPr>
      <xdr:style>
        <a:lnRef idx="0"/>
        <a:fillRef idx="0"/>
        <a:effectRef idx="0"/>
        <a:fontRef idx="minor"/>
      </xdr:style>
      <xdr:txBody>
        <a:bodyPr lIns="90000" rIns="90000" tIns="45000" bIns="45000">
          <a:noAutofit/>
        </a:bodyPr>
        <a:p>
          <a:pPr algn="ctr">
            <a:lnSpc>
              <a:spcPct val="100000"/>
            </a:lnSpc>
          </a:pPr>
          <a:r>
            <a:rPr b="1" lang="en-GB" sz="3800" spc="-1" strike="noStrike">
              <a:solidFill>
                <a:srgbClr val="000000"/>
              </a:solidFill>
              <a:latin typeface="Vodafone Lt"/>
            </a:rPr>
            <a:t> </a:t>
          </a:r>
          <a:r>
            <a:rPr b="1" lang="en-GB" sz="3800" spc="-1" strike="noStrike">
              <a:solidFill>
                <a:srgbClr val="000000"/>
              </a:solidFill>
              <a:latin typeface="Vodafone Lt"/>
            </a:rPr>
            <a:t>CHE Sites - Power Breakdown</a:t>
          </a:r>
          <a:endParaRPr b="0" lang="en-US" sz="3800" spc="-1" strike="noStrike">
            <a:latin typeface="Times New Roman"/>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196920</xdr:colOff>
      <xdr:row>14</xdr:row>
      <xdr:rowOff>108720</xdr:rowOff>
    </xdr:from>
    <xdr:to>
      <xdr:col>1</xdr:col>
      <xdr:colOff>135720</xdr:colOff>
      <xdr:row>23</xdr:row>
      <xdr:rowOff>128520</xdr:rowOff>
    </xdr:to>
    <xdr:sp>
      <xdr:nvSpPr>
        <xdr:cNvPr id="17" name="CustomShape 1"/>
        <xdr:cNvSpPr/>
      </xdr:nvSpPr>
      <xdr:spPr>
        <a:xfrm>
          <a:off x="196920" y="1913040"/>
          <a:ext cx="428040" cy="1180080"/>
        </a:xfrm>
        <a:prstGeom prst="rect">
          <a:avLst/>
        </a:prstGeom>
        <a:solidFill>
          <a:srgbClr val="ffffff"/>
        </a:solidFill>
        <a:ln w="9360">
          <a:noFill/>
        </a:ln>
      </xdr:spPr>
      <xdr:style>
        <a:lnRef idx="0"/>
        <a:fillRef idx="0"/>
        <a:effectRef idx="0"/>
        <a:fontRef idx="minor"/>
      </xdr:style>
      <xdr:txBody>
        <a:bodyPr lIns="90000" rIns="90000" tIns="45000" bIns="45000" vert="vert270" rot="16200000">
          <a:noAutofit/>
        </a:bodyPr>
        <a:p>
          <a:pPr>
            <a:lnSpc>
              <a:spcPct val="100000"/>
            </a:lnSpc>
            <a:tabLst>
              <a:tab algn="l" pos="0"/>
            </a:tabLst>
          </a:pPr>
          <a:r>
            <a:rPr b="0" lang="en-GB" sz="2000" spc="-1" strike="noStrike">
              <a:solidFill>
                <a:srgbClr val="000000"/>
              </a:solidFill>
              <a:latin typeface="Vodafone Lt"/>
            </a:rPr>
            <a:t>Power (kW)</a:t>
          </a:r>
          <a:endParaRPr b="0" lang="en-US" sz="2000" spc="-1" strike="noStrike">
            <a:latin typeface="Times New Roman"/>
          </a:endParaRPr>
        </a:p>
      </xdr:txBody>
    </xdr:sp>
    <xdr:clientData/>
  </xdr:twoCellAnchor>
  <xdr:twoCellAnchor editAs="twoCell">
    <xdr:from>
      <xdr:col>4</xdr:col>
      <xdr:colOff>215280</xdr:colOff>
      <xdr:row>0</xdr:row>
      <xdr:rowOff>64440</xdr:rowOff>
    </xdr:from>
    <xdr:to>
      <xdr:col>20</xdr:col>
      <xdr:colOff>291240</xdr:colOff>
      <xdr:row>5</xdr:row>
      <xdr:rowOff>13320</xdr:rowOff>
    </xdr:to>
    <xdr:sp>
      <xdr:nvSpPr>
        <xdr:cNvPr id="18" name="CustomShape 1"/>
        <xdr:cNvSpPr/>
      </xdr:nvSpPr>
      <xdr:spPr>
        <a:xfrm>
          <a:off x="2173320" y="64440"/>
          <a:ext cx="7909560" cy="593280"/>
        </a:xfrm>
        <a:prstGeom prst="rect">
          <a:avLst/>
        </a:prstGeom>
        <a:solidFill>
          <a:schemeClr val="lt1"/>
        </a:solidFill>
        <a:ln w="9360">
          <a:noFill/>
        </a:ln>
      </xdr:spPr>
      <xdr:style>
        <a:lnRef idx="0"/>
        <a:fillRef idx="0"/>
        <a:effectRef idx="0"/>
        <a:fontRef idx="minor"/>
      </xdr:style>
      <xdr:txBody>
        <a:bodyPr lIns="90000" rIns="90000" tIns="45000" bIns="45000">
          <a:noAutofit/>
        </a:bodyPr>
        <a:p>
          <a:pPr algn="ctr">
            <a:lnSpc>
              <a:spcPct val="100000"/>
            </a:lnSpc>
            <a:tabLst>
              <a:tab algn="l" pos="0"/>
            </a:tabLst>
          </a:pPr>
          <a:r>
            <a:rPr b="1" lang="en-GB" sz="3600" spc="-1" strike="noStrike">
              <a:solidFill>
                <a:srgbClr val="000000"/>
              </a:solidFill>
              <a:latin typeface="Vodafone Lt"/>
            </a:rPr>
            <a:t>Strategic Sites (Non- CHE) - Plant Usage</a:t>
          </a:r>
          <a:endParaRPr b="0" lang="en-US" sz="3600" spc="-1" strike="noStrike">
            <a:latin typeface="Times New Roman"/>
          </a:endParaRPr>
        </a:p>
        <a:p>
          <a:pPr>
            <a:lnSpc>
              <a:spcPct val="100000"/>
            </a:lnSpc>
            <a:tabLst>
              <a:tab algn="l" pos="0"/>
            </a:tabLst>
          </a:pPr>
          <a:endParaRPr b="0" lang="en-US" sz="3600" spc="-1" strike="noStrike">
            <a:latin typeface="Times New Roman"/>
          </a:endParaRPr>
        </a:p>
      </xdr:txBody>
    </xdr:sp>
    <xdr:clientData/>
  </xdr:twoCellAnchor>
  <xdr:twoCellAnchor editAs="twoCell">
    <xdr:from>
      <xdr:col>16</xdr:col>
      <xdr:colOff>176760</xdr:colOff>
      <xdr:row>40</xdr:row>
      <xdr:rowOff>11160</xdr:rowOff>
    </xdr:from>
    <xdr:to>
      <xdr:col>26</xdr:col>
      <xdr:colOff>67680</xdr:colOff>
      <xdr:row>68</xdr:row>
      <xdr:rowOff>6840</xdr:rowOff>
    </xdr:to>
    <xdr:sp>
      <xdr:nvSpPr>
        <xdr:cNvPr id="19" name="CustomShape 1"/>
        <xdr:cNvSpPr/>
      </xdr:nvSpPr>
      <xdr:spPr>
        <a:xfrm>
          <a:off x="8010000" y="5167080"/>
          <a:ext cx="4786560" cy="3605040"/>
        </a:xfrm>
        <a:prstGeom prst="rect">
          <a:avLst/>
        </a:prstGeom>
        <a:solidFill>
          <a:srgbClr val="ffffff"/>
        </a:solidFill>
        <a:ln w="9360">
          <a:noFill/>
        </a:ln>
      </xdr:spPr>
      <xdr:style>
        <a:lnRef idx="0"/>
        <a:fillRef idx="0"/>
        <a:effectRef idx="0"/>
        <a:fontRef idx="minor"/>
      </xdr:style>
      <xdr:txBody>
        <a:bodyPr lIns="90000" rIns="90000" tIns="45000" bIns="45000">
          <a:noAutofit/>
        </a:bodyPr>
        <a:p>
          <a:pPr>
            <a:lnSpc>
              <a:spcPct val="100000"/>
            </a:lnSpc>
            <a:tabLst>
              <a:tab algn="l" pos="0"/>
            </a:tabLst>
          </a:pPr>
          <a:r>
            <a:rPr b="0" lang="en-GB" sz="2000" spc="-1" strike="noStrike">
              <a:solidFill>
                <a:srgbClr val="000000"/>
              </a:solidFill>
              <a:latin typeface="Vodafone Lt"/>
            </a:rPr>
            <a:t>AC expansion and deployed capability is subject to DC power availability at each site</a:t>
          </a:r>
          <a:endParaRPr b="0" lang="en-US" sz="2000" spc="-1" strike="noStrike">
            <a:latin typeface="Times New Roman"/>
          </a:endParaRPr>
        </a:p>
        <a:p>
          <a:pPr>
            <a:lnSpc>
              <a:spcPct val="100000"/>
            </a:lnSpc>
            <a:tabLst>
              <a:tab algn="l" pos="0"/>
            </a:tabLst>
          </a:pPr>
          <a:endParaRPr b="0" lang="en-US" sz="2000" spc="-1" strike="noStrike">
            <a:latin typeface="Times New Roman"/>
          </a:endParaRPr>
        </a:p>
        <a:p>
          <a:pPr>
            <a:lnSpc>
              <a:spcPct val="100000"/>
            </a:lnSpc>
            <a:tabLst>
              <a:tab algn="l" pos="0"/>
            </a:tabLst>
          </a:pPr>
          <a:r>
            <a:rPr b="0" lang="en-GB" sz="2000" spc="-1" strike="noStrike">
              <a:solidFill>
                <a:srgbClr val="000000"/>
              </a:solidFill>
              <a:latin typeface="Vodafone Lt"/>
            </a:rPr>
            <a:t>HLR and DSC cabs at XCY and XGR are installed and included in the forecast figures , but not due to be powered on until 2018</a:t>
          </a:r>
          <a:endParaRPr b="0" lang="en-US" sz="2000" spc="-1" strike="noStrike">
            <a:latin typeface="Times New Roman"/>
          </a:endParaRPr>
        </a:p>
        <a:p>
          <a:pPr>
            <a:lnSpc>
              <a:spcPct val="100000"/>
            </a:lnSpc>
            <a:tabLst>
              <a:tab algn="l" pos="0"/>
            </a:tabLst>
          </a:pPr>
          <a:endParaRPr b="0" lang="en-US" sz="2000" spc="-1" strike="noStrike">
            <a:latin typeface="Times New Roman"/>
          </a:endParaRPr>
        </a:p>
        <a:p>
          <a:pPr>
            <a:lnSpc>
              <a:spcPct val="100000"/>
            </a:lnSpc>
            <a:tabLst>
              <a:tab algn="l" pos="0"/>
            </a:tabLst>
          </a:pPr>
          <a:r>
            <a:rPr b="0" lang="en-GB" sz="2000" spc="-1" strike="noStrike">
              <a:solidFill>
                <a:srgbClr val="000000"/>
              </a:solidFill>
              <a:latin typeface="Vodafone Lt"/>
            </a:rPr>
            <a:t>IC5AN is reserved for security cab use</a:t>
          </a:r>
          <a:endParaRPr b="0" lang="en-US" sz="2000" spc="-1" strike="noStrike">
            <a:latin typeface="Times New Roman"/>
          </a:endParaRPr>
        </a:p>
        <a:p>
          <a:pPr>
            <a:lnSpc>
              <a:spcPct val="100000"/>
            </a:lnSpc>
            <a:tabLst>
              <a:tab algn="l" pos="0"/>
            </a:tabLst>
          </a:pPr>
          <a:endParaRPr b="0" lang="en-US" sz="2000" spc="-1" strike="noStrike">
            <a:latin typeface="Times New Roman"/>
          </a:endParaRPr>
        </a:p>
        <a:p>
          <a:pPr>
            <a:lnSpc>
              <a:spcPts val="1800"/>
            </a:lnSpc>
            <a:tabLst>
              <a:tab algn="l" pos="0"/>
            </a:tabLst>
          </a:pPr>
          <a:endParaRPr b="0" lang="en-US" sz="2000" spc="-1" strike="noStrike">
            <a:latin typeface="Times New Roman"/>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14</xdr:col>
      <xdr:colOff>438120</xdr:colOff>
      <xdr:row>2</xdr:row>
      <xdr:rowOff>19080</xdr:rowOff>
    </xdr:from>
    <xdr:to>
      <xdr:col>15</xdr:col>
      <xdr:colOff>132840</xdr:colOff>
      <xdr:row>4</xdr:row>
      <xdr:rowOff>25560</xdr:rowOff>
    </xdr:to>
    <xdr:sp>
      <xdr:nvSpPr>
        <xdr:cNvPr id="20" name="CustomShape 1"/>
        <xdr:cNvSpPr/>
      </xdr:nvSpPr>
      <xdr:spPr>
        <a:xfrm>
          <a:off x="7292160" y="276840"/>
          <a:ext cx="184320" cy="264240"/>
        </a:xfrm>
        <a:prstGeom prst="rect">
          <a:avLst/>
        </a:prstGeom>
        <a:noFill/>
        <a:ln>
          <a:noFill/>
        </a:ln>
      </xdr:spPr>
      <xdr:style>
        <a:lnRef idx="0"/>
        <a:fillRef idx="0"/>
        <a:effectRef idx="0"/>
        <a:fontRef idx="minor"/>
      </xdr:style>
    </xdr:sp>
    <xdr:clientData/>
  </xdr:twoCellAnchor>
  <xdr:twoCellAnchor editAs="twoCell">
    <xdr:from>
      <xdr:col>3</xdr:col>
      <xdr:colOff>343080</xdr:colOff>
      <xdr:row>0</xdr:row>
      <xdr:rowOff>88920</xdr:rowOff>
    </xdr:from>
    <xdr:to>
      <xdr:col>23</xdr:col>
      <xdr:colOff>30960</xdr:colOff>
      <xdr:row>5</xdr:row>
      <xdr:rowOff>50400</xdr:rowOff>
    </xdr:to>
    <xdr:sp>
      <xdr:nvSpPr>
        <xdr:cNvPr id="21" name="CustomShape 1"/>
        <xdr:cNvSpPr/>
      </xdr:nvSpPr>
      <xdr:spPr>
        <a:xfrm>
          <a:off x="1811520" y="88920"/>
          <a:ext cx="9479880" cy="605880"/>
        </a:xfrm>
        <a:prstGeom prst="rect">
          <a:avLst/>
        </a:prstGeom>
        <a:solidFill>
          <a:schemeClr val="lt1"/>
        </a:solidFill>
        <a:ln w="9360">
          <a:noFill/>
        </a:ln>
      </xdr:spPr>
      <xdr:style>
        <a:lnRef idx="0"/>
        <a:fillRef idx="0"/>
        <a:effectRef idx="0"/>
        <a:fontRef idx="minor"/>
      </xdr:style>
      <xdr:txBody>
        <a:bodyPr lIns="90000" rIns="90000" tIns="45000" bIns="45000">
          <a:noAutofit/>
        </a:bodyPr>
        <a:p>
          <a:pPr algn="ctr">
            <a:lnSpc>
              <a:spcPct val="100000"/>
            </a:lnSpc>
            <a:tabLst>
              <a:tab algn="l" pos="0"/>
            </a:tabLst>
          </a:pPr>
          <a:r>
            <a:rPr b="1" lang="en-GB" sz="3600" spc="-1" strike="noStrike">
              <a:solidFill>
                <a:srgbClr val="000000"/>
              </a:solidFill>
              <a:latin typeface="Vodafone Lt"/>
            </a:rPr>
            <a:t>Strategic Core MTX Sites - 12 Month Power Usage</a:t>
          </a:r>
          <a:endParaRPr b="0" lang="en-US" sz="3600" spc="-1" strike="noStrike">
            <a:latin typeface="Times New Roman"/>
          </a:endParaRPr>
        </a:p>
        <a:p>
          <a:pPr algn="ctr">
            <a:lnSpc>
              <a:spcPct val="100000"/>
            </a:lnSpc>
            <a:tabLst>
              <a:tab algn="l" pos="0"/>
            </a:tabLst>
          </a:pPr>
          <a:endParaRPr b="0" lang="en-US" sz="3600" spc="-1" strike="noStrike">
            <a:latin typeface="Times New Roman"/>
          </a:endParaRPr>
        </a:p>
      </xdr:txBody>
    </xdr:sp>
    <xdr:clientData/>
  </xdr:twoCellAnchor>
  <xdr:twoCellAnchor editAs="twoCell">
    <xdr:from>
      <xdr:col>1</xdr:col>
      <xdr:colOff>50760</xdr:colOff>
      <xdr:row>44</xdr:row>
      <xdr:rowOff>15840</xdr:rowOff>
    </xdr:from>
    <xdr:to>
      <xdr:col>26</xdr:col>
      <xdr:colOff>475920</xdr:colOff>
      <xdr:row>72</xdr:row>
      <xdr:rowOff>47160</xdr:rowOff>
    </xdr:to>
    <xdr:sp>
      <xdr:nvSpPr>
        <xdr:cNvPr id="22" name="CustomShape 1"/>
        <xdr:cNvSpPr/>
      </xdr:nvSpPr>
      <xdr:spPr>
        <a:xfrm>
          <a:off x="540000" y="5687640"/>
          <a:ext cx="12664800" cy="364068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ts val="2100"/>
            </a:lnSpc>
            <a:tabLst>
              <a:tab algn="l" pos="0"/>
            </a:tabLst>
          </a:pPr>
          <a:r>
            <a:rPr b="0" lang="en-GB" sz="2000" spc="-1" strike="noStrike">
              <a:solidFill>
                <a:srgbClr val="000000"/>
              </a:solidFill>
              <a:latin typeface="Vodafone Lt"/>
            </a:rPr>
            <a:t>Power usage figures on AC plants are included in the DC figures as AC power is derived from the DC plants</a:t>
          </a:r>
          <a:endParaRPr b="0" lang="en-US" sz="2000" spc="-1" strike="noStrike">
            <a:latin typeface="Times New Roman"/>
          </a:endParaRPr>
        </a:p>
        <a:p>
          <a:pPr>
            <a:lnSpc>
              <a:spcPts val="2100"/>
            </a:lnSpc>
            <a:tabLst>
              <a:tab algn="l" pos="0"/>
            </a:tabLst>
          </a:pPr>
          <a:r>
            <a:rPr b="0" lang="en-GB" sz="2000" spc="-1" strike="noStrike">
              <a:solidFill>
                <a:srgbClr val="000000"/>
              </a:solidFill>
              <a:latin typeface="Vodafone Lt"/>
            </a:rPr>
            <a:t>XGL and XLD values include TSi inverter figures that are powered by raw mains</a:t>
          </a:r>
          <a:endParaRPr b="0" lang="en-US" sz="2000" spc="-1" strike="noStrike">
            <a:latin typeface="Times New Roman"/>
          </a:endParaRPr>
        </a:p>
        <a:p>
          <a:pPr>
            <a:lnSpc>
              <a:spcPts val="2100"/>
            </a:lnSpc>
            <a:tabLst>
              <a:tab algn="l" pos="0"/>
            </a:tabLst>
          </a:pPr>
          <a:endParaRPr b="0" lang="en-US" sz="2000" spc="-1" strike="noStrike">
            <a:latin typeface="Times New Roman"/>
          </a:endParaRPr>
        </a:p>
        <a:p>
          <a:pPr>
            <a:lnSpc>
              <a:spcPts val="2100"/>
            </a:lnSpc>
            <a:tabLst>
              <a:tab algn="l" pos="0"/>
            </a:tabLst>
          </a:pPr>
          <a:r>
            <a:rPr b="0" lang="en-GB" sz="2000" spc="-1" strike="noStrike">
              <a:solidFill>
                <a:srgbClr val="000000"/>
              </a:solidFill>
              <a:latin typeface="Vodafone Lt"/>
            </a:rPr>
            <a:t>There has been an overall decrease in power usage of 113kW across Strategic Core MTX sites. However, the forecast and reserved figures predict an increase of 461kW, resulting in an increase of 288kW  year on year</a:t>
          </a:r>
          <a:endParaRPr b="0" lang="en-US" sz="2000" spc="-1" strike="noStrike">
            <a:latin typeface="Times New Roman"/>
          </a:endParaRPr>
        </a:p>
        <a:p>
          <a:pPr>
            <a:lnSpc>
              <a:spcPts val="2100"/>
            </a:lnSpc>
            <a:tabLst>
              <a:tab algn="l" pos="0"/>
            </a:tabLst>
          </a:pPr>
          <a:endParaRPr b="0" lang="en-US" sz="2000" spc="-1" strike="noStrike">
            <a:latin typeface="Times New Roman"/>
          </a:endParaRPr>
        </a:p>
        <a:p>
          <a:pPr>
            <a:lnSpc>
              <a:spcPts val="2100"/>
            </a:lnSpc>
            <a:tabLst>
              <a:tab algn="l" pos="0"/>
            </a:tabLst>
          </a:pPr>
          <a:r>
            <a:rPr b="0" lang="en-GB" sz="2000" spc="-1" strike="noStrike">
              <a:solidFill>
                <a:srgbClr val="000000"/>
              </a:solidFill>
              <a:latin typeface="Vodafone Lt"/>
            </a:rPr>
            <a:t> </a:t>
          </a:r>
          <a:r>
            <a:rPr b="0" lang="en-GB" sz="2000" spc="-1" strike="noStrike" u="sng">
              <a:solidFill>
                <a:srgbClr val="000000"/>
              </a:solidFill>
              <a:uFillTx/>
              <a:latin typeface="Vodafone Lt"/>
            </a:rPr>
            <a:t>Power decreases</a:t>
          </a:r>
          <a:r>
            <a:rPr b="0" lang="en-GB" sz="2000" spc="-1" strike="noStrike">
              <a:solidFill>
                <a:srgbClr val="000000"/>
              </a:solidFill>
              <a:latin typeface="Vodafone Lt"/>
            </a:rPr>
            <a:t> - The decreases at  XBE, XGL, XMS, and XLD are due to a combination of the powering down of MCA, ACF, CLS and SSM cabs and CHE and Vosnet cab equipment</a:t>
          </a:r>
          <a:endParaRPr b="0" lang="en-US" sz="2000" spc="-1" strike="noStrike">
            <a:latin typeface="Times New Roman"/>
          </a:endParaRPr>
        </a:p>
        <a:p>
          <a:pPr>
            <a:lnSpc>
              <a:spcPts val="2100"/>
            </a:lnSpc>
            <a:tabLst>
              <a:tab algn="l" pos="0"/>
            </a:tabLst>
          </a:pPr>
          <a:endParaRPr b="0" lang="en-US" sz="2000" spc="-1" strike="noStrike">
            <a:latin typeface="Times New Roman"/>
          </a:endParaRPr>
        </a:p>
        <a:p>
          <a:pPr>
            <a:lnSpc>
              <a:spcPts val="2100"/>
            </a:lnSpc>
            <a:tabLst>
              <a:tab algn="l" pos="0"/>
            </a:tabLst>
          </a:pPr>
          <a:r>
            <a:rPr b="0" lang="en-GB" sz="2000" spc="-1" strike="noStrike">
              <a:solidFill>
                <a:srgbClr val="808080"/>
              </a:solidFill>
              <a:latin typeface="Vodafone Lt"/>
            </a:rPr>
            <a:t> </a:t>
          </a:r>
          <a:r>
            <a:rPr b="0" lang="en-GB" sz="2000" spc="-1" strike="noStrike" u="sng">
              <a:solidFill>
                <a:srgbClr val="000000"/>
              </a:solidFill>
              <a:uFillTx/>
              <a:latin typeface="Vodafone Lt"/>
            </a:rPr>
            <a:t>Forecast and Reserved figures</a:t>
          </a:r>
          <a:r>
            <a:rPr b="0" lang="en-GB" sz="2000" spc="-1" strike="noStrike">
              <a:solidFill>
                <a:srgbClr val="000000"/>
              </a:solidFill>
              <a:latin typeface="Vodafone Lt"/>
            </a:rPr>
            <a:t>  - At XAN, there is  20kW reserved to support a new security cab suite</a:t>
          </a:r>
          <a:endParaRPr b="0" lang="en-US" sz="2000" spc="-1" strike="noStrike">
            <a:latin typeface="Times New Roman"/>
          </a:endParaRPr>
        </a:p>
        <a:p>
          <a:pPr>
            <a:lnSpc>
              <a:spcPts val="2100"/>
            </a:lnSpc>
            <a:tabLst>
              <a:tab algn="l" pos="0"/>
            </a:tabLst>
          </a:pPr>
          <a:r>
            <a:rPr b="0" lang="en-GB" sz="2000" spc="-1" strike="noStrike">
              <a:solidFill>
                <a:srgbClr val="000000"/>
              </a:solidFill>
              <a:latin typeface="Vodafone Lt"/>
            </a:rPr>
            <a:t>                                                          </a:t>
          </a:r>
          <a:r>
            <a:rPr b="0" lang="en-GB" sz="2000" spc="-1" strike="noStrike">
              <a:solidFill>
                <a:srgbClr val="000000"/>
              </a:solidFill>
              <a:latin typeface="Vodafone Lt"/>
            </a:rPr>
            <a:t>- Virtulisation requirements account for the reserved and forecast figures at XBE, XLD and XMS                                                          </a:t>
          </a:r>
          <a:endParaRPr b="0" lang="en-US" sz="2000" spc="-1" strike="noStrike">
            <a:latin typeface="Times New Roman"/>
          </a:endParaRPr>
        </a:p>
        <a:p>
          <a:pPr>
            <a:lnSpc>
              <a:spcPts val="2100"/>
            </a:lnSpc>
            <a:tabLst>
              <a:tab algn="l" pos="0"/>
            </a:tabLst>
          </a:pPr>
          <a:r>
            <a:rPr b="0" lang="en-GB" sz="2000" spc="-1" strike="noStrike">
              <a:solidFill>
                <a:srgbClr val="000000"/>
              </a:solidFill>
              <a:latin typeface="Vodafone Lt"/>
            </a:rPr>
            <a:t>                                   </a:t>
          </a:r>
          <a:endParaRPr b="0" lang="en-US" sz="2000" spc="-1" strike="noStrike">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6</xdr:col>
      <xdr:colOff>425520</xdr:colOff>
      <xdr:row>0</xdr:row>
      <xdr:rowOff>34920</xdr:rowOff>
    </xdr:from>
    <xdr:to>
      <xdr:col>27</xdr:col>
      <xdr:colOff>475920</xdr:colOff>
      <xdr:row>4</xdr:row>
      <xdr:rowOff>126720</xdr:rowOff>
    </xdr:to>
    <xdr:sp>
      <xdr:nvSpPr>
        <xdr:cNvPr id="23" name="CustomShape 1"/>
        <xdr:cNvSpPr/>
      </xdr:nvSpPr>
      <xdr:spPr>
        <a:xfrm>
          <a:off x="3362760" y="34920"/>
          <a:ext cx="10331640" cy="607320"/>
        </a:xfrm>
        <a:prstGeom prst="rect">
          <a:avLst/>
        </a:prstGeom>
        <a:solidFill>
          <a:schemeClr val="lt1"/>
        </a:solidFill>
        <a:ln w="9360">
          <a:noFill/>
        </a:ln>
      </xdr:spPr>
      <xdr:style>
        <a:lnRef idx="0"/>
        <a:fillRef idx="0"/>
        <a:effectRef idx="0"/>
        <a:fontRef idx="minor"/>
      </xdr:style>
      <xdr:txBody>
        <a:bodyPr lIns="90000" rIns="90000" tIns="45000" bIns="45000" anchor="ctr">
          <a:noAutofit/>
        </a:bodyPr>
        <a:p>
          <a:pPr algn="ctr">
            <a:lnSpc>
              <a:spcPct val="100000"/>
            </a:lnSpc>
            <a:tabLst>
              <a:tab algn="l" pos="0"/>
            </a:tabLst>
          </a:pPr>
          <a:r>
            <a:rPr b="1" lang="en-GB" sz="3600" spc="-1" strike="noStrike">
              <a:solidFill>
                <a:srgbClr val="000000"/>
              </a:solidFill>
              <a:latin typeface="Vodafone Lt"/>
            </a:rPr>
            <a:t> </a:t>
          </a:r>
          <a:r>
            <a:rPr b="1" lang="en-GB" sz="3600" spc="-1" strike="noStrike">
              <a:solidFill>
                <a:srgbClr val="000000"/>
              </a:solidFill>
              <a:latin typeface="Vodafone Lt"/>
            </a:rPr>
            <a:t>Strategic Core MTX Sites - Switchroom Floor Space Usage </a:t>
          </a:r>
          <a:endParaRPr b="0" lang="en-US" sz="3600" spc="-1" strike="noStrike">
            <a:latin typeface="Times New Roman"/>
          </a:endParaRPr>
        </a:p>
      </xdr:txBody>
    </xdr:sp>
    <xdr:clientData/>
  </xdr:twoCellAnchor>
  <xdr:twoCellAnchor editAs="twoCell">
    <xdr:from>
      <xdr:col>19</xdr:col>
      <xdr:colOff>237960</xdr:colOff>
      <xdr:row>63</xdr:row>
      <xdr:rowOff>25560</xdr:rowOff>
    </xdr:from>
    <xdr:to>
      <xdr:col>32</xdr:col>
      <xdr:colOff>5040</xdr:colOff>
      <xdr:row>85</xdr:row>
      <xdr:rowOff>128520</xdr:rowOff>
    </xdr:to>
    <xdr:sp>
      <xdr:nvSpPr>
        <xdr:cNvPr id="24" name="CustomShape 1"/>
        <xdr:cNvSpPr/>
      </xdr:nvSpPr>
      <xdr:spPr>
        <a:xfrm>
          <a:off x="9540000" y="8146440"/>
          <a:ext cx="6131520" cy="293868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ts val="2401"/>
            </a:lnSpc>
          </a:pPr>
          <a:r>
            <a:rPr b="0" lang="en-GB" sz="2400" spc="-1" strike="noStrike">
              <a:solidFill>
                <a:srgbClr val="000000"/>
              </a:solidFill>
              <a:latin typeface="Vodafone Lt"/>
            </a:rPr>
            <a:t>At the CHE sites, and at XAN, hot air containment areas are deployed  </a:t>
          </a:r>
          <a:endParaRPr b="0" lang="en-US" sz="2400" spc="-1" strike="noStrike">
            <a:latin typeface="Times New Roman"/>
          </a:endParaRPr>
        </a:p>
        <a:p>
          <a:pPr>
            <a:lnSpc>
              <a:spcPts val="2401"/>
            </a:lnSpc>
          </a:pPr>
          <a:r>
            <a:rPr b="0" lang="en-GB" sz="2400" spc="-1" strike="noStrike">
              <a:solidFill>
                <a:srgbClr val="000000"/>
              </a:solidFill>
              <a:latin typeface="Vodafone Lt"/>
            </a:rPr>
            <a:t>These areas are to allow for deployment of platforms that have large power requirements and therefore exhaust  a considerable amount of hot air. Such equipment includes Voice Mail, VCA, Gi LAN and SPGW platforms </a:t>
          </a:r>
          <a:endParaRPr b="0" lang="en-US" sz="2400" spc="-1" strike="noStrike">
            <a:latin typeface="Times New Roman"/>
          </a:endParaRPr>
        </a:p>
        <a:p>
          <a:pPr>
            <a:lnSpc>
              <a:spcPts val="2401"/>
            </a:lnSpc>
          </a:pPr>
          <a:endParaRPr b="0" lang="en-US" sz="2400" spc="-1" strike="noStrike">
            <a:latin typeface="Times New Roman"/>
          </a:endParaRPr>
        </a:p>
        <a:p>
          <a:pPr>
            <a:lnSpc>
              <a:spcPts val="2401"/>
            </a:lnSpc>
          </a:pPr>
          <a:r>
            <a:rPr b="0" lang="en-GB" sz="2400" spc="-1" strike="noStrike">
              <a:solidFill>
                <a:srgbClr val="000000"/>
              </a:solidFill>
              <a:latin typeface="Vodafone Lt"/>
            </a:rPr>
            <a:t>The reserved and forecast spaces at XBE, XLD and XMS are to be used for Virtulisation hardware</a:t>
          </a:r>
          <a:endParaRPr b="0" lang="en-US" sz="2400" spc="-1" strike="noStrike">
            <a:latin typeface="Times New Roman"/>
          </a:endParaRPr>
        </a:p>
      </xdr:txBody>
    </xdr:sp>
    <xdr:clientData/>
  </xdr:twoCellAnchor>
  <xdr:twoCellAnchor editAs="twoCell">
    <xdr:from>
      <xdr:col>0</xdr:col>
      <xdr:colOff>289080</xdr:colOff>
      <xdr:row>47</xdr:row>
      <xdr:rowOff>41400</xdr:rowOff>
    </xdr:from>
    <xdr:to>
      <xdr:col>31</xdr:col>
      <xdr:colOff>95040</xdr:colOff>
      <xdr:row>56</xdr:row>
      <xdr:rowOff>37800</xdr:rowOff>
    </xdr:to>
    <xdr:sp>
      <xdr:nvSpPr>
        <xdr:cNvPr id="25" name="CustomShape 1"/>
        <xdr:cNvSpPr/>
      </xdr:nvSpPr>
      <xdr:spPr>
        <a:xfrm>
          <a:off x="289080" y="6099840"/>
          <a:ext cx="14982840" cy="115632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ct val="100000"/>
            </a:lnSpc>
            <a:spcAft>
              <a:spcPts val="300"/>
            </a:spcAft>
          </a:pPr>
          <a:r>
            <a:rPr b="0" lang="en-GB" sz="2400" spc="-1" strike="noStrike">
              <a:solidFill>
                <a:srgbClr val="000000"/>
              </a:solidFill>
              <a:latin typeface="Vodafone Lt"/>
            </a:rPr>
            <a:t>The above figures are based on total switchroom floorspace, minus the hot air containment areas at the CHE sites and XAN and caged areas at XAN and XBE</a:t>
          </a:r>
          <a:endParaRPr b="0" lang="en-US" sz="2400" spc="-1" strike="noStrike">
            <a:latin typeface="Times New Roman"/>
          </a:endParaRPr>
        </a:p>
        <a:p>
          <a:pPr>
            <a:lnSpc>
              <a:spcPct val="100000"/>
            </a:lnSpc>
            <a:spcAft>
              <a:spcPts val="300"/>
            </a:spcAft>
          </a:pPr>
          <a:r>
            <a:rPr b="0" lang="en-GB" sz="2400" spc="-1" strike="noStrike">
              <a:solidFill>
                <a:srgbClr val="000000"/>
              </a:solidFill>
              <a:latin typeface="Vodafone Lt"/>
            </a:rPr>
            <a:t>Space has been reserved for new inverter systems at XAN, XCY, XGR, XOM and XRM and for NFV cabs at XBE and XMS</a:t>
          </a:r>
          <a:endParaRPr b="0" lang="en-US" sz="2400" spc="-1" strike="noStrike">
            <a:latin typeface="Times New Roman"/>
          </a:endParaRPr>
        </a:p>
      </xdr:txBody>
    </xdr:sp>
    <xdr:clientData/>
  </xdr:twoCellAnchor>
  <xdr:twoCellAnchor editAs="twoCell">
    <xdr:from>
      <xdr:col>11</xdr:col>
      <xdr:colOff>479520</xdr:colOff>
      <xdr:row>56</xdr:row>
      <xdr:rowOff>10800</xdr:rowOff>
    </xdr:from>
    <xdr:to>
      <xdr:col>19</xdr:col>
      <xdr:colOff>342720</xdr:colOff>
      <xdr:row>59</xdr:row>
      <xdr:rowOff>28080</xdr:rowOff>
    </xdr:to>
    <xdr:sp>
      <xdr:nvSpPr>
        <xdr:cNvPr id="26" name="CustomShape 1"/>
        <xdr:cNvSpPr/>
      </xdr:nvSpPr>
      <xdr:spPr>
        <a:xfrm>
          <a:off x="5864760" y="7229160"/>
          <a:ext cx="3780000" cy="404280"/>
        </a:xfrm>
        <a:prstGeom prst="rect">
          <a:avLst/>
        </a:prstGeom>
        <a:solidFill>
          <a:schemeClr val="lt1"/>
        </a:solidFill>
        <a:ln w="9360">
          <a:noFill/>
        </a:ln>
      </xdr:spPr>
      <xdr:style>
        <a:lnRef idx="0"/>
        <a:fillRef idx="0"/>
        <a:effectRef idx="0"/>
        <a:fontRef idx="minor"/>
      </xdr:style>
      <xdr:txBody>
        <a:bodyPr lIns="90000" rIns="90000" tIns="45000" bIns="45000" anchor="ctr">
          <a:noAutofit/>
        </a:bodyPr>
        <a:p>
          <a:pPr>
            <a:lnSpc>
              <a:spcPct val="100000"/>
            </a:lnSpc>
          </a:pPr>
          <a:r>
            <a:rPr b="1" lang="en-GB" sz="3600" spc="-1" strike="noStrike">
              <a:solidFill>
                <a:srgbClr val="000000"/>
              </a:solidFill>
              <a:latin typeface="Vodafone Lt"/>
            </a:rPr>
            <a:t>Hot Air Containment</a:t>
          </a:r>
          <a:endParaRPr b="0" lang="en-US" sz="3600" spc="-1" strike="noStrike">
            <a:latin typeface="Times New Roman"/>
          </a:endParaRPr>
        </a:p>
      </xdr:txBody>
    </xdr:sp>
    <xdr:clientData/>
  </xdr:twoCellAnchor>
  <xdr:twoCellAnchor editAs="twoCell">
    <xdr:from>
      <xdr:col>9</xdr:col>
      <xdr:colOff>244800</xdr:colOff>
      <xdr:row>8</xdr:row>
      <xdr:rowOff>40680</xdr:rowOff>
    </xdr:from>
    <xdr:to>
      <xdr:col>20</xdr:col>
      <xdr:colOff>142560</xdr:colOff>
      <xdr:row>11</xdr:row>
      <xdr:rowOff>31320</xdr:rowOff>
    </xdr:to>
    <xdr:sp>
      <xdr:nvSpPr>
        <xdr:cNvPr id="27" name="CustomShape 1"/>
        <xdr:cNvSpPr/>
      </xdr:nvSpPr>
      <xdr:spPr>
        <a:xfrm>
          <a:off x="4650840" y="1071720"/>
          <a:ext cx="5283360" cy="377280"/>
        </a:xfrm>
        <a:prstGeom prst="rect">
          <a:avLst/>
        </a:prstGeom>
        <a:solidFill>
          <a:schemeClr val="lt1"/>
        </a:solidFill>
        <a:ln w="9360">
          <a:noFill/>
        </a:ln>
      </xdr:spPr>
      <xdr:style>
        <a:lnRef idx="0"/>
        <a:fillRef idx="0"/>
        <a:effectRef idx="0"/>
        <a:fontRef idx="minor"/>
      </xdr:style>
      <xdr:txBody>
        <a:bodyPr lIns="90000" rIns="90000" tIns="45000" bIns="45000">
          <a:noAutofit/>
        </a:bodyPr>
        <a:p>
          <a:pPr algn="ctr">
            <a:lnSpc>
              <a:spcPct val="100000"/>
            </a:lnSpc>
          </a:pPr>
          <a:r>
            <a:rPr b="0" lang="en-GB" sz="2000" spc="-1" strike="noStrike">
              <a:solidFill>
                <a:srgbClr val="000000"/>
              </a:solidFill>
              <a:latin typeface="Vodafone Lt"/>
            </a:rPr>
            <a:t>STRATEGIC SITES CLOSED TO NEW CORE DEPLOYMENT</a:t>
          </a:r>
          <a:endParaRPr b="0" lang="en-US" sz="2000" spc="-1" strike="noStrike">
            <a:latin typeface="Times New Roman"/>
          </a:endParaRPr>
        </a:p>
      </xdr:txBody>
    </xdr:sp>
    <xdr:clientData/>
  </xdr:twoCellAnchor>
  <xdr:twoCellAnchor editAs="oneCell">
    <xdr:from>
      <xdr:col>0</xdr:col>
      <xdr:colOff>343080</xdr:colOff>
      <xdr:row>60</xdr:row>
      <xdr:rowOff>0</xdr:rowOff>
    </xdr:from>
    <xdr:to>
      <xdr:col>19</xdr:col>
      <xdr:colOff>190440</xdr:colOff>
      <xdr:row>89</xdr:row>
      <xdr:rowOff>3960</xdr:rowOff>
    </xdr:to>
    <xdr:graphicFrame>
      <xdr:nvGraphicFramePr>
        <xdr:cNvPr id="28" name="Chart 16"/>
        <xdr:cNvGraphicFramePr/>
      </xdr:nvGraphicFramePr>
      <xdr:xfrm>
        <a:off x="343080" y="7734240"/>
        <a:ext cx="9149400" cy="3742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390600</xdr:colOff>
      <xdr:row>33</xdr:row>
      <xdr:rowOff>63360</xdr:rowOff>
    </xdr:from>
    <xdr:to>
      <xdr:col>4</xdr:col>
      <xdr:colOff>266400</xdr:colOff>
      <xdr:row>42</xdr:row>
      <xdr:rowOff>91440</xdr:rowOff>
    </xdr:to>
    <xdr:sp>
      <xdr:nvSpPr>
        <xdr:cNvPr id="29" name="CustomShape 1"/>
        <xdr:cNvSpPr/>
      </xdr:nvSpPr>
      <xdr:spPr>
        <a:xfrm>
          <a:off x="1859040" y="4317120"/>
          <a:ext cx="365400" cy="1188000"/>
        </a:xfrm>
        <a:prstGeom prst="rect">
          <a:avLst/>
        </a:prstGeom>
        <a:solidFill>
          <a:schemeClr val="lt1"/>
        </a:solidFill>
        <a:ln w="9360">
          <a:noFill/>
        </a:ln>
      </xdr:spPr>
      <xdr:style>
        <a:lnRef idx="0"/>
        <a:fillRef idx="0"/>
        <a:effectRef idx="0"/>
        <a:fontRef idx="minor"/>
      </xdr:style>
      <xdr:txBody>
        <a:bodyPr lIns="90000" rIns="90000" tIns="45000" bIns="45000" vert="vert270" rot="16200000">
          <a:noAutofit/>
        </a:bodyPr>
        <a:p>
          <a:pPr>
            <a:lnSpc>
              <a:spcPct val="100000"/>
            </a:lnSpc>
          </a:pPr>
          <a:r>
            <a:rPr b="0" lang="en-GB" sz="2000" spc="-1" strike="noStrike">
              <a:solidFill>
                <a:srgbClr val="000000"/>
              </a:solidFill>
              <a:latin typeface="Vodafone Lt"/>
            </a:rPr>
            <a:t>Power (kW)</a:t>
          </a:r>
          <a:endParaRPr b="0" lang="en-US" sz="2000" spc="-1" strike="noStrike">
            <a:latin typeface="Times New Roman"/>
          </a:endParaRPr>
        </a:p>
      </xdr:txBody>
    </xdr:sp>
    <xdr:clientData/>
  </xdr:twoCellAnchor>
  <xdr:twoCellAnchor editAs="twoCell">
    <xdr:from>
      <xdr:col>3</xdr:col>
      <xdr:colOff>330120</xdr:colOff>
      <xdr:row>0</xdr:row>
      <xdr:rowOff>9360</xdr:rowOff>
    </xdr:from>
    <xdr:to>
      <xdr:col>23</xdr:col>
      <xdr:colOff>367920</xdr:colOff>
      <xdr:row>3</xdr:row>
      <xdr:rowOff>75600</xdr:rowOff>
    </xdr:to>
    <xdr:sp>
      <xdr:nvSpPr>
        <xdr:cNvPr id="30" name="CustomShape 1"/>
        <xdr:cNvSpPr/>
      </xdr:nvSpPr>
      <xdr:spPr>
        <a:xfrm>
          <a:off x="1798560" y="9360"/>
          <a:ext cx="9829800" cy="452880"/>
        </a:xfrm>
        <a:prstGeom prst="rect">
          <a:avLst/>
        </a:prstGeom>
        <a:solidFill>
          <a:schemeClr val="lt1"/>
        </a:solidFill>
        <a:ln w="9360">
          <a:noFill/>
        </a:ln>
      </xdr:spPr>
      <xdr:style>
        <a:lnRef idx="0"/>
        <a:fillRef idx="0"/>
        <a:effectRef idx="0"/>
        <a:fontRef idx="minor"/>
      </xdr:style>
      <xdr:txBody>
        <a:bodyPr lIns="90000" rIns="90000" tIns="45000" bIns="45000">
          <a:noAutofit/>
        </a:bodyPr>
        <a:p>
          <a:pPr algn="ctr">
            <a:lnSpc>
              <a:spcPts val="3300"/>
            </a:lnSpc>
            <a:tabLst>
              <a:tab algn="l" pos="0"/>
            </a:tabLst>
          </a:pPr>
          <a:r>
            <a:rPr b="1" lang="en-GB" sz="3600" spc="-1" strike="noStrike">
              <a:solidFill>
                <a:srgbClr val="000000"/>
              </a:solidFill>
              <a:latin typeface="Vodafone Lt"/>
            </a:rPr>
            <a:t>Non- Strategic Core MTX Sites - Power Breakdown</a:t>
          </a:r>
          <a:endParaRPr b="0" lang="en-US" sz="3600" spc="-1" strike="noStrike">
            <a:latin typeface="Times New Roman"/>
          </a:endParaRPr>
        </a:p>
        <a:p>
          <a:pPr>
            <a:lnSpc>
              <a:spcPts val="1100"/>
            </a:lnSpc>
            <a:tabLst>
              <a:tab algn="l" pos="0"/>
            </a:tabLst>
          </a:pPr>
          <a:endParaRPr b="0" lang="en-US" sz="3600" spc="-1" strike="noStrike">
            <a:latin typeface="Times New Roman"/>
          </a:endParaRPr>
        </a:p>
      </xdr:txBody>
    </xdr:sp>
    <xdr:clientData/>
  </xdr:twoCellAnchor>
  <xdr:twoCellAnchor editAs="twoCell">
    <xdr:from>
      <xdr:col>0</xdr:col>
      <xdr:colOff>228600</xdr:colOff>
      <xdr:row>64</xdr:row>
      <xdr:rowOff>88920</xdr:rowOff>
    </xdr:from>
    <xdr:to>
      <xdr:col>26</xdr:col>
      <xdr:colOff>5400</xdr:colOff>
      <xdr:row>75</xdr:row>
      <xdr:rowOff>63000</xdr:rowOff>
    </xdr:to>
    <xdr:sp>
      <xdr:nvSpPr>
        <xdr:cNvPr id="31" name="CustomShape 1"/>
        <xdr:cNvSpPr/>
      </xdr:nvSpPr>
      <xdr:spPr>
        <a:xfrm>
          <a:off x="228600" y="8338680"/>
          <a:ext cx="12505680" cy="139212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ct val="100000"/>
            </a:lnSpc>
            <a:tabLst>
              <a:tab algn="l" pos="0"/>
            </a:tabLst>
          </a:pPr>
          <a:r>
            <a:rPr b="0" lang="en-GB" sz="1400" spc="-1" strike="noStrike">
              <a:solidFill>
                <a:srgbClr val="000000"/>
              </a:solidFill>
              <a:latin typeface="Vodafone Lt"/>
            </a:rPr>
            <a:t>  </a:t>
          </a:r>
          <a:r>
            <a:rPr b="0" lang="en-GB" sz="2000" spc="-1" strike="noStrike">
              <a:solidFill>
                <a:srgbClr val="000000"/>
              </a:solidFill>
              <a:latin typeface="Vodafone Lt"/>
            </a:rPr>
            <a:t>Power capability is defined as the maximum power available to technology given each building's infrastructure capability</a:t>
          </a:r>
          <a:endParaRPr b="0" lang="en-US" sz="2000" spc="-1" strike="noStrike">
            <a:latin typeface="Times New Roman"/>
          </a:endParaRPr>
        </a:p>
        <a:p>
          <a:pPr>
            <a:lnSpc>
              <a:spcPct val="100000"/>
            </a:lnSpc>
            <a:tabLst>
              <a:tab algn="l" pos="0"/>
            </a:tabLst>
          </a:pPr>
          <a:r>
            <a:rPr b="0" lang="en-GB" sz="2000" spc="-1" strike="noStrike">
              <a:solidFill>
                <a:srgbClr val="000000"/>
              </a:solidFill>
              <a:latin typeface="Vodafone Lt"/>
            </a:rPr>
            <a:t> </a:t>
          </a:r>
          <a:r>
            <a:rPr b="0" lang="en-GB" sz="2000" spc="-1" strike="noStrike">
              <a:solidFill>
                <a:srgbClr val="000000"/>
              </a:solidFill>
              <a:latin typeface="Vodafone Lt"/>
            </a:rPr>
            <a:t>At XKS, due to the limitations regarding the power on the 2nd floor, deployment to this floor is restricted</a:t>
          </a:r>
          <a:endParaRPr b="0" lang="en-US" sz="2000" spc="-1" strike="noStrike">
            <a:latin typeface="Times New Roman"/>
          </a:endParaRPr>
        </a:p>
        <a:p>
          <a:pPr>
            <a:lnSpc>
              <a:spcPct val="100000"/>
            </a:lnSpc>
            <a:tabLst>
              <a:tab algn="l" pos="0"/>
            </a:tabLst>
          </a:pPr>
          <a:endParaRPr b="0" lang="en-US" sz="2000" spc="-1" strike="noStrike">
            <a:latin typeface="Times New Roman"/>
          </a:endParaRPr>
        </a:p>
        <a:p>
          <a:pPr>
            <a:lnSpc>
              <a:spcPct val="100000"/>
            </a:lnSpc>
            <a:tabLst>
              <a:tab algn="l" pos="0"/>
            </a:tabLst>
          </a:pPr>
          <a:r>
            <a:rPr b="0" lang="en-GB" sz="2000" spc="-1" strike="noStrike">
              <a:solidFill>
                <a:srgbClr val="000000"/>
              </a:solidFill>
              <a:latin typeface="Vodafone Lt"/>
            </a:rPr>
            <a:t>The reserved power at XEH is for Virtulisation use</a:t>
          </a:r>
          <a:endParaRPr b="0" lang="en-US" sz="2000" spc="-1" strike="noStrike">
            <a:latin typeface="Times New Roman"/>
          </a:endParaRPr>
        </a:p>
      </xdr:txBody>
    </xdr:sp>
    <xdr:clientData/>
  </xdr:twoCellAnchor>
  <xdr:twoCellAnchor editAs="twoCell">
    <xdr:from>
      <xdr:col>9</xdr:col>
      <xdr:colOff>87120</xdr:colOff>
      <xdr:row>13</xdr:row>
      <xdr:rowOff>119880</xdr:rowOff>
    </xdr:from>
    <xdr:to>
      <xdr:col>18</xdr:col>
      <xdr:colOff>326160</xdr:colOff>
      <xdr:row>16</xdr:row>
      <xdr:rowOff>38880</xdr:rowOff>
    </xdr:to>
    <xdr:sp>
      <xdr:nvSpPr>
        <xdr:cNvPr id="32" name="CustomShape 1"/>
        <xdr:cNvSpPr/>
      </xdr:nvSpPr>
      <xdr:spPr>
        <a:xfrm>
          <a:off x="4493160" y="1795320"/>
          <a:ext cx="4645440" cy="3060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noAutofit/>
        </a:bodyPr>
        <a:p>
          <a:pPr algn="ctr">
            <a:lnSpc>
              <a:spcPct val="100000"/>
            </a:lnSpc>
          </a:pPr>
          <a:r>
            <a:rPr b="0" lang="en-GB" sz="2000" spc="-1" strike="noStrike">
              <a:solidFill>
                <a:srgbClr val="000000"/>
              </a:solidFill>
              <a:latin typeface="Vodafone Lt"/>
            </a:rPr>
            <a:t>SITES CLOSED TO NEW CORE DEPLOYMENT</a:t>
          </a:r>
          <a:endParaRPr b="0" lang="en-US" sz="2000" spc="-1" strike="noStrike">
            <a:latin typeface="Times New Roman"/>
          </a:endParaRPr>
        </a:p>
      </xdr:txBody>
    </xdr:sp>
    <xdr:clientData/>
  </xdr:twoCellAnchor>
  <xdr:twoCellAnchor editAs="oneCell">
    <xdr:from>
      <xdr:col>0</xdr:col>
      <xdr:colOff>190440</xdr:colOff>
      <xdr:row>5</xdr:row>
      <xdr:rowOff>12600</xdr:rowOff>
    </xdr:from>
    <xdr:to>
      <xdr:col>25</xdr:col>
      <xdr:colOff>431280</xdr:colOff>
      <xdr:row>63</xdr:row>
      <xdr:rowOff>126720</xdr:rowOff>
    </xdr:to>
    <xdr:graphicFrame>
      <xdr:nvGraphicFramePr>
        <xdr:cNvPr id="33" name="Chart 9"/>
        <xdr:cNvGraphicFramePr/>
      </xdr:nvGraphicFramePr>
      <xdr:xfrm>
        <a:off x="190440" y="657000"/>
        <a:ext cx="12480120" cy="759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155520</xdr:colOff>
      <xdr:row>5</xdr:row>
      <xdr:rowOff>50760</xdr:rowOff>
    </xdr:from>
    <xdr:to>
      <xdr:col>25</xdr:col>
      <xdr:colOff>367920</xdr:colOff>
      <xdr:row>36</xdr:row>
      <xdr:rowOff>37800</xdr:rowOff>
    </xdr:to>
    <xdr:graphicFrame>
      <xdr:nvGraphicFramePr>
        <xdr:cNvPr id="34" name="Chart 30"/>
        <xdr:cNvGraphicFramePr/>
      </xdr:nvGraphicFramePr>
      <xdr:xfrm>
        <a:off x="8967960" y="695160"/>
        <a:ext cx="3639240" cy="39830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twoCell">
    <xdr:from>
      <xdr:col>0</xdr:col>
      <xdr:colOff>330120</xdr:colOff>
      <xdr:row>28</xdr:row>
      <xdr:rowOff>12600</xdr:rowOff>
    </xdr:from>
    <xdr:to>
      <xdr:col>1</xdr:col>
      <xdr:colOff>202680</xdr:colOff>
      <xdr:row>36</xdr:row>
      <xdr:rowOff>101160</xdr:rowOff>
    </xdr:to>
    <xdr:sp>
      <xdr:nvSpPr>
        <xdr:cNvPr id="35" name="CustomShape 1"/>
        <xdr:cNvSpPr/>
      </xdr:nvSpPr>
      <xdr:spPr>
        <a:xfrm>
          <a:off x="330120" y="3621600"/>
          <a:ext cx="361800" cy="1119960"/>
        </a:xfrm>
        <a:prstGeom prst="rect">
          <a:avLst/>
        </a:prstGeom>
        <a:solidFill>
          <a:schemeClr val="lt1"/>
        </a:solidFill>
        <a:ln w="9360">
          <a:noFill/>
        </a:ln>
      </xdr:spPr>
      <xdr:style>
        <a:lnRef idx="0"/>
        <a:fillRef idx="0"/>
        <a:effectRef idx="0"/>
        <a:fontRef idx="minor"/>
      </xdr:style>
      <xdr:txBody>
        <a:bodyPr lIns="90000" rIns="90000" tIns="45000" bIns="45000" vert="vert270" rot="16200000">
          <a:noAutofit/>
        </a:bodyPr>
        <a:p>
          <a:pPr>
            <a:lnSpc>
              <a:spcPct val="100000"/>
            </a:lnSpc>
          </a:pPr>
          <a:r>
            <a:rPr b="0" lang="en-GB" sz="1800" spc="-1" strike="noStrike">
              <a:solidFill>
                <a:srgbClr val="000000"/>
              </a:solidFill>
              <a:latin typeface="Vodafone Lt"/>
            </a:rPr>
            <a:t>Power (kW)</a:t>
          </a:r>
          <a:endParaRPr b="0" lang="en-US" sz="1800" spc="-1" strike="noStrike">
            <a:latin typeface="Times New Roman"/>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380880</xdr:colOff>
      <xdr:row>1</xdr:row>
      <xdr:rowOff>25560</xdr:rowOff>
    </xdr:from>
    <xdr:to>
      <xdr:col>21</xdr:col>
      <xdr:colOff>151920</xdr:colOff>
      <xdr:row>6</xdr:row>
      <xdr:rowOff>126720</xdr:rowOff>
    </xdr:to>
    <xdr:sp>
      <xdr:nvSpPr>
        <xdr:cNvPr id="36" name="CustomShape 1"/>
        <xdr:cNvSpPr/>
      </xdr:nvSpPr>
      <xdr:spPr>
        <a:xfrm>
          <a:off x="2338920" y="154440"/>
          <a:ext cx="8094240" cy="745560"/>
        </a:xfrm>
        <a:prstGeom prst="rect">
          <a:avLst/>
        </a:prstGeom>
        <a:solidFill>
          <a:schemeClr val="lt1"/>
        </a:solidFill>
        <a:ln w="9360">
          <a:noFill/>
        </a:ln>
      </xdr:spPr>
      <xdr:style>
        <a:lnRef idx="0"/>
        <a:fillRef idx="0"/>
        <a:effectRef idx="0"/>
        <a:fontRef idx="minor"/>
      </xdr:style>
      <xdr:txBody>
        <a:bodyPr lIns="90000" rIns="90000" tIns="45000" bIns="45000">
          <a:noAutofit/>
        </a:bodyPr>
        <a:p>
          <a:pPr algn="ctr">
            <a:lnSpc>
              <a:spcPct val="100000"/>
            </a:lnSpc>
          </a:pPr>
          <a:r>
            <a:rPr b="1" lang="en-GB" sz="3600" spc="-1" strike="noStrike">
              <a:solidFill>
                <a:srgbClr val="000000"/>
              </a:solidFill>
              <a:latin typeface="Vodafone Lt"/>
            </a:rPr>
            <a:t>Non- Strategic Core MTX Sites - Plant Usage </a:t>
          </a:r>
          <a:endParaRPr b="0" lang="en-US" sz="3600" spc="-1" strike="noStrike">
            <a:latin typeface="Times New Roman"/>
          </a:endParaRPr>
        </a:p>
      </xdr:txBody>
    </xdr:sp>
    <xdr:clientData/>
  </xdr:twoCellAnchor>
  <xdr:twoCellAnchor editAs="oneCell">
    <xdr:from>
      <xdr:col>0</xdr:col>
      <xdr:colOff>101520</xdr:colOff>
      <xdr:row>36</xdr:row>
      <xdr:rowOff>25560</xdr:rowOff>
    </xdr:from>
    <xdr:to>
      <xdr:col>14</xdr:col>
      <xdr:colOff>466200</xdr:colOff>
      <xdr:row>65</xdr:row>
      <xdr:rowOff>104400</xdr:rowOff>
    </xdr:to>
    <xdr:graphicFrame>
      <xdr:nvGraphicFramePr>
        <xdr:cNvPr id="37" name="Chart 7"/>
        <xdr:cNvGraphicFramePr/>
      </xdr:nvGraphicFramePr>
      <xdr:xfrm>
        <a:off x="101520" y="4665960"/>
        <a:ext cx="7218720" cy="38170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twoCell">
    <xdr:from>
      <xdr:col>0</xdr:col>
      <xdr:colOff>203040</xdr:colOff>
      <xdr:row>44</xdr:row>
      <xdr:rowOff>88920</xdr:rowOff>
    </xdr:from>
    <xdr:to>
      <xdr:col>1</xdr:col>
      <xdr:colOff>30960</xdr:colOff>
      <xdr:row>56</xdr:row>
      <xdr:rowOff>12240</xdr:rowOff>
    </xdr:to>
    <xdr:sp>
      <xdr:nvSpPr>
        <xdr:cNvPr id="38" name="CustomShape 1"/>
        <xdr:cNvSpPr/>
      </xdr:nvSpPr>
      <xdr:spPr>
        <a:xfrm>
          <a:off x="203040" y="5760720"/>
          <a:ext cx="317160" cy="1469880"/>
        </a:xfrm>
        <a:prstGeom prst="rect">
          <a:avLst/>
        </a:prstGeom>
        <a:solidFill>
          <a:schemeClr val="lt1"/>
        </a:solidFill>
        <a:ln w="9360">
          <a:noFill/>
        </a:ln>
      </xdr:spPr>
      <xdr:style>
        <a:lnRef idx="0"/>
        <a:fillRef idx="0"/>
        <a:effectRef idx="0"/>
        <a:fontRef idx="minor"/>
      </xdr:style>
      <xdr:txBody>
        <a:bodyPr lIns="90000" rIns="90000" tIns="45000" bIns="45000" anchor="ctr" vert="vert270" rot="16200000">
          <a:noAutofit/>
        </a:bodyPr>
        <a:p>
          <a:pPr algn="ctr">
            <a:lnSpc>
              <a:spcPct val="100000"/>
            </a:lnSpc>
          </a:pPr>
          <a:r>
            <a:rPr b="0" lang="en-GB" sz="1800" spc="-1" strike="noStrike">
              <a:solidFill>
                <a:srgbClr val="000000"/>
              </a:solidFill>
              <a:latin typeface="Vodafone Lt"/>
            </a:rPr>
            <a:t>Power (kW)</a:t>
          </a:r>
          <a:endParaRPr b="0" lang="en-US" sz="1800" spc="-1" strike="noStrike">
            <a:latin typeface="Times New Roman"/>
          </a:endParaRPr>
        </a:p>
      </xdr:txBody>
    </xdr:sp>
    <xdr:clientData/>
  </xdr:twoCellAnchor>
  <xdr:twoCellAnchor editAs="twoCell">
    <xdr:from>
      <xdr:col>6</xdr:col>
      <xdr:colOff>266760</xdr:colOff>
      <xdr:row>7</xdr:row>
      <xdr:rowOff>9360</xdr:rowOff>
    </xdr:from>
    <xdr:to>
      <xdr:col>17</xdr:col>
      <xdr:colOff>380880</xdr:colOff>
      <xdr:row>10</xdr:row>
      <xdr:rowOff>9000</xdr:rowOff>
    </xdr:to>
    <xdr:sp>
      <xdr:nvSpPr>
        <xdr:cNvPr id="39" name="CustomShape 1"/>
        <xdr:cNvSpPr/>
      </xdr:nvSpPr>
      <xdr:spPr>
        <a:xfrm>
          <a:off x="3204000" y="911520"/>
          <a:ext cx="5499720" cy="386280"/>
        </a:xfrm>
        <a:prstGeom prst="rect">
          <a:avLst/>
        </a:prstGeom>
        <a:solidFill>
          <a:srgbClr val="ffffff"/>
        </a:solidFill>
        <a:ln w="9360">
          <a:noFill/>
        </a:ln>
      </xdr:spPr>
      <xdr:style>
        <a:lnRef idx="0"/>
        <a:fillRef idx="0"/>
        <a:effectRef idx="0"/>
        <a:fontRef idx="minor"/>
      </xdr:style>
      <xdr:txBody>
        <a:bodyPr lIns="90000" rIns="90000" tIns="45000" bIns="45000">
          <a:noAutofit/>
        </a:bodyPr>
        <a:p>
          <a:pPr algn="ctr">
            <a:lnSpc>
              <a:spcPct val="100000"/>
            </a:lnSpc>
            <a:tabLst>
              <a:tab algn="l" pos="0"/>
            </a:tabLst>
          </a:pPr>
          <a:r>
            <a:rPr b="1" lang="en-GB" sz="2400" spc="-1" strike="noStrike">
              <a:solidFill>
                <a:srgbClr val="000000"/>
              </a:solidFill>
              <a:latin typeface="Vodafone Lt"/>
            </a:rPr>
            <a:t>Non- Strategic Core Sites DC Plant Utilisation</a:t>
          </a:r>
          <a:endParaRPr b="0" lang="en-US" sz="2400" spc="-1" strike="noStrike">
            <a:latin typeface="Times New Roman"/>
          </a:endParaRPr>
        </a:p>
      </xdr:txBody>
    </xdr:sp>
    <xdr:clientData/>
  </xdr:twoCellAnchor>
  <xdr:twoCellAnchor editAs="twoCell">
    <xdr:from>
      <xdr:col>0</xdr:col>
      <xdr:colOff>152280</xdr:colOff>
      <xdr:row>14</xdr:row>
      <xdr:rowOff>114480</xdr:rowOff>
    </xdr:from>
    <xdr:to>
      <xdr:col>1</xdr:col>
      <xdr:colOff>12240</xdr:colOff>
      <xdr:row>26</xdr:row>
      <xdr:rowOff>37800</xdr:rowOff>
    </xdr:to>
    <xdr:sp>
      <xdr:nvSpPr>
        <xdr:cNvPr id="40" name="CustomShape 1"/>
        <xdr:cNvSpPr/>
      </xdr:nvSpPr>
      <xdr:spPr>
        <a:xfrm>
          <a:off x="152280" y="1918800"/>
          <a:ext cx="349200" cy="1470240"/>
        </a:xfrm>
        <a:prstGeom prst="rect">
          <a:avLst/>
        </a:prstGeom>
        <a:solidFill>
          <a:schemeClr val="lt1"/>
        </a:solidFill>
        <a:ln w="9360">
          <a:noFill/>
        </a:ln>
      </xdr:spPr>
      <xdr:style>
        <a:lnRef idx="0"/>
        <a:fillRef idx="0"/>
        <a:effectRef idx="0"/>
        <a:fontRef idx="minor"/>
      </xdr:style>
      <xdr:txBody>
        <a:bodyPr lIns="90000" rIns="90000" tIns="45000" bIns="45000" anchor="ctr" vert="vert270" rot="16200000">
          <a:noAutofit/>
        </a:bodyPr>
        <a:p>
          <a:pPr algn="ctr">
            <a:lnSpc>
              <a:spcPct val="100000"/>
            </a:lnSpc>
          </a:pPr>
          <a:r>
            <a:rPr b="0" lang="en-GB" sz="1800" spc="-1" strike="noStrike">
              <a:solidFill>
                <a:srgbClr val="000000"/>
              </a:solidFill>
              <a:latin typeface="Vodafone Lt"/>
            </a:rPr>
            <a:t>Power (kW)</a:t>
          </a:r>
          <a:endParaRPr b="0" lang="en-US" sz="1800" spc="-1" strike="noStrike">
            <a:latin typeface="Times New Roman"/>
          </a:endParaRPr>
        </a:p>
      </xdr:txBody>
    </xdr:sp>
    <xdr:clientData/>
  </xdr:twoCellAnchor>
  <xdr:twoCellAnchor editAs="twoCell">
    <xdr:from>
      <xdr:col>1</xdr:col>
      <xdr:colOff>444600</xdr:colOff>
      <xdr:row>36</xdr:row>
      <xdr:rowOff>63360</xdr:rowOff>
    </xdr:from>
    <xdr:to>
      <xdr:col>12</xdr:col>
      <xdr:colOff>63360</xdr:colOff>
      <xdr:row>39</xdr:row>
      <xdr:rowOff>75600</xdr:rowOff>
    </xdr:to>
    <xdr:sp>
      <xdr:nvSpPr>
        <xdr:cNvPr id="41" name="CustomShape 1"/>
        <xdr:cNvSpPr/>
      </xdr:nvSpPr>
      <xdr:spPr>
        <a:xfrm>
          <a:off x="933840" y="4703760"/>
          <a:ext cx="5004360" cy="398880"/>
        </a:xfrm>
        <a:prstGeom prst="rect">
          <a:avLst/>
        </a:prstGeom>
        <a:solidFill>
          <a:schemeClr val="lt1"/>
        </a:solidFill>
        <a:ln w="9360">
          <a:noFill/>
        </a:ln>
      </xdr:spPr>
      <xdr:style>
        <a:lnRef idx="0"/>
        <a:fillRef idx="0"/>
        <a:effectRef idx="0"/>
        <a:fontRef idx="minor"/>
      </xdr:style>
      <xdr:txBody>
        <a:bodyPr lIns="90000" rIns="90000" tIns="45000" bIns="45000">
          <a:noAutofit/>
        </a:bodyPr>
        <a:p>
          <a:pPr algn="ctr">
            <a:lnSpc>
              <a:spcPct val="100000"/>
            </a:lnSpc>
            <a:tabLst>
              <a:tab algn="l" pos="0"/>
            </a:tabLst>
          </a:pPr>
          <a:r>
            <a:rPr b="1" lang="en-GB" sz="2400" spc="-1" strike="noStrike">
              <a:solidFill>
                <a:srgbClr val="000000"/>
              </a:solidFill>
              <a:latin typeface="Vodafone Lt"/>
            </a:rPr>
            <a:t>Non- Strategic  Core Sites AC Plant Utilisation</a:t>
          </a:r>
          <a:endParaRPr b="0" lang="en-US" sz="2400" spc="-1" strike="noStrike">
            <a:latin typeface="Times New Roman"/>
          </a:endParaRPr>
        </a:p>
        <a:p>
          <a:pPr>
            <a:lnSpc>
              <a:spcPct val="100000"/>
            </a:lnSpc>
            <a:tabLst>
              <a:tab algn="l" pos="0"/>
            </a:tabLst>
          </a:pPr>
          <a:endParaRPr b="0" lang="en-US" sz="2400" spc="-1" strike="noStrike">
            <a:latin typeface="Times New Roman"/>
          </a:endParaRPr>
        </a:p>
      </xdr:txBody>
    </xdr:sp>
    <xdr:clientData/>
  </xdr:twoCellAnchor>
  <xdr:twoCellAnchor editAs="twoCell">
    <xdr:from>
      <xdr:col>0</xdr:col>
      <xdr:colOff>127080</xdr:colOff>
      <xdr:row>66</xdr:row>
      <xdr:rowOff>12600</xdr:rowOff>
    </xdr:from>
    <xdr:to>
      <xdr:col>25</xdr:col>
      <xdr:colOff>75960</xdr:colOff>
      <xdr:row>70</xdr:row>
      <xdr:rowOff>75600</xdr:rowOff>
    </xdr:to>
    <xdr:sp>
      <xdr:nvSpPr>
        <xdr:cNvPr id="42" name="CustomShape 1"/>
        <xdr:cNvSpPr/>
      </xdr:nvSpPr>
      <xdr:spPr>
        <a:xfrm>
          <a:off x="127080" y="8520120"/>
          <a:ext cx="12188160" cy="578520"/>
        </a:xfrm>
        <a:prstGeom prst="rect">
          <a:avLst/>
        </a:prstGeom>
        <a:solidFill>
          <a:schemeClr val="lt1"/>
        </a:solidFill>
        <a:ln w="9360">
          <a:noFill/>
        </a:ln>
      </xdr:spPr>
      <xdr:style>
        <a:lnRef idx="0"/>
        <a:fillRef idx="0"/>
        <a:effectRef idx="0"/>
        <a:fontRef idx="minor"/>
      </xdr:style>
    </xdr:sp>
    <xdr:clientData/>
  </xdr:twoCellAnchor>
  <xdr:twoCellAnchor editAs="twoCell">
    <xdr:from>
      <xdr:col>15</xdr:col>
      <xdr:colOff>127080</xdr:colOff>
      <xdr:row>42</xdr:row>
      <xdr:rowOff>25560</xdr:rowOff>
    </xdr:from>
    <xdr:to>
      <xdr:col>24</xdr:col>
      <xdr:colOff>317160</xdr:colOff>
      <xdr:row>63</xdr:row>
      <xdr:rowOff>19080</xdr:rowOff>
    </xdr:to>
    <xdr:sp>
      <xdr:nvSpPr>
        <xdr:cNvPr id="43" name="CustomShape 1"/>
        <xdr:cNvSpPr/>
      </xdr:nvSpPr>
      <xdr:spPr>
        <a:xfrm>
          <a:off x="7470720" y="5439240"/>
          <a:ext cx="4596480" cy="2700720"/>
        </a:xfrm>
        <a:prstGeom prst="rect">
          <a:avLst/>
        </a:prstGeom>
        <a:solidFill>
          <a:srgbClr val="ffffff"/>
        </a:solidFill>
        <a:ln w="9360">
          <a:noFill/>
        </a:ln>
      </xdr:spPr>
      <xdr:style>
        <a:lnRef idx="0"/>
        <a:fillRef idx="0"/>
        <a:effectRef idx="0"/>
        <a:fontRef idx="minor"/>
      </xdr:style>
      <xdr:txBody>
        <a:bodyPr lIns="90000" rIns="90000" tIns="45000" bIns="45000">
          <a:noAutofit/>
        </a:bodyPr>
        <a:p>
          <a:pPr>
            <a:lnSpc>
              <a:spcPts val="2500"/>
            </a:lnSpc>
            <a:tabLst>
              <a:tab algn="l" pos="0"/>
            </a:tabLst>
          </a:pPr>
          <a:r>
            <a:rPr b="0" lang="en-GB" sz="2000" spc="-1" strike="noStrike">
              <a:solidFill>
                <a:srgbClr val="000000"/>
              </a:solidFill>
              <a:latin typeface="Vodafone Lt"/>
            </a:rPr>
            <a:t>AC expansion and deployed capability is subject to DC power availability at each site</a:t>
          </a:r>
          <a:endParaRPr b="0" lang="en-US" sz="2000" spc="-1" strike="noStrike">
            <a:latin typeface="Times New Roman"/>
          </a:endParaRPr>
        </a:p>
        <a:p>
          <a:pPr>
            <a:lnSpc>
              <a:spcPts val="2500"/>
            </a:lnSpc>
            <a:tabLst>
              <a:tab algn="l" pos="0"/>
            </a:tabLst>
          </a:pPr>
          <a:endParaRPr b="0" lang="en-US" sz="2000" spc="-1" strike="noStrike">
            <a:latin typeface="Times New Roman"/>
          </a:endParaRPr>
        </a:p>
        <a:p>
          <a:pPr>
            <a:lnSpc>
              <a:spcPts val="2500"/>
            </a:lnSpc>
            <a:tabLst>
              <a:tab algn="l" pos="0"/>
            </a:tabLst>
          </a:pPr>
          <a:r>
            <a:rPr b="0" lang="en-GB" sz="2000" spc="-1" strike="noStrike">
              <a:solidFill>
                <a:srgbClr val="000000"/>
              </a:solidFill>
              <a:latin typeface="Vodafone Lt"/>
            </a:rPr>
            <a:t>The reserved figure at XEH is for Virtulisation use</a:t>
          </a:r>
          <a:endParaRPr b="0" lang="en-US" sz="2000" spc="-1" strike="noStrike">
            <a:latin typeface="Times New Roman"/>
          </a:endParaRPr>
        </a:p>
        <a:p>
          <a:pPr>
            <a:lnSpc>
              <a:spcPts val="2500"/>
            </a:lnSpc>
            <a:tabLst>
              <a:tab algn="l" pos="0"/>
            </a:tabLst>
          </a:pPr>
          <a:endParaRPr b="0" lang="en-US" sz="2000" spc="-1" strike="noStrike">
            <a:latin typeface="Times New Roman"/>
          </a:endParaRPr>
        </a:p>
        <a:p>
          <a:pPr>
            <a:lnSpc>
              <a:spcPts val="2500"/>
            </a:lnSpc>
            <a:tabLst>
              <a:tab algn="l" pos="0"/>
            </a:tabLst>
          </a:pPr>
          <a:endParaRPr b="0" lang="en-US" sz="2000" spc="-1" strike="noStrike">
            <a:latin typeface="Times New Roman"/>
          </a:endParaRPr>
        </a:p>
        <a:p>
          <a:pPr>
            <a:lnSpc>
              <a:spcPts val="2500"/>
            </a:lnSpc>
            <a:tabLst>
              <a:tab algn="l" pos="0"/>
            </a:tabLst>
          </a:pPr>
          <a:endParaRPr b="0" lang="en-US" sz="2000" spc="-1" strike="noStrike">
            <a:latin typeface="Times New Roman"/>
          </a:endParaRPr>
        </a:p>
        <a:p>
          <a:pPr>
            <a:lnSpc>
              <a:spcPts val="1400"/>
            </a:lnSpc>
            <a:tabLst>
              <a:tab algn="l" pos="0"/>
            </a:tabLst>
          </a:pPr>
          <a:endParaRPr b="0" lang="en-US" sz="2000" spc="-1" strike="noStrike">
            <a:latin typeface="Times New Roman"/>
          </a:endParaRPr>
        </a:p>
      </xdr:txBody>
    </xdr:sp>
    <xdr:clientData/>
  </xdr:twoCellAnchor>
  <xdr:twoCellAnchor editAs="oneCell">
    <xdr:from>
      <xdr:col>0</xdr:col>
      <xdr:colOff>101520</xdr:colOff>
      <xdr:row>7</xdr:row>
      <xdr:rowOff>25560</xdr:rowOff>
    </xdr:from>
    <xdr:to>
      <xdr:col>25</xdr:col>
      <xdr:colOff>139320</xdr:colOff>
      <xdr:row>35</xdr:row>
      <xdr:rowOff>50760</xdr:rowOff>
    </xdr:to>
    <xdr:graphicFrame>
      <xdr:nvGraphicFramePr>
        <xdr:cNvPr id="44" name="Chart 17"/>
        <xdr:cNvGraphicFramePr/>
      </xdr:nvGraphicFramePr>
      <xdr:xfrm>
        <a:off x="101520" y="927720"/>
        <a:ext cx="12277080" cy="363456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279360</xdr:colOff>
      <xdr:row>1</xdr:row>
      <xdr:rowOff>0</xdr:rowOff>
    </xdr:from>
    <xdr:to>
      <xdr:col>23</xdr:col>
      <xdr:colOff>88560</xdr:colOff>
      <xdr:row>5</xdr:row>
      <xdr:rowOff>128520</xdr:rowOff>
    </xdr:to>
    <xdr:sp>
      <xdr:nvSpPr>
        <xdr:cNvPr id="45" name="CustomShape 1"/>
        <xdr:cNvSpPr/>
      </xdr:nvSpPr>
      <xdr:spPr>
        <a:xfrm>
          <a:off x="1747800" y="128880"/>
          <a:ext cx="9601200" cy="644040"/>
        </a:xfrm>
        <a:prstGeom prst="rect">
          <a:avLst/>
        </a:prstGeom>
        <a:solidFill>
          <a:schemeClr val="lt1"/>
        </a:solidFill>
        <a:ln w="9360">
          <a:noFill/>
        </a:ln>
      </xdr:spPr>
      <xdr:style>
        <a:lnRef idx="0"/>
        <a:fillRef idx="0"/>
        <a:effectRef idx="0"/>
        <a:fontRef idx="minor"/>
      </xdr:style>
      <xdr:txBody>
        <a:bodyPr lIns="90000" rIns="90000" tIns="45000" bIns="45000">
          <a:noAutofit/>
        </a:bodyPr>
        <a:p>
          <a:pPr algn="ctr">
            <a:lnSpc>
              <a:spcPct val="100000"/>
            </a:lnSpc>
            <a:tabLst>
              <a:tab algn="l" pos="0"/>
            </a:tabLst>
          </a:pPr>
          <a:r>
            <a:rPr b="1" lang="en-GB" sz="3600" spc="-1" strike="noStrike">
              <a:solidFill>
                <a:srgbClr val="000000"/>
              </a:solidFill>
              <a:latin typeface="Vodafone Lt"/>
            </a:rPr>
            <a:t>Non- Strategic Core MTX Sites - 12 Month Power Usage</a:t>
          </a:r>
          <a:endParaRPr b="0" lang="en-US" sz="3600" spc="-1" strike="noStrike">
            <a:latin typeface="Times New Roman"/>
          </a:endParaRPr>
        </a:p>
        <a:p>
          <a:pPr>
            <a:lnSpc>
              <a:spcPct val="100000"/>
            </a:lnSpc>
            <a:tabLst>
              <a:tab algn="l" pos="0"/>
            </a:tabLst>
          </a:pPr>
          <a:endParaRPr b="0" lang="en-US" sz="3600" spc="-1" strike="noStrike">
            <a:latin typeface="Times New Roman"/>
          </a:endParaRPr>
        </a:p>
      </xdr:txBody>
    </xdr:sp>
    <xdr:clientData/>
  </xdr:twoCellAnchor>
  <xdr:twoCellAnchor editAs="twoCell">
    <xdr:from>
      <xdr:col>0</xdr:col>
      <xdr:colOff>365040</xdr:colOff>
      <xdr:row>53</xdr:row>
      <xdr:rowOff>111240</xdr:rowOff>
    </xdr:from>
    <xdr:to>
      <xdr:col>27</xdr:col>
      <xdr:colOff>412200</xdr:colOff>
      <xdr:row>73</xdr:row>
      <xdr:rowOff>128520</xdr:rowOff>
    </xdr:to>
    <xdr:sp>
      <xdr:nvSpPr>
        <xdr:cNvPr id="46" name="CustomShape 1"/>
        <xdr:cNvSpPr/>
      </xdr:nvSpPr>
      <xdr:spPr>
        <a:xfrm>
          <a:off x="365040" y="6942960"/>
          <a:ext cx="13265640" cy="259560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ts val="1599"/>
            </a:lnSpc>
            <a:tabLst>
              <a:tab algn="l" pos="0"/>
            </a:tabLst>
          </a:pPr>
          <a:r>
            <a:rPr b="0" lang="en-GB" sz="2000" spc="-1" strike="noStrike">
              <a:solidFill>
                <a:srgbClr val="000000"/>
              </a:solidFill>
              <a:latin typeface="Vodafone Lt"/>
            </a:rPr>
            <a:t>    </a:t>
          </a:r>
          <a:r>
            <a:rPr b="0" lang="en-GB" sz="2000" spc="-1" strike="noStrike">
              <a:solidFill>
                <a:srgbClr val="000000"/>
              </a:solidFill>
              <a:latin typeface="Vodafone Lt"/>
            </a:rPr>
            <a:t>Power usage figures on AC plants are included in the DC figures as AC power is derived from the DC plants</a:t>
          </a:r>
          <a:endParaRPr b="0" lang="en-US" sz="2000" spc="-1" strike="noStrike">
            <a:latin typeface="Times New Roman"/>
          </a:endParaRPr>
        </a:p>
        <a:p>
          <a:pPr>
            <a:lnSpc>
              <a:spcPts val="1599"/>
            </a:lnSpc>
            <a:tabLst>
              <a:tab algn="l" pos="0"/>
            </a:tabLst>
          </a:pPr>
          <a:endParaRPr b="0" lang="en-US" sz="2000" spc="-1" strike="noStrike">
            <a:latin typeface="Times New Roman"/>
          </a:endParaRPr>
        </a:p>
        <a:p>
          <a:pPr>
            <a:lnSpc>
              <a:spcPct val="100000"/>
            </a:lnSpc>
            <a:tabLst>
              <a:tab algn="l" pos="0"/>
            </a:tabLst>
          </a:pPr>
          <a:r>
            <a:rPr b="0" lang="en-GB" sz="2000" spc="-1" strike="noStrike">
              <a:solidFill>
                <a:srgbClr val="000000"/>
              </a:solidFill>
              <a:latin typeface="Vodafone Lt"/>
            </a:rPr>
            <a:t>There has been a decrease of 22kW in power usage across Non- Strategic Core MTX sites. The forecast and reserved figures predict an increase of 158kW, resulting in a increase of 136kW year on year</a:t>
          </a:r>
          <a:endParaRPr b="0" lang="en-US" sz="2000" spc="-1" strike="noStrike">
            <a:latin typeface="Times New Roman"/>
          </a:endParaRPr>
        </a:p>
        <a:p>
          <a:pPr>
            <a:lnSpc>
              <a:spcPct val="100000"/>
            </a:lnSpc>
            <a:tabLst>
              <a:tab algn="l" pos="0"/>
            </a:tabLst>
          </a:pPr>
          <a:endParaRPr b="0" lang="en-US" sz="2000" spc="-1" strike="noStrike">
            <a:latin typeface="Times New Roman"/>
          </a:endParaRPr>
        </a:p>
        <a:p>
          <a:pPr>
            <a:lnSpc>
              <a:spcPct val="100000"/>
            </a:lnSpc>
            <a:tabLst>
              <a:tab algn="l" pos="0"/>
            </a:tabLst>
          </a:pPr>
          <a:r>
            <a:rPr b="0" lang="en-GB" sz="2000" spc="-1" strike="noStrike">
              <a:solidFill>
                <a:srgbClr val="000000"/>
              </a:solidFill>
              <a:latin typeface="Vodafone Lt"/>
            </a:rPr>
            <a:t>   </a:t>
          </a:r>
          <a:r>
            <a:rPr b="0" lang="en-GB" sz="2000" spc="-1" strike="noStrike" u="sng">
              <a:solidFill>
                <a:srgbClr val="000000"/>
              </a:solidFill>
              <a:uFillTx/>
              <a:latin typeface="Vodafone Lt"/>
            </a:rPr>
            <a:t>Power  Decreases </a:t>
          </a:r>
          <a:r>
            <a:rPr b="0" lang="en-GB" sz="2000" spc="-1" strike="noStrike">
              <a:solidFill>
                <a:srgbClr val="000000"/>
              </a:solidFill>
              <a:latin typeface="Vodafone Lt"/>
            </a:rPr>
            <a:t>- Power downs of RNC, BSC and CBX elements along with the power down and closure of the basement have contibuted to        power decrease figures at XKS</a:t>
          </a:r>
          <a:endParaRPr b="0" lang="en-US" sz="2000" spc="-1" strike="noStrike">
            <a:latin typeface="Times New Roman"/>
          </a:endParaRPr>
        </a:p>
        <a:p>
          <a:pPr>
            <a:lnSpc>
              <a:spcPct val="100000"/>
            </a:lnSpc>
            <a:tabLst>
              <a:tab algn="l" pos="0"/>
            </a:tabLst>
          </a:pPr>
          <a:endParaRPr b="0" lang="en-US" sz="2000" spc="-1" strike="noStrike">
            <a:latin typeface="Times New Roman"/>
          </a:endParaRPr>
        </a:p>
        <a:p>
          <a:pPr>
            <a:lnSpc>
              <a:spcPct val="100000"/>
            </a:lnSpc>
            <a:tabLst>
              <a:tab algn="l" pos="0"/>
            </a:tabLst>
          </a:pPr>
          <a:r>
            <a:rPr b="0" lang="en-GB" sz="2000" spc="-1" strike="noStrike">
              <a:solidFill>
                <a:srgbClr val="000000"/>
              </a:solidFill>
              <a:latin typeface="Vodafone Lt"/>
            </a:rPr>
            <a:t>   </a:t>
          </a:r>
          <a:r>
            <a:rPr b="0" lang="en-GB" sz="2000" spc="-1" strike="noStrike" u="sng">
              <a:solidFill>
                <a:srgbClr val="000000"/>
              </a:solidFill>
              <a:uFillTx/>
              <a:latin typeface="Vodafone Lt"/>
            </a:rPr>
            <a:t>Forecast and Reserved Figures </a:t>
          </a:r>
          <a:r>
            <a:rPr b="0" lang="en-GB" sz="2000" spc="-1" strike="noStrike">
              <a:solidFill>
                <a:srgbClr val="000000"/>
              </a:solidFill>
              <a:latin typeface="Vodafone Lt"/>
            </a:rPr>
            <a:t>- At XSY, the reserved figures include 4kW for CSDB (installed HLR cab not due to be powered on until 2018)</a:t>
          </a:r>
          <a:endParaRPr b="0" lang="en-US" sz="2000" spc="-1" strike="noStrike">
            <a:latin typeface="Times New Roman"/>
          </a:endParaRPr>
        </a:p>
        <a:p>
          <a:pPr>
            <a:lnSpc>
              <a:spcPts val="2900"/>
            </a:lnSpc>
            <a:tabLst>
              <a:tab algn="l" pos="0"/>
            </a:tabLst>
          </a:pPr>
          <a:r>
            <a:rPr b="0" lang="en-GB" sz="2000" spc="-1" strike="noStrike">
              <a:solidFill>
                <a:srgbClr val="000000"/>
              </a:solidFill>
              <a:latin typeface="Vodafone Lt"/>
            </a:rPr>
            <a:t>    </a:t>
          </a:r>
          <a:endParaRPr b="0" lang="en-US" sz="2000" spc="-1" strike="noStrike">
            <a:latin typeface="Times New Roman"/>
          </a:endParaRPr>
        </a:p>
        <a:p>
          <a:pPr>
            <a:lnSpc>
              <a:spcPts val="2900"/>
            </a:lnSpc>
            <a:tabLst>
              <a:tab algn="l" pos="0"/>
            </a:tabLst>
          </a:pPr>
          <a:endParaRPr b="0" lang="en-US" sz="2000" spc="-1" strike="noStrike">
            <a:latin typeface="Times New Roman"/>
          </a:endParaRPr>
        </a:p>
        <a:p>
          <a:pPr>
            <a:lnSpc>
              <a:spcPts val="700"/>
            </a:lnSpc>
            <a:tabLst>
              <a:tab algn="l" pos="0"/>
            </a:tabLst>
          </a:pPr>
          <a:endParaRPr b="0" lang="en-US" sz="2000" spc="-1" strike="noStrike">
            <a:latin typeface="Times New Roman"/>
          </a:endParaRPr>
        </a:p>
        <a:p>
          <a:pPr>
            <a:lnSpc>
              <a:spcPts val="700"/>
            </a:lnSpc>
            <a:tabLst>
              <a:tab algn="l" pos="0"/>
            </a:tabLst>
          </a:pPr>
          <a:endParaRPr b="0" lang="en-US" sz="2000" spc="-1" strike="noStrike">
            <a:latin typeface="Times New Roman"/>
          </a:endParaRPr>
        </a:p>
      </xdr:txBody>
    </xdr:sp>
    <xdr:clientData/>
  </xdr:twoCellAnchor>
  <xdr:twoCellAnchor editAs="twoCell">
    <xdr:from>
      <xdr:col>8</xdr:col>
      <xdr:colOff>368280</xdr:colOff>
      <xdr:row>10</xdr:row>
      <xdr:rowOff>0</xdr:rowOff>
    </xdr:from>
    <xdr:to>
      <xdr:col>18</xdr:col>
      <xdr:colOff>240840</xdr:colOff>
      <xdr:row>12</xdr:row>
      <xdr:rowOff>75960</xdr:rowOff>
    </xdr:to>
    <xdr:sp>
      <xdr:nvSpPr>
        <xdr:cNvPr id="47" name="CustomShape 1"/>
        <xdr:cNvSpPr/>
      </xdr:nvSpPr>
      <xdr:spPr>
        <a:xfrm>
          <a:off x="4284720" y="1288800"/>
          <a:ext cx="4768560" cy="33372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GB" sz="2000" spc="-1" strike="noStrike">
              <a:solidFill>
                <a:srgbClr val="000000"/>
              </a:solidFill>
              <a:latin typeface="Vodafone Lt"/>
            </a:rPr>
            <a:t>SITES CLOSED TO NEW CORE DEPLOYMENT</a:t>
          </a:r>
          <a:endParaRPr b="0" lang="en-US" sz="2000" spc="-1" strike="noStrike">
            <a:latin typeface="Times New Roman"/>
          </a:endParaRPr>
        </a:p>
        <a:p>
          <a:pPr>
            <a:lnSpc>
              <a:spcPct val="100000"/>
            </a:lnSpc>
            <a:tabLst>
              <a:tab algn="l" pos="0"/>
            </a:tabLst>
          </a:pPr>
          <a:endParaRPr b="0" lang="en-US" sz="2000" spc="-1" strike="noStrike">
            <a:latin typeface="Times New Roman"/>
          </a:endParaRPr>
        </a:p>
      </xdr:txBody>
    </xdr:sp>
    <xdr:clientData/>
  </xdr:twoCellAnchor>
  <xdr:twoCellAnchor editAs="oneCell">
    <xdr:from>
      <xdr:col>0</xdr:col>
      <xdr:colOff>485640</xdr:colOff>
      <xdr:row>6</xdr:row>
      <xdr:rowOff>38160</xdr:rowOff>
    </xdr:from>
    <xdr:to>
      <xdr:col>25</xdr:col>
      <xdr:colOff>485280</xdr:colOff>
      <xdr:row>53</xdr:row>
      <xdr:rowOff>66240</xdr:rowOff>
    </xdr:to>
    <xdr:graphicFrame>
      <xdr:nvGraphicFramePr>
        <xdr:cNvPr id="48" name="Chart 6"/>
        <xdr:cNvGraphicFramePr/>
      </xdr:nvGraphicFramePr>
      <xdr:xfrm>
        <a:off x="485640" y="811440"/>
        <a:ext cx="12238920" cy="6086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12600</xdr:colOff>
      <xdr:row>0</xdr:row>
      <xdr:rowOff>79200</xdr:rowOff>
    </xdr:from>
    <xdr:to>
      <xdr:col>24</xdr:col>
      <xdr:colOff>253440</xdr:colOff>
      <xdr:row>4</xdr:row>
      <xdr:rowOff>126360</xdr:rowOff>
    </xdr:to>
    <xdr:sp>
      <xdr:nvSpPr>
        <xdr:cNvPr id="49" name="CustomShape 1"/>
        <xdr:cNvSpPr/>
      </xdr:nvSpPr>
      <xdr:spPr>
        <a:xfrm>
          <a:off x="991440" y="79200"/>
          <a:ext cx="11012040" cy="562680"/>
        </a:xfrm>
        <a:prstGeom prst="rect">
          <a:avLst/>
        </a:prstGeom>
        <a:solidFill>
          <a:schemeClr val="lt1"/>
        </a:solidFill>
        <a:ln w="9360">
          <a:noFill/>
        </a:ln>
      </xdr:spPr>
      <xdr:style>
        <a:lnRef idx="0"/>
        <a:fillRef idx="0"/>
        <a:effectRef idx="0"/>
        <a:fontRef idx="minor"/>
      </xdr:style>
      <xdr:txBody>
        <a:bodyPr lIns="90000" rIns="90000" tIns="45000" bIns="45000">
          <a:noAutofit/>
        </a:bodyPr>
        <a:p>
          <a:pPr algn="ctr">
            <a:lnSpc>
              <a:spcPct val="100000"/>
            </a:lnSpc>
            <a:tabLst>
              <a:tab algn="l" pos="0"/>
            </a:tabLst>
          </a:pPr>
          <a:r>
            <a:rPr b="1" lang="en-GB" sz="3600" spc="-1" strike="noStrike">
              <a:solidFill>
                <a:srgbClr val="000000"/>
              </a:solidFill>
              <a:latin typeface="Vodafone Lt"/>
            </a:rPr>
            <a:t>Non- Strategic Core MTX Sites - Switchroom Floor Space Usage </a:t>
          </a:r>
          <a:endParaRPr b="0" lang="en-US" sz="3600" spc="-1" strike="noStrike">
            <a:latin typeface="Times New Roman"/>
          </a:endParaRPr>
        </a:p>
      </xdr:txBody>
    </xdr:sp>
    <xdr:clientData/>
  </xdr:twoCellAnchor>
  <xdr:twoCellAnchor editAs="twoCell">
    <xdr:from>
      <xdr:col>0</xdr:col>
      <xdr:colOff>203040</xdr:colOff>
      <xdr:row>67</xdr:row>
      <xdr:rowOff>111240</xdr:rowOff>
    </xdr:from>
    <xdr:to>
      <xdr:col>25</xdr:col>
      <xdr:colOff>482040</xdr:colOff>
      <xdr:row>76</xdr:row>
      <xdr:rowOff>12600</xdr:rowOff>
    </xdr:to>
    <xdr:sp>
      <xdr:nvSpPr>
        <xdr:cNvPr id="50" name="CustomShape 1"/>
        <xdr:cNvSpPr/>
      </xdr:nvSpPr>
      <xdr:spPr>
        <a:xfrm>
          <a:off x="203040" y="8747640"/>
          <a:ext cx="12518280" cy="106164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ct val="100000"/>
            </a:lnSpc>
            <a:spcAft>
              <a:spcPts val="601"/>
            </a:spcAft>
            <a:tabLst>
              <a:tab algn="l" pos="0"/>
            </a:tabLst>
          </a:pPr>
          <a:r>
            <a:rPr b="0" lang="en-GB" sz="2400" spc="-1" strike="noStrike">
              <a:solidFill>
                <a:srgbClr val="000000"/>
              </a:solidFill>
              <a:latin typeface="Vodafone Lt"/>
            </a:rPr>
            <a:t>The XKS floorspace figures exclude the caged area on the 3rd floor</a:t>
          </a:r>
          <a:endParaRPr b="0" lang="en-US" sz="2400" spc="-1" strike="noStrike">
            <a:latin typeface="Times New Roman"/>
          </a:endParaRPr>
        </a:p>
        <a:p>
          <a:pPr>
            <a:lnSpc>
              <a:spcPct val="100000"/>
            </a:lnSpc>
            <a:spcAft>
              <a:spcPts val="601"/>
            </a:spcAft>
            <a:tabLst>
              <a:tab algn="l" pos="0"/>
            </a:tabLst>
          </a:pPr>
          <a:r>
            <a:rPr b="0" lang="en-GB" sz="2400" spc="-1" strike="noStrike">
              <a:solidFill>
                <a:srgbClr val="000000"/>
              </a:solidFill>
              <a:latin typeface="Vodafone Lt"/>
            </a:rPr>
            <a:t>Space has been reserved for new inverter systems at the above sites</a:t>
          </a:r>
          <a:endParaRPr b="0" lang="en-US" sz="2400" spc="-1" strike="noStrike">
            <a:latin typeface="Times New Roman"/>
          </a:endParaRPr>
        </a:p>
        <a:p>
          <a:pPr>
            <a:lnSpc>
              <a:spcPct val="100000"/>
            </a:lnSpc>
            <a:spcAft>
              <a:spcPts val="601"/>
            </a:spcAft>
            <a:tabLst>
              <a:tab algn="l" pos="0"/>
            </a:tabLst>
          </a:pPr>
          <a:r>
            <a:rPr b="0" lang="en-GB" sz="2400" spc="-1" strike="noStrike">
              <a:solidFill>
                <a:srgbClr val="000000"/>
              </a:solidFill>
              <a:latin typeface="Vodafone Lt"/>
            </a:rPr>
            <a:t>At XEH, space has also been reserved for x15 Virtulistaion cabs</a:t>
          </a:r>
          <a:endParaRPr b="0" lang="en-US" sz="2400" spc="-1" strike="noStrike">
            <a:latin typeface="Times New Roman"/>
          </a:endParaRPr>
        </a:p>
        <a:p>
          <a:pPr>
            <a:lnSpc>
              <a:spcPct val="100000"/>
            </a:lnSpc>
            <a:tabLst>
              <a:tab algn="l" pos="0"/>
            </a:tabLst>
          </a:pPr>
          <a:endParaRPr b="0" lang="en-US" sz="2400" spc="-1" strike="noStrike">
            <a:latin typeface="Times New Roman"/>
          </a:endParaRPr>
        </a:p>
      </xdr:txBody>
    </xdr:sp>
    <xdr:clientData/>
  </xdr:twoCellAnchor>
  <xdr:twoCellAnchor editAs="twoCell">
    <xdr:from>
      <xdr:col>0</xdr:col>
      <xdr:colOff>406440</xdr:colOff>
      <xdr:row>31</xdr:row>
      <xdr:rowOff>25560</xdr:rowOff>
    </xdr:from>
    <xdr:to>
      <xdr:col>1</xdr:col>
      <xdr:colOff>291960</xdr:colOff>
      <xdr:row>41</xdr:row>
      <xdr:rowOff>37800</xdr:rowOff>
    </xdr:to>
    <xdr:sp>
      <xdr:nvSpPr>
        <xdr:cNvPr id="51" name="CustomShape 1"/>
        <xdr:cNvSpPr/>
      </xdr:nvSpPr>
      <xdr:spPr>
        <a:xfrm>
          <a:off x="406440" y="4021560"/>
          <a:ext cx="374760" cy="1301040"/>
        </a:xfrm>
        <a:prstGeom prst="rect">
          <a:avLst/>
        </a:prstGeom>
        <a:solidFill>
          <a:schemeClr val="lt1"/>
        </a:solidFill>
        <a:ln w="9360">
          <a:noFill/>
        </a:ln>
      </xdr:spPr>
      <xdr:style>
        <a:lnRef idx="0"/>
        <a:fillRef idx="0"/>
        <a:effectRef idx="0"/>
        <a:fontRef idx="minor"/>
      </xdr:style>
      <xdr:txBody>
        <a:bodyPr lIns="90000" rIns="90000" tIns="45000" bIns="45000" vert="vert270" rot="16200000">
          <a:noAutofit/>
        </a:bodyPr>
        <a:p>
          <a:pPr>
            <a:lnSpc>
              <a:spcPct val="100000"/>
            </a:lnSpc>
          </a:pPr>
          <a:r>
            <a:rPr b="0" lang="en-GB" sz="2000" spc="-1" strike="noStrike">
              <a:solidFill>
                <a:srgbClr val="000000"/>
              </a:solidFill>
              <a:latin typeface="Vodafone Lt"/>
            </a:rPr>
            <a:t>Space (m</a:t>
          </a:r>
          <a:r>
            <a:rPr b="0" lang="en-GB" sz="2000" spc="-1" strike="noStrike">
              <a:solidFill>
                <a:srgbClr val="000000"/>
              </a:solidFill>
              <a:latin typeface="Vodafone Lt"/>
            </a:rPr>
            <a:t>²)</a:t>
          </a:r>
          <a:endParaRPr b="0" lang="en-US" sz="2000" spc="-1" strike="noStrike">
            <a:latin typeface="Times New Roman"/>
          </a:endParaRPr>
        </a:p>
      </xdr:txBody>
    </xdr:sp>
    <xdr:clientData/>
  </xdr:twoCellAnchor>
  <xdr:twoCellAnchor editAs="oneCell">
    <xdr:from>
      <xdr:col>0</xdr:col>
      <xdr:colOff>237960</xdr:colOff>
      <xdr:row>5</xdr:row>
      <xdr:rowOff>47520</xdr:rowOff>
    </xdr:from>
    <xdr:to>
      <xdr:col>26</xdr:col>
      <xdr:colOff>94680</xdr:colOff>
      <xdr:row>66</xdr:row>
      <xdr:rowOff>63000</xdr:rowOff>
    </xdr:to>
    <xdr:graphicFrame>
      <xdr:nvGraphicFramePr>
        <xdr:cNvPr id="52" name="Chart 10"/>
        <xdr:cNvGraphicFramePr/>
      </xdr:nvGraphicFramePr>
      <xdr:xfrm>
        <a:off x="237960" y="691920"/>
        <a:ext cx="12585600" cy="7878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127080</xdr:colOff>
      <xdr:row>5</xdr:row>
      <xdr:rowOff>79200</xdr:rowOff>
    </xdr:from>
    <xdr:to>
      <xdr:col>26</xdr:col>
      <xdr:colOff>44280</xdr:colOff>
      <xdr:row>35</xdr:row>
      <xdr:rowOff>94680</xdr:rowOff>
    </xdr:to>
    <xdr:graphicFrame>
      <xdr:nvGraphicFramePr>
        <xdr:cNvPr id="53" name="Chart 6"/>
        <xdr:cNvGraphicFramePr/>
      </xdr:nvGraphicFramePr>
      <xdr:xfrm>
        <a:off x="8939520" y="723600"/>
        <a:ext cx="3833640" cy="3882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twoCell">
    <xdr:from>
      <xdr:col>5</xdr:col>
      <xdr:colOff>333360</xdr:colOff>
      <xdr:row>7</xdr:row>
      <xdr:rowOff>111240</xdr:rowOff>
    </xdr:from>
    <xdr:to>
      <xdr:col>17</xdr:col>
      <xdr:colOff>444240</xdr:colOff>
      <xdr:row>10</xdr:row>
      <xdr:rowOff>79200</xdr:rowOff>
    </xdr:to>
    <xdr:sp>
      <xdr:nvSpPr>
        <xdr:cNvPr id="54" name="CustomShape 1"/>
        <xdr:cNvSpPr/>
      </xdr:nvSpPr>
      <xdr:spPr>
        <a:xfrm>
          <a:off x="2781000" y="1013400"/>
          <a:ext cx="5986080" cy="354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gn="ctr">
            <a:lnSpc>
              <a:spcPct val="100000"/>
            </a:lnSpc>
            <a:tabLst>
              <a:tab algn="l" pos="0"/>
            </a:tabLst>
          </a:pPr>
          <a:r>
            <a:rPr b="0" lang="en-GB" sz="2000" spc="-1" strike="noStrike">
              <a:solidFill>
                <a:srgbClr val="000000"/>
              </a:solidFill>
              <a:latin typeface="Vodafone Lt"/>
            </a:rPr>
            <a:t>NON- STRATEGIC SITES CLOSED TO NEW CORE DEPLOYMENT</a:t>
          </a:r>
          <a:endParaRPr b="0" lang="en-US" sz="2000" spc="-1" strike="noStrike">
            <a:latin typeface="Times New Roman"/>
          </a:endParaRPr>
        </a:p>
        <a:p>
          <a:pPr>
            <a:lnSpc>
              <a:spcPct val="100000"/>
            </a:lnSpc>
            <a:tabLst>
              <a:tab algn="l" pos="0"/>
            </a:tabLst>
          </a:pPr>
          <a:endParaRPr b="0" lang="en-US" sz="2000" spc="-1" strike="noStrike">
            <a:latin typeface="Times New Roman"/>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228600</xdr:colOff>
      <xdr:row>39</xdr:row>
      <xdr:rowOff>104760</xdr:rowOff>
    </xdr:from>
    <xdr:to>
      <xdr:col>25</xdr:col>
      <xdr:colOff>418680</xdr:colOff>
      <xdr:row>69</xdr:row>
      <xdr:rowOff>128520</xdr:rowOff>
    </xdr:to>
    <xdr:graphicFrame>
      <xdr:nvGraphicFramePr>
        <xdr:cNvPr id="55" name="Chart 1"/>
        <xdr:cNvGraphicFramePr/>
      </xdr:nvGraphicFramePr>
      <xdr:xfrm>
        <a:off x="6593040" y="5131800"/>
        <a:ext cx="6064920" cy="3890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twoCell">
    <xdr:from>
      <xdr:col>3</xdr:col>
      <xdr:colOff>406440</xdr:colOff>
      <xdr:row>1</xdr:row>
      <xdr:rowOff>25560</xdr:rowOff>
    </xdr:from>
    <xdr:to>
      <xdr:col>24</xdr:col>
      <xdr:colOff>190080</xdr:colOff>
      <xdr:row>5</xdr:row>
      <xdr:rowOff>101520</xdr:rowOff>
    </xdr:to>
    <xdr:sp>
      <xdr:nvSpPr>
        <xdr:cNvPr id="56" name="CustomShape 1"/>
        <xdr:cNvSpPr/>
      </xdr:nvSpPr>
      <xdr:spPr>
        <a:xfrm>
          <a:off x="1874880" y="154440"/>
          <a:ext cx="10065240" cy="59148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ct val="100000"/>
            </a:lnSpc>
          </a:pPr>
          <a:r>
            <a:rPr b="1" lang="en-GB" sz="3600" spc="-1" strike="noStrike">
              <a:solidFill>
                <a:srgbClr val="000000"/>
              </a:solidFill>
              <a:latin typeface="Vodafone Lt"/>
            </a:rPr>
            <a:t>Core &amp; Network Aggregation Sites - Power Utilisation</a:t>
          </a:r>
          <a:endParaRPr b="0" lang="en-US" sz="3600" spc="-1" strike="noStrike">
            <a:latin typeface="Times New Roman"/>
          </a:endParaRPr>
        </a:p>
      </xdr:txBody>
    </xdr:sp>
    <xdr:clientData/>
  </xdr:twoCellAnchor>
  <xdr:twoCellAnchor editAs="oneCell">
    <xdr:from>
      <xdr:col>0</xdr:col>
      <xdr:colOff>104760</xdr:colOff>
      <xdr:row>39</xdr:row>
      <xdr:rowOff>104760</xdr:rowOff>
    </xdr:from>
    <xdr:to>
      <xdr:col>13</xdr:col>
      <xdr:colOff>199800</xdr:colOff>
      <xdr:row>69</xdr:row>
      <xdr:rowOff>128520</xdr:rowOff>
    </xdr:to>
    <xdr:graphicFrame>
      <xdr:nvGraphicFramePr>
        <xdr:cNvPr id="57" name="Chart 8"/>
        <xdr:cNvGraphicFramePr/>
      </xdr:nvGraphicFramePr>
      <xdr:xfrm>
        <a:off x="104760" y="5131800"/>
        <a:ext cx="6459480" cy="38908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95400</xdr:colOff>
      <xdr:row>7</xdr:row>
      <xdr:rowOff>85680</xdr:rowOff>
    </xdr:from>
    <xdr:to>
      <xdr:col>25</xdr:col>
      <xdr:colOff>419040</xdr:colOff>
      <xdr:row>39</xdr:row>
      <xdr:rowOff>66240</xdr:rowOff>
    </xdr:to>
    <xdr:graphicFrame>
      <xdr:nvGraphicFramePr>
        <xdr:cNvPr id="58" name="Chart 10"/>
        <xdr:cNvGraphicFramePr/>
      </xdr:nvGraphicFramePr>
      <xdr:xfrm>
        <a:off x="95400" y="987840"/>
        <a:ext cx="12562920" cy="41054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228600</xdr:colOff>
      <xdr:row>39</xdr:row>
      <xdr:rowOff>104760</xdr:rowOff>
    </xdr:from>
    <xdr:to>
      <xdr:col>25</xdr:col>
      <xdr:colOff>418680</xdr:colOff>
      <xdr:row>69</xdr:row>
      <xdr:rowOff>128520</xdr:rowOff>
    </xdr:to>
    <xdr:graphicFrame>
      <xdr:nvGraphicFramePr>
        <xdr:cNvPr id="59" name="Chart 1"/>
        <xdr:cNvGraphicFramePr/>
      </xdr:nvGraphicFramePr>
      <xdr:xfrm>
        <a:off x="6593040" y="5131800"/>
        <a:ext cx="6064920" cy="3890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twoCell">
    <xdr:from>
      <xdr:col>3</xdr:col>
      <xdr:colOff>406440</xdr:colOff>
      <xdr:row>1</xdr:row>
      <xdr:rowOff>25560</xdr:rowOff>
    </xdr:from>
    <xdr:to>
      <xdr:col>24</xdr:col>
      <xdr:colOff>190080</xdr:colOff>
      <xdr:row>5</xdr:row>
      <xdr:rowOff>101520</xdr:rowOff>
    </xdr:to>
    <xdr:sp>
      <xdr:nvSpPr>
        <xdr:cNvPr id="60" name="CustomShape 1"/>
        <xdr:cNvSpPr/>
      </xdr:nvSpPr>
      <xdr:spPr>
        <a:xfrm>
          <a:off x="1874880" y="154440"/>
          <a:ext cx="10065240" cy="59148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ct val="100000"/>
            </a:lnSpc>
          </a:pPr>
          <a:r>
            <a:rPr b="1" lang="en-GB" sz="3600" spc="-1" strike="noStrike">
              <a:solidFill>
                <a:srgbClr val="000000"/>
              </a:solidFill>
              <a:latin typeface="Vodafone Lt"/>
            </a:rPr>
            <a:t>Core &amp; Network Aggregation Sites - Power Utilisation</a:t>
          </a:r>
          <a:endParaRPr b="0" lang="en-US" sz="3600" spc="-1" strike="noStrike">
            <a:latin typeface="Times New Roman"/>
          </a:endParaRPr>
        </a:p>
      </xdr:txBody>
    </xdr:sp>
    <xdr:clientData/>
  </xdr:twoCellAnchor>
  <xdr:twoCellAnchor editAs="oneCell">
    <xdr:from>
      <xdr:col>0</xdr:col>
      <xdr:colOff>104760</xdr:colOff>
      <xdr:row>39</xdr:row>
      <xdr:rowOff>104760</xdr:rowOff>
    </xdr:from>
    <xdr:to>
      <xdr:col>13</xdr:col>
      <xdr:colOff>199800</xdr:colOff>
      <xdr:row>69</xdr:row>
      <xdr:rowOff>128520</xdr:rowOff>
    </xdr:to>
    <xdr:graphicFrame>
      <xdr:nvGraphicFramePr>
        <xdr:cNvPr id="61" name="Chart 8"/>
        <xdr:cNvGraphicFramePr/>
      </xdr:nvGraphicFramePr>
      <xdr:xfrm>
        <a:off x="104760" y="5131800"/>
        <a:ext cx="6459480" cy="38908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95400</xdr:colOff>
      <xdr:row>8</xdr:row>
      <xdr:rowOff>0</xdr:rowOff>
    </xdr:from>
    <xdr:to>
      <xdr:col>13</xdr:col>
      <xdr:colOff>203760</xdr:colOff>
      <xdr:row>39</xdr:row>
      <xdr:rowOff>66240</xdr:rowOff>
    </xdr:to>
    <xdr:graphicFrame>
      <xdr:nvGraphicFramePr>
        <xdr:cNvPr id="62" name="Chart 10"/>
        <xdr:cNvGraphicFramePr/>
      </xdr:nvGraphicFramePr>
      <xdr:xfrm>
        <a:off x="95400" y="1031040"/>
        <a:ext cx="6472800" cy="40622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231480</xdr:colOff>
      <xdr:row>8</xdr:row>
      <xdr:rowOff>0</xdr:rowOff>
    </xdr:from>
    <xdr:to>
      <xdr:col>25</xdr:col>
      <xdr:colOff>421560</xdr:colOff>
      <xdr:row>39</xdr:row>
      <xdr:rowOff>67680</xdr:rowOff>
    </xdr:to>
    <xdr:graphicFrame>
      <xdr:nvGraphicFramePr>
        <xdr:cNvPr id="63" name="Chart 10"/>
        <xdr:cNvGraphicFramePr/>
      </xdr:nvGraphicFramePr>
      <xdr:xfrm>
        <a:off x="6595920" y="1031040"/>
        <a:ext cx="6064920" cy="406368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133920</xdr:colOff>
      <xdr:row>66</xdr:row>
      <xdr:rowOff>111240</xdr:rowOff>
    </xdr:from>
    <xdr:to>
      <xdr:col>28</xdr:col>
      <xdr:colOff>301320</xdr:colOff>
      <xdr:row>85</xdr:row>
      <xdr:rowOff>31680</xdr:rowOff>
    </xdr:to>
    <xdr:sp>
      <xdr:nvSpPr>
        <xdr:cNvPr id="64" name="CustomShape 1"/>
        <xdr:cNvSpPr/>
      </xdr:nvSpPr>
      <xdr:spPr>
        <a:xfrm>
          <a:off x="133920" y="8618760"/>
          <a:ext cx="13875480" cy="271188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ct val="100000"/>
            </a:lnSpc>
            <a:spcAft>
              <a:spcPts val="499"/>
            </a:spcAft>
            <a:tabLst>
              <a:tab algn="l" pos="0"/>
            </a:tabLst>
          </a:pPr>
          <a:r>
            <a:rPr b="0" lang="en-GB" sz="2000" spc="-1" strike="noStrike">
              <a:solidFill>
                <a:srgbClr val="000000"/>
              </a:solidFill>
              <a:latin typeface="Vodafone Lt"/>
            </a:rPr>
            <a:t>Power usage effectiveness (PUE) is a measure of how efficiently an MTX uses its power; specifically, how much of the power is actually used by the technology elements in contrast to cooling and other overheads</a:t>
          </a:r>
          <a:endParaRPr b="0" lang="en-US" sz="2000" spc="-1" strike="noStrike">
            <a:latin typeface="Times New Roman"/>
          </a:endParaRPr>
        </a:p>
        <a:p>
          <a:pPr>
            <a:lnSpc>
              <a:spcPct val="100000"/>
            </a:lnSpc>
            <a:spcAft>
              <a:spcPts val="499"/>
            </a:spcAft>
            <a:tabLst>
              <a:tab algn="l" pos="0"/>
            </a:tabLst>
          </a:pPr>
          <a:r>
            <a:rPr b="0" lang="en-GB" sz="2000" spc="-1" strike="noStrike">
              <a:solidFill>
                <a:srgbClr val="000000"/>
              </a:solidFill>
              <a:latin typeface="Vodafone Lt"/>
            </a:rPr>
            <a:t>PUE readings are the average figures taken from the Vodafone Building Management System (BMS)</a:t>
          </a:r>
          <a:endParaRPr b="0" lang="en-US" sz="2000" spc="-1" strike="noStrike">
            <a:latin typeface="Times New Roman"/>
          </a:endParaRPr>
        </a:p>
        <a:p>
          <a:pPr>
            <a:lnSpc>
              <a:spcPct val="100000"/>
            </a:lnSpc>
            <a:spcAft>
              <a:spcPts val="499"/>
            </a:spcAft>
            <a:tabLst>
              <a:tab algn="l" pos="0"/>
            </a:tabLst>
          </a:pPr>
          <a:r>
            <a:rPr b="0" lang="en-GB" sz="2000" spc="-1" strike="noStrike">
              <a:solidFill>
                <a:srgbClr val="000000"/>
              </a:solidFill>
              <a:latin typeface="Vodafone Lt"/>
            </a:rPr>
            <a:t>A PUE value of 1.5 is our current target, the lower the PUE value, the better the energy efficiency of the MTX</a:t>
          </a:r>
          <a:endParaRPr b="0" lang="en-US" sz="2000" spc="-1" strike="noStrike">
            <a:latin typeface="Times New Roman"/>
          </a:endParaRPr>
        </a:p>
        <a:p>
          <a:pPr>
            <a:lnSpc>
              <a:spcPct val="100000"/>
            </a:lnSpc>
            <a:spcAft>
              <a:spcPts val="499"/>
            </a:spcAft>
            <a:tabLst>
              <a:tab algn="l" pos="0"/>
            </a:tabLst>
          </a:pPr>
          <a:r>
            <a:rPr b="0" lang="en-GB" sz="2000" spc="-1" strike="noStrike">
              <a:solidFill>
                <a:srgbClr val="000000"/>
              </a:solidFill>
              <a:latin typeface="Vodafone Lt"/>
            </a:rPr>
            <a:t>The building infrastructure that governs the PUE value is controlled by MITIE  </a:t>
          </a:r>
          <a:endParaRPr b="0" lang="en-US" sz="2000" spc="-1" strike="noStrike">
            <a:latin typeface="Times New Roman"/>
          </a:endParaRPr>
        </a:p>
        <a:p>
          <a:pPr>
            <a:lnSpc>
              <a:spcPct val="100000"/>
            </a:lnSpc>
            <a:spcAft>
              <a:spcPts val="601"/>
            </a:spcAft>
            <a:tabLst>
              <a:tab algn="l" pos="0"/>
            </a:tabLst>
          </a:pPr>
          <a:endParaRPr b="0" lang="en-US" sz="2000" spc="-1" strike="noStrike">
            <a:latin typeface="Times New Roman"/>
          </a:endParaRPr>
        </a:p>
        <a:p>
          <a:pPr>
            <a:lnSpc>
              <a:spcPts val="6199"/>
            </a:lnSpc>
            <a:spcBef>
              <a:spcPts val="601"/>
            </a:spcBef>
            <a:spcAft>
              <a:spcPts val="601"/>
            </a:spcAft>
            <a:tabLst>
              <a:tab algn="l" pos="0"/>
            </a:tabLst>
          </a:pPr>
          <a:endParaRPr b="0" lang="en-US" sz="2000" spc="-1" strike="noStrike">
            <a:latin typeface="Times New Roman"/>
          </a:endParaRPr>
        </a:p>
        <a:p>
          <a:pPr>
            <a:lnSpc>
              <a:spcPts val="300"/>
            </a:lnSpc>
            <a:tabLst>
              <a:tab algn="l" pos="0"/>
            </a:tabLst>
          </a:pPr>
          <a:endParaRPr b="0" lang="en-US" sz="2000" spc="-1" strike="noStrike">
            <a:latin typeface="Times New Roman"/>
          </a:endParaRPr>
        </a:p>
      </xdr:txBody>
    </xdr:sp>
    <xdr:clientData/>
  </xdr:twoCellAnchor>
  <xdr:twoCellAnchor editAs="twoCell">
    <xdr:from>
      <xdr:col>3</xdr:col>
      <xdr:colOff>317520</xdr:colOff>
      <xdr:row>0</xdr:row>
      <xdr:rowOff>0</xdr:rowOff>
    </xdr:from>
    <xdr:to>
      <xdr:col>22</xdr:col>
      <xdr:colOff>203040</xdr:colOff>
      <xdr:row>4</xdr:row>
      <xdr:rowOff>12240</xdr:rowOff>
    </xdr:to>
    <xdr:sp>
      <xdr:nvSpPr>
        <xdr:cNvPr id="65" name="CustomShape 1"/>
        <xdr:cNvSpPr/>
      </xdr:nvSpPr>
      <xdr:spPr>
        <a:xfrm>
          <a:off x="1785960" y="0"/>
          <a:ext cx="9187920" cy="527760"/>
        </a:xfrm>
        <a:prstGeom prst="rect">
          <a:avLst/>
        </a:prstGeom>
        <a:solidFill>
          <a:schemeClr val="lt1"/>
        </a:solidFill>
        <a:ln w="9360">
          <a:noFill/>
        </a:ln>
      </xdr:spPr>
      <xdr:style>
        <a:lnRef idx="0"/>
        <a:fillRef idx="0"/>
        <a:effectRef idx="0"/>
        <a:fontRef idx="minor"/>
      </xdr:style>
      <xdr:txBody>
        <a:bodyPr lIns="90000" rIns="90000" tIns="45000" bIns="45000" anchor="ctr">
          <a:noAutofit/>
        </a:bodyPr>
        <a:p>
          <a:pPr algn="ctr">
            <a:lnSpc>
              <a:spcPct val="100000"/>
            </a:lnSpc>
          </a:pPr>
          <a:r>
            <a:rPr b="1" lang="en-GB" sz="3600" spc="-1" strike="noStrike">
              <a:solidFill>
                <a:srgbClr val="000000"/>
              </a:solidFill>
              <a:latin typeface="Vodafone Lt"/>
            </a:rPr>
            <a:t>Core MTX Sites - Power Usage Effectiveness (PUE)</a:t>
          </a:r>
          <a:endParaRPr b="0" lang="en-US" sz="3600" spc="-1" strike="noStrike">
            <a:latin typeface="Times New Roman"/>
          </a:endParaRPr>
        </a:p>
      </xdr:txBody>
    </xdr:sp>
    <xdr:clientData/>
  </xdr:twoCellAnchor>
  <xdr:twoCellAnchor editAs="oneCell">
    <xdr:from>
      <xdr:col>0</xdr:col>
      <xdr:colOff>133200</xdr:colOff>
      <xdr:row>36</xdr:row>
      <xdr:rowOff>63360</xdr:rowOff>
    </xdr:from>
    <xdr:to>
      <xdr:col>27</xdr:col>
      <xdr:colOff>47160</xdr:colOff>
      <xdr:row>66</xdr:row>
      <xdr:rowOff>97920</xdr:rowOff>
    </xdr:to>
    <xdr:graphicFrame>
      <xdr:nvGraphicFramePr>
        <xdr:cNvPr id="66" name="Chart 8"/>
        <xdr:cNvGraphicFramePr/>
      </xdr:nvGraphicFramePr>
      <xdr:xfrm>
        <a:off x="133200" y="4703760"/>
        <a:ext cx="13132440" cy="39016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142920</xdr:colOff>
      <xdr:row>5</xdr:row>
      <xdr:rowOff>95400</xdr:rowOff>
    </xdr:from>
    <xdr:to>
      <xdr:col>27</xdr:col>
      <xdr:colOff>47160</xdr:colOff>
      <xdr:row>35</xdr:row>
      <xdr:rowOff>79200</xdr:rowOff>
    </xdr:to>
    <xdr:graphicFrame>
      <xdr:nvGraphicFramePr>
        <xdr:cNvPr id="67" name="Chart 13"/>
        <xdr:cNvGraphicFramePr/>
      </xdr:nvGraphicFramePr>
      <xdr:xfrm>
        <a:off x="142920" y="739800"/>
        <a:ext cx="13122720" cy="38509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twoCell">
    <xdr:from>
      <xdr:col>2</xdr:col>
      <xdr:colOff>190440</xdr:colOff>
      <xdr:row>22</xdr:row>
      <xdr:rowOff>106920</xdr:rowOff>
    </xdr:from>
    <xdr:to>
      <xdr:col>24</xdr:col>
      <xdr:colOff>345240</xdr:colOff>
      <xdr:row>22</xdr:row>
      <xdr:rowOff>106920</xdr:rowOff>
    </xdr:to>
    <xdr:sp>
      <xdr:nvSpPr>
        <xdr:cNvPr id="68" name="Line 1"/>
        <xdr:cNvSpPr/>
      </xdr:nvSpPr>
      <xdr:spPr>
        <a:xfrm>
          <a:off x="1169280" y="2942640"/>
          <a:ext cx="10926000" cy="0"/>
        </a:xfrm>
        <a:prstGeom prst="line">
          <a:avLst/>
        </a:prstGeom>
        <a:ln>
          <a:prstDash val="lgDash"/>
          <a:round/>
        </a:ln>
      </xdr:spPr>
      <xdr:style>
        <a:lnRef idx="2">
          <a:schemeClr val="accent2"/>
        </a:lnRef>
        <a:fillRef idx="0">
          <a:schemeClr val="accent2"/>
        </a:fillRef>
        <a:effectRef idx="1">
          <a:schemeClr val="accent2"/>
        </a:effectRef>
        <a:fontRef idx="minor"/>
      </xdr:style>
    </xdr:sp>
    <xdr:clientData/>
  </xdr:twoCellAnchor>
  <xdr:twoCellAnchor editAs="twoCell">
    <xdr:from>
      <xdr:col>2</xdr:col>
      <xdr:colOff>106920</xdr:colOff>
      <xdr:row>56</xdr:row>
      <xdr:rowOff>1800</xdr:rowOff>
    </xdr:from>
    <xdr:to>
      <xdr:col>24</xdr:col>
      <xdr:colOff>226080</xdr:colOff>
      <xdr:row>56</xdr:row>
      <xdr:rowOff>1800</xdr:rowOff>
    </xdr:to>
    <xdr:sp>
      <xdr:nvSpPr>
        <xdr:cNvPr id="69" name="Line 1"/>
        <xdr:cNvSpPr/>
      </xdr:nvSpPr>
      <xdr:spPr>
        <a:xfrm>
          <a:off x="1085760" y="7220160"/>
          <a:ext cx="10890360" cy="0"/>
        </a:xfrm>
        <a:prstGeom prst="line">
          <a:avLst/>
        </a:prstGeom>
        <a:ln>
          <a:prstDash val="lgDash"/>
          <a:round/>
        </a:ln>
      </xdr:spPr>
      <xdr:style>
        <a:lnRef idx="2">
          <a:schemeClr val="accent2"/>
        </a:lnRef>
        <a:fillRef idx="0">
          <a:schemeClr val="accent2"/>
        </a:fillRef>
        <a:effectRef idx="1">
          <a:schemeClr val="accent2"/>
        </a:effectRef>
        <a:fontRef idx="minor"/>
      </xdr:style>
    </xdr:sp>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390600</xdr:colOff>
      <xdr:row>5</xdr:row>
      <xdr:rowOff>95400</xdr:rowOff>
    </xdr:from>
    <xdr:to>
      <xdr:col>24</xdr:col>
      <xdr:colOff>444240</xdr:colOff>
      <xdr:row>30</xdr:row>
      <xdr:rowOff>31680</xdr:rowOff>
    </xdr:to>
    <xdr:graphicFrame>
      <xdr:nvGraphicFramePr>
        <xdr:cNvPr id="70" name="Chart 3"/>
        <xdr:cNvGraphicFramePr/>
      </xdr:nvGraphicFramePr>
      <xdr:xfrm>
        <a:off x="390600" y="739800"/>
        <a:ext cx="11803680" cy="31590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twoCell">
    <xdr:from>
      <xdr:col>2</xdr:col>
      <xdr:colOff>334440</xdr:colOff>
      <xdr:row>1</xdr:row>
      <xdr:rowOff>13320</xdr:rowOff>
    </xdr:from>
    <xdr:to>
      <xdr:col>24</xdr:col>
      <xdr:colOff>26640</xdr:colOff>
      <xdr:row>5</xdr:row>
      <xdr:rowOff>27000</xdr:rowOff>
    </xdr:to>
    <xdr:sp>
      <xdr:nvSpPr>
        <xdr:cNvPr id="71" name="CustomShape 1"/>
        <xdr:cNvSpPr/>
      </xdr:nvSpPr>
      <xdr:spPr>
        <a:xfrm>
          <a:off x="1313280" y="142200"/>
          <a:ext cx="10463400" cy="529200"/>
        </a:xfrm>
        <a:prstGeom prst="rect">
          <a:avLst/>
        </a:prstGeom>
        <a:solidFill>
          <a:schemeClr val="lt1"/>
        </a:solidFill>
        <a:ln w="9360">
          <a:noFill/>
        </a:ln>
      </xdr:spPr>
      <xdr:style>
        <a:lnRef idx="0"/>
        <a:fillRef idx="0"/>
        <a:effectRef idx="0"/>
        <a:fontRef idx="minor"/>
      </xdr:style>
      <xdr:txBody>
        <a:bodyPr lIns="90000" rIns="90000" tIns="45000" bIns="45000" anchor="b">
          <a:noAutofit/>
        </a:bodyPr>
        <a:p>
          <a:pPr algn="ctr">
            <a:lnSpc>
              <a:spcPct val="100000"/>
            </a:lnSpc>
          </a:pPr>
          <a:r>
            <a:rPr b="1" lang="en-GB" sz="3600" spc="-1" strike="noStrike">
              <a:solidFill>
                <a:srgbClr val="000000"/>
              </a:solidFill>
              <a:latin typeface="Vodafone Lt"/>
            </a:rPr>
            <a:t>Network Aggregation Sites - Power Breakdown</a:t>
          </a:r>
          <a:endParaRPr b="0" lang="en-US" sz="3600" spc="-1" strike="noStrike">
            <a:latin typeface="Times New Roman"/>
          </a:endParaRPr>
        </a:p>
        <a:p>
          <a:pPr>
            <a:lnSpc>
              <a:spcPct val="100000"/>
            </a:lnSpc>
          </a:pPr>
          <a:endParaRPr b="0" lang="en-US" sz="3600" spc="-1" strike="noStrike">
            <a:latin typeface="Times New Roman"/>
          </a:endParaRPr>
        </a:p>
      </xdr:txBody>
    </xdr:sp>
    <xdr:clientData/>
  </xdr:twoCellAnchor>
  <xdr:twoCellAnchor editAs="twoCell">
    <xdr:from>
      <xdr:col>6</xdr:col>
      <xdr:colOff>274320</xdr:colOff>
      <xdr:row>36</xdr:row>
      <xdr:rowOff>95400</xdr:rowOff>
    </xdr:from>
    <xdr:to>
      <xdr:col>18</xdr:col>
      <xdr:colOff>66600</xdr:colOff>
      <xdr:row>40</xdr:row>
      <xdr:rowOff>38880</xdr:rowOff>
    </xdr:to>
    <xdr:sp>
      <xdr:nvSpPr>
        <xdr:cNvPr id="72" name="CustomShape 1"/>
        <xdr:cNvSpPr/>
      </xdr:nvSpPr>
      <xdr:spPr>
        <a:xfrm>
          <a:off x="3211560" y="4735800"/>
          <a:ext cx="5667480" cy="459000"/>
        </a:xfrm>
        <a:prstGeom prst="rect">
          <a:avLst/>
        </a:prstGeom>
        <a:solidFill>
          <a:schemeClr val="lt1"/>
        </a:solidFill>
        <a:ln w="9360">
          <a:noFill/>
        </a:ln>
      </xdr:spPr>
      <xdr:style>
        <a:lnRef idx="0"/>
        <a:fillRef idx="0"/>
        <a:effectRef idx="0"/>
        <a:fontRef idx="minor"/>
      </xdr:style>
      <xdr:txBody>
        <a:bodyPr lIns="90000" rIns="90000" tIns="45000" bIns="45000" anchor="ctr">
          <a:noAutofit/>
        </a:bodyPr>
        <a:p>
          <a:pPr algn="ctr">
            <a:lnSpc>
              <a:spcPct val="100000"/>
            </a:lnSpc>
          </a:pPr>
          <a:r>
            <a:rPr b="1" lang="en-GB" sz="3600" spc="-1" strike="noStrike">
              <a:solidFill>
                <a:srgbClr val="000000"/>
              </a:solidFill>
              <a:latin typeface="Vodafone Lt"/>
            </a:rPr>
            <a:t>Canal House Computer Room</a:t>
          </a:r>
          <a:endParaRPr b="0" lang="en-US" sz="3600" spc="-1" strike="noStrike">
            <a:latin typeface="Times New Roman"/>
          </a:endParaRPr>
        </a:p>
      </xdr:txBody>
    </xdr:sp>
    <xdr:clientData/>
  </xdr:twoCellAnchor>
  <xdr:twoCellAnchor editAs="twoCell">
    <xdr:from>
      <xdr:col>19</xdr:col>
      <xdr:colOff>350280</xdr:colOff>
      <xdr:row>20</xdr:row>
      <xdr:rowOff>105480</xdr:rowOff>
    </xdr:from>
    <xdr:to>
      <xdr:col>24</xdr:col>
      <xdr:colOff>135720</xdr:colOff>
      <xdr:row>29</xdr:row>
      <xdr:rowOff>81360</xdr:rowOff>
    </xdr:to>
    <xdr:sp>
      <xdr:nvSpPr>
        <xdr:cNvPr id="73" name="CustomShape 1"/>
        <xdr:cNvSpPr/>
      </xdr:nvSpPr>
      <xdr:spPr>
        <a:xfrm>
          <a:off x="9652320" y="2683440"/>
          <a:ext cx="2233440" cy="1136160"/>
        </a:xfrm>
        <a:prstGeom prst="rect">
          <a:avLst/>
        </a:prstGeom>
        <a:solidFill>
          <a:schemeClr val="lt1"/>
        </a:solidFill>
        <a:ln w="9360">
          <a:noFill/>
        </a:ln>
      </xdr:spPr>
      <xdr:style>
        <a:lnRef idx="0"/>
        <a:fillRef idx="0"/>
        <a:effectRef idx="0"/>
        <a:fontRef idx="minor"/>
      </xdr:style>
    </xdr:sp>
    <xdr:clientData/>
  </xdr:twoCellAnchor>
  <xdr:twoCellAnchor editAs="twoCell">
    <xdr:from>
      <xdr:col>0</xdr:col>
      <xdr:colOff>209880</xdr:colOff>
      <xdr:row>66</xdr:row>
      <xdr:rowOff>40680</xdr:rowOff>
    </xdr:from>
    <xdr:to>
      <xdr:col>26</xdr:col>
      <xdr:colOff>27000</xdr:colOff>
      <xdr:row>71</xdr:row>
      <xdr:rowOff>108360</xdr:rowOff>
    </xdr:to>
    <xdr:sp>
      <xdr:nvSpPr>
        <xdr:cNvPr id="74" name="CustomShape 1"/>
        <xdr:cNvSpPr/>
      </xdr:nvSpPr>
      <xdr:spPr>
        <a:xfrm>
          <a:off x="209880" y="8548200"/>
          <a:ext cx="12546000" cy="71208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ct val="100000"/>
            </a:lnSpc>
            <a:tabLst>
              <a:tab algn="l" pos="0"/>
            </a:tabLst>
          </a:pPr>
          <a:r>
            <a:rPr b="0" lang="en-GB" sz="1800" spc="-1" strike="noStrike">
              <a:solidFill>
                <a:srgbClr val="000000"/>
              </a:solidFill>
              <a:latin typeface="Vodafone Lt"/>
            </a:rPr>
            <a:t> </a:t>
          </a:r>
          <a:endParaRPr b="0" lang="en-US" sz="1800" spc="-1" strike="noStrike">
            <a:latin typeface="Times New Roman"/>
          </a:endParaRPr>
        </a:p>
      </xdr:txBody>
    </xdr:sp>
    <xdr:clientData/>
  </xdr:twoCellAnchor>
  <xdr:twoCellAnchor editAs="twoCell">
    <xdr:from>
      <xdr:col>0</xdr:col>
      <xdr:colOff>474480</xdr:colOff>
      <xdr:row>30</xdr:row>
      <xdr:rowOff>95400</xdr:rowOff>
    </xdr:from>
    <xdr:to>
      <xdr:col>24</xdr:col>
      <xdr:colOff>230760</xdr:colOff>
      <xdr:row>35</xdr:row>
      <xdr:rowOff>67680</xdr:rowOff>
    </xdr:to>
    <xdr:sp>
      <xdr:nvSpPr>
        <xdr:cNvPr id="75" name="CustomShape 1"/>
        <xdr:cNvSpPr/>
      </xdr:nvSpPr>
      <xdr:spPr>
        <a:xfrm>
          <a:off x="474480" y="3962520"/>
          <a:ext cx="11506320" cy="61668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ct val="100000"/>
            </a:lnSpc>
            <a:tabLst>
              <a:tab algn="l" pos="0"/>
            </a:tabLst>
          </a:pPr>
          <a:r>
            <a:rPr b="0" lang="en-GB" sz="1800" spc="-1" strike="noStrike">
              <a:solidFill>
                <a:srgbClr val="000000"/>
              </a:solidFill>
              <a:latin typeface="Vodafone Lt"/>
            </a:rPr>
            <a:t> </a:t>
          </a:r>
          <a:endParaRPr b="0" lang="en-US" sz="1800" spc="-1" strike="noStrike">
            <a:latin typeface="Times New Roman"/>
          </a:endParaRPr>
        </a:p>
      </xdr:txBody>
    </xdr:sp>
    <xdr:clientData/>
  </xdr:twoCellAnchor>
  <xdr:twoCellAnchor editAs="oneCell">
    <xdr:from>
      <xdr:col>12</xdr:col>
      <xdr:colOff>371520</xdr:colOff>
      <xdr:row>41</xdr:row>
      <xdr:rowOff>73440</xdr:rowOff>
    </xdr:from>
    <xdr:to>
      <xdr:col>25</xdr:col>
      <xdr:colOff>6480</xdr:colOff>
      <xdr:row>65</xdr:row>
      <xdr:rowOff>75960</xdr:rowOff>
    </xdr:to>
    <xdr:graphicFrame>
      <xdr:nvGraphicFramePr>
        <xdr:cNvPr id="76" name="Chart 12"/>
        <xdr:cNvGraphicFramePr/>
      </xdr:nvGraphicFramePr>
      <xdr:xfrm>
        <a:off x="6246360" y="5358240"/>
        <a:ext cx="5999400" cy="309636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356400</xdr:colOff>
      <xdr:row>41</xdr:row>
      <xdr:rowOff>78840</xdr:rowOff>
    </xdr:from>
    <xdr:to>
      <xdr:col>12</xdr:col>
      <xdr:colOff>260640</xdr:colOff>
      <xdr:row>65</xdr:row>
      <xdr:rowOff>78480</xdr:rowOff>
    </xdr:to>
    <xdr:graphicFrame>
      <xdr:nvGraphicFramePr>
        <xdr:cNvPr id="77" name="Chart 11"/>
        <xdr:cNvGraphicFramePr/>
      </xdr:nvGraphicFramePr>
      <xdr:xfrm>
        <a:off x="356400" y="5363640"/>
        <a:ext cx="5779080" cy="309348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twoCell">
    <xdr:from>
      <xdr:col>4</xdr:col>
      <xdr:colOff>54360</xdr:colOff>
      <xdr:row>42</xdr:row>
      <xdr:rowOff>40680</xdr:rowOff>
    </xdr:from>
    <xdr:to>
      <xdr:col>8</xdr:col>
      <xdr:colOff>217440</xdr:colOff>
      <xdr:row>45</xdr:row>
      <xdr:rowOff>40320</xdr:rowOff>
    </xdr:to>
    <xdr:sp>
      <xdr:nvSpPr>
        <xdr:cNvPr id="78" name="CustomShape 1"/>
        <xdr:cNvSpPr/>
      </xdr:nvSpPr>
      <xdr:spPr>
        <a:xfrm>
          <a:off x="2012400" y="5454360"/>
          <a:ext cx="2121480" cy="38664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ct val="100000"/>
            </a:lnSpc>
          </a:pPr>
          <a:r>
            <a:rPr b="0" lang="en-GB" sz="2000" spc="-1" strike="noStrike">
              <a:solidFill>
                <a:srgbClr val="000000"/>
              </a:solidFill>
              <a:latin typeface="Vodafone Lt"/>
            </a:rPr>
            <a:t>Floor Space Usage</a:t>
          </a:r>
          <a:endParaRPr b="0" lang="en-US" sz="2000" spc="-1" strike="noStrike">
            <a:latin typeface="Times New Roman"/>
          </a:endParaRPr>
        </a:p>
      </xdr:txBody>
    </xdr:sp>
    <xdr:clientData/>
  </xdr:twoCellAnchor>
</xdr:wsDr>
</file>

<file path=xl/drawings/drawing20.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266760</xdr:colOff>
      <xdr:row>1</xdr:row>
      <xdr:rowOff>9360</xdr:rowOff>
    </xdr:from>
    <xdr:to>
      <xdr:col>23</xdr:col>
      <xdr:colOff>482400</xdr:colOff>
      <xdr:row>58</xdr:row>
      <xdr:rowOff>12240</xdr:rowOff>
    </xdr:to>
    <xdr:sp>
      <xdr:nvSpPr>
        <xdr:cNvPr id="79" name="CustomShape 1"/>
        <xdr:cNvSpPr/>
      </xdr:nvSpPr>
      <xdr:spPr>
        <a:xfrm>
          <a:off x="266760" y="138240"/>
          <a:ext cx="11476080" cy="7350480"/>
        </a:xfrm>
        <a:prstGeom prst="rect">
          <a:avLst/>
        </a:prstGeom>
        <a:solidFill>
          <a:schemeClr val="lt1"/>
        </a:solidFill>
        <a:ln w="9360">
          <a:noFill/>
        </a:ln>
      </xdr:spPr>
      <xdr:style>
        <a:lnRef idx="0"/>
        <a:fillRef idx="0"/>
        <a:effectRef idx="0"/>
        <a:fontRef idx="minor"/>
      </xdr:style>
      <xdr:txBody>
        <a:bodyPr lIns="90000" rIns="90000" tIns="45000" bIns="45000">
          <a:noAutofit/>
        </a:bodyPr>
        <a:p>
          <a:pPr>
            <a:lnSpc>
              <a:spcPct val="100000"/>
            </a:lnSpc>
          </a:pPr>
          <a:endParaRPr b="0" lang="en-US" sz="1200" spc="-1" strike="noStrike">
            <a:latin typeface="Times New Roman"/>
          </a:endParaRPr>
        </a:p>
        <a:p>
          <a:pPr>
            <a:lnSpc>
              <a:spcPct val="100000"/>
            </a:lnSpc>
          </a:pPr>
          <a:r>
            <a:rPr b="1" lang="en-GB" sz="2400" spc="-1" strike="noStrike">
              <a:solidFill>
                <a:srgbClr val="ff0000"/>
              </a:solidFill>
              <a:latin typeface="Vodafone Lt"/>
            </a:rPr>
            <a:t>Assumptions</a:t>
          </a:r>
          <a:endParaRPr b="0" lang="en-US" sz="2400" spc="-1" strike="noStrike">
            <a:latin typeface="Times New Roman"/>
          </a:endParaRPr>
        </a:p>
        <a:p>
          <a:pPr>
            <a:lnSpc>
              <a:spcPct val="100000"/>
            </a:lnSpc>
          </a:pPr>
          <a:endParaRPr b="0" lang="en-US" sz="2400" spc="-1" strike="noStrike">
            <a:latin typeface="Times New Roman"/>
          </a:endParaRPr>
        </a:p>
        <a:p>
          <a:pPr>
            <a:lnSpc>
              <a:spcPct val="100000"/>
            </a:lnSpc>
          </a:pPr>
          <a:r>
            <a:rPr b="0" lang="en-GB" sz="2000" spc="-1" strike="noStrike">
              <a:solidFill>
                <a:srgbClr val="000000"/>
              </a:solidFill>
              <a:latin typeface="Vodafone Lt"/>
            </a:rPr>
            <a:t> </a:t>
          </a:r>
          <a:r>
            <a:rPr b="0" lang="en-GB" sz="2000" spc="-1" strike="noStrike">
              <a:solidFill>
                <a:srgbClr val="000000"/>
              </a:solidFill>
              <a:latin typeface="Vodafone Lt"/>
            </a:rPr>
            <a:t>For both the Space and Power data, removals will only be included once the actual equipment removal is complete</a:t>
          </a:r>
          <a:endParaRPr b="0" lang="en-US" sz="2000" spc="-1" strike="noStrike">
            <a:latin typeface="Times New Roman"/>
          </a:endParaRPr>
        </a:p>
        <a:p>
          <a:pPr>
            <a:lnSpc>
              <a:spcPct val="100000"/>
            </a:lnSpc>
          </a:pPr>
          <a:r>
            <a:rPr b="0" lang="en-GB" sz="2000" spc="-1" strike="noStrike">
              <a:solidFill>
                <a:srgbClr val="000000"/>
              </a:solidFill>
              <a:latin typeface="Vodafone Lt"/>
            </a:rPr>
            <a:t> </a:t>
          </a:r>
          <a:r>
            <a:rPr b="0" lang="en-GB" sz="2000" spc="-1" strike="noStrike">
              <a:solidFill>
                <a:srgbClr val="000000"/>
              </a:solidFill>
              <a:latin typeface="Vodafone Lt"/>
            </a:rPr>
            <a:t>Likewise, increases in Max Technology Load or Deployed AC or DC Capacity will only be included once the power plant is operational</a:t>
          </a:r>
          <a:endParaRPr b="0" lang="en-US" sz="2000" spc="-1" strike="noStrike">
            <a:latin typeface="Times New Roman"/>
          </a:endParaRPr>
        </a:p>
        <a:p>
          <a:pPr>
            <a:lnSpc>
              <a:spcPct val="100000"/>
            </a:lnSpc>
          </a:pPr>
          <a:r>
            <a:rPr b="0" lang="en-GB" sz="2000" spc="-1" strike="noStrike">
              <a:solidFill>
                <a:srgbClr val="000000"/>
              </a:solidFill>
              <a:latin typeface="Vodafone Lt"/>
            </a:rPr>
            <a:t> </a:t>
          </a:r>
          <a:r>
            <a:rPr b="0" lang="en-GB" sz="2000" spc="-1" strike="noStrike">
              <a:solidFill>
                <a:srgbClr val="000000"/>
              </a:solidFill>
              <a:latin typeface="Vodafone Lt"/>
            </a:rPr>
            <a:t>Forecast figures are based on pre-allocated resources, following review via the space and power governance process, for installations or expansion where the details of the requirement are clear. Forecasts are usually only valid for a period of up to 3 months from receipt of the request after which the request must be reviewed again. </a:t>
          </a:r>
          <a:endParaRPr b="0" lang="en-US" sz="2000" spc="-1" strike="noStrike">
            <a:latin typeface="Times New Roman"/>
          </a:endParaRPr>
        </a:p>
        <a:p>
          <a:pPr>
            <a:lnSpc>
              <a:spcPct val="100000"/>
            </a:lnSpc>
          </a:pPr>
          <a:r>
            <a:rPr b="0" lang="en-GB" sz="2000" spc="-1" strike="noStrike">
              <a:solidFill>
                <a:srgbClr val="000000"/>
              </a:solidFill>
              <a:latin typeface="Vodafone Lt"/>
            </a:rPr>
            <a:t>Reserved figures are based on resources earmarked for future expansion of specific services or infrastructure to prevent their use for other, unrelated, purposes.  This typically applies to resources where no other suitable solution is available to satisfy the future requirement.  Reserved resource status should be reviewed on a 6 monthly basis.</a:t>
          </a:r>
          <a:endParaRPr b="0" lang="en-US" sz="2000" spc="-1" strike="noStrike">
            <a:latin typeface="Times New Roman"/>
          </a:endParaRPr>
        </a:p>
        <a:p>
          <a:pPr>
            <a:lnSpc>
              <a:spcPct val="100000"/>
            </a:lnSpc>
          </a:pPr>
          <a:endParaRPr b="0" lang="en-US" sz="2000" spc="-1" strike="noStrike">
            <a:latin typeface="Times New Roman"/>
          </a:endParaRPr>
        </a:p>
        <a:p>
          <a:pPr>
            <a:lnSpc>
              <a:spcPct val="100000"/>
            </a:lnSpc>
          </a:pPr>
          <a:endParaRPr b="0" lang="en-US" sz="2000" spc="-1" strike="noStrike">
            <a:latin typeface="Times New Roman"/>
          </a:endParaRPr>
        </a:p>
        <a:p>
          <a:pPr>
            <a:lnSpc>
              <a:spcPct val="100000"/>
            </a:lnSpc>
            <a:tabLst>
              <a:tab algn="l" pos="0"/>
            </a:tabLst>
          </a:pPr>
          <a:r>
            <a:rPr b="1" lang="en-GB" sz="2400" spc="-1" strike="noStrike">
              <a:solidFill>
                <a:srgbClr val="ff0000"/>
              </a:solidFill>
              <a:latin typeface="Vodafone Lt"/>
            </a:rPr>
            <a:t>For Information</a:t>
          </a:r>
          <a:endParaRPr b="0" lang="en-US" sz="2400" spc="-1" strike="noStrike">
            <a:latin typeface="Times New Roman"/>
          </a:endParaRPr>
        </a:p>
        <a:p>
          <a:pPr>
            <a:lnSpc>
              <a:spcPct val="100000"/>
            </a:lnSpc>
            <a:tabLst>
              <a:tab algn="l" pos="0"/>
            </a:tabLst>
          </a:pPr>
          <a:endParaRPr b="0" lang="en-US" sz="2400" spc="-1" strike="noStrike">
            <a:latin typeface="Times New Roman"/>
          </a:endParaRPr>
        </a:p>
        <a:p>
          <a:pPr>
            <a:lnSpc>
              <a:spcPct val="100000"/>
            </a:lnSpc>
            <a:tabLst>
              <a:tab algn="l" pos="0"/>
            </a:tabLst>
          </a:pPr>
          <a:r>
            <a:rPr b="0" lang="en-GB" sz="2000" spc="-1" strike="noStrike">
              <a:solidFill>
                <a:srgbClr val="000000"/>
              </a:solidFill>
              <a:latin typeface="Vodafone Lt"/>
            </a:rPr>
            <a:t>Basingstoke and Kings Cross MTX’s are fitted with 1.25MVA generators but the maximum technology load is still capped at 504kW for XBE (the same as Gravelly Hill which has 1MVA generators installed), and 450kW for XKS, this is due to the additional air conditioning at Kings Cross as a result of the multi-floor arrangement.</a:t>
          </a:r>
          <a:endParaRPr b="0" lang="en-US" sz="2000" spc="-1" strike="noStrike">
            <a:latin typeface="Times New Roman"/>
          </a:endParaRPr>
        </a:p>
        <a:p>
          <a:pPr>
            <a:lnSpc>
              <a:spcPct val="100000"/>
            </a:lnSpc>
            <a:tabLst>
              <a:tab algn="l" pos="0"/>
            </a:tabLst>
          </a:pPr>
          <a:endParaRPr b="0" lang="en-US" sz="2000" spc="-1" strike="noStrike">
            <a:latin typeface="Times New Roman"/>
          </a:endParaRPr>
        </a:p>
      </xdr:txBody>
    </xdr:sp>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file>

<file path=xl/drawings/drawing22.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FDCFCE0B/03%20Mar%2018%20Plant%20power%20loading(Dulux).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Users/PEAKEL/AppData/Local/Microsoft/Windows/INetCache/Content.Outlook/3BNZ8OS6/Copy%20of%2005%20May%2019%20Plant%20power%20loading%20(Dulux).xlsx" TargetMode="External"/>
</Relationships>
</file>

<file path=xl/externalLinks/_rels/externalLink3.xml.rels><?xml version="1.0" encoding="UTF-8"?>
<Relationships xmlns="http://schemas.openxmlformats.org/package/2006/relationships"><Relationship Id="rId1" Type="http://schemas.openxmlformats.org/officeDocument/2006/relationships/externalLinkPath" Target="opt/projects/Raw/projects/vodafone-pov-3/structured-data-poc/04%20Apr%2021%20MTX%20Site%20Capacity%20(Dulux).xlsx" TargetMode="External"/>
</Relationships>
</file>

<file path=xl/externalLinks/_rels/externalLink4.xml.rels><?xml version="1.0" encoding="UTF-8"?>
<Relationships xmlns="http://schemas.openxmlformats.org/package/2006/relationships"><Relationship Id="rId1" Type="http://schemas.openxmlformats.org/officeDocument/2006/relationships/externalLinkPath" Target="sites/InfrastructureDelivery462/Shared%20Documents/00%20Project%20Documents/00%20Network/NFV%20FY22_23/Power%20Info/NFV%20ORMT%20Power%20ORMT_SAP_220628_4_11235669.xlsx" TargetMode="External"/>
</Relationships>
</file>

<file path=xl/externalLinks/_rels/externalLink5.xml.rels><?xml version="1.0" encoding="UTF-8"?>
<Relationships xmlns="http://schemas.openxmlformats.org/package/2006/relationships"><Relationship Id="rId1" Type="http://schemas.openxmlformats.org/officeDocument/2006/relationships/externalLinkPath" Target="C:/Users/PEAKEL/AppData/Local/Microsoft/Windows/INetCache/Content.Outlook/NCF9CAE8/2021%2003%20Mar%2021%20MTX%20Site%20Capacity%20(Dulux).xlsx" TargetMode="External"/>
</Relationships>
</file>

<file path=xl/externalLinks/_rels/externalLink6.xml.rels><?xml version="1.0" encoding="UTF-8"?>
<Relationships xmlns="http://schemas.openxmlformats.org/package/2006/relationships"><Relationship Id="rId1" Type="http://schemas.openxmlformats.org/officeDocument/2006/relationships/externalLinkPath" Target="opt/projects/Raw/projects/vodafone-pov-3/structured-data-poc/0" TargetMode="External"/>
</Relationships>
</file>

<file path=xl/externalLinks/_rels/externalLink7.xml.rels><?xml version="1.0" encoding="UTF-8"?>
<Relationships xmlns="http://schemas.openxmlformats.org/package/2006/relationships"><Relationship Id="rId1" Type="http://schemas.openxmlformats.org/officeDocument/2006/relationships/externalLinkPath" Target="sites/InfrastructureDelivery462/Shared%20Documents/01%20Site%20Information/08%20Network%20Sites%20Power%20Distribution%20Records/MTX%20Sites/XGL/XGL001%20UPS_PDU_GIS_Migration_Template_V1.xlsx" TargetMode="External"/>
</Relationships>
</file>

<file path=xl/externalLinks/_rels/externalLink8.xml.rels><?xml version="1.0" encoding="UTF-8"?>
<Relationships xmlns="http://schemas.openxmlformats.org/package/2006/relationships"><Relationship Id="rId1" Type="http://schemas.openxmlformats.org/officeDocument/2006/relationships/externalLinkPath" Target="smb://4DB7C009/BKLN06%20UPS_PDU_GIS_Migration_Template_V1.xlsx" TargetMode="External"/>
</Relationships>
</file>

<file path=xl/externalLinks/_rels/externalLink9.xml.rels><?xml version="1.0" encoding="UTF-8"?>
<Relationships xmlns="http://schemas.openxmlformats.org/package/2006/relationships"><Relationship Id="rId1" Type="http://schemas.openxmlformats.org/officeDocument/2006/relationships/externalLinkPath" Target="smb://3C6AFAD0/BKLN06%20UPS_PDU_GIS_Migration_Template_V1.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Plant loading"/>
      <sheetName val="Inverter Loading"/>
      <sheetName val="Battery Log"/>
      <sheetName val="Plant Loading Property Report"/>
      <sheetName val="ECO Mode"/>
      <sheetName val="Dual Running Anaylsis"/>
      <sheetName val="Building Capability"/>
      <sheetName val="Power figures"/>
      <sheetName val="PUE Values"/>
      <sheetName val="Rolling Figs"/>
      <sheetName val="Cab Floorspace"/>
      <sheetName val="Floorspace Calc"/>
      <sheetName val="Dual Running"/>
      <sheetName val="Copy Battery Log (2)"/>
      <sheetName val="MORAN Analysis 05072013"/>
      <sheetName val="Energy Improvements"/>
      <sheetName val="Rectifier Reduction"/>
      <sheetName val="Plant readings"/>
      <sheetName val="New 12 Monthly"/>
      <sheetName val="New Format Graphs"/>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Plant loading"/>
      <sheetName val="Inverter Loading"/>
      <sheetName val="Battery Log"/>
      <sheetName val="Plant Loading Property Report"/>
      <sheetName val="Building Capability"/>
      <sheetName val="Power figures"/>
      <sheetName val="Cab Floorspace"/>
      <sheetName val="Floorspace Calc"/>
      <sheetName val="Plant readings"/>
      <sheetName val="Graphs"/>
      <sheetName val="12 Monthly Graph"/>
      <sheetName val="Exec Graphs"/>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Plant loading"/>
      <sheetName val="WIP - Modelling Worksheet"/>
      <sheetName val="Inverter Loading"/>
      <sheetName val="Building Capability"/>
      <sheetName val="Battery Log"/>
      <sheetName val="Power figures"/>
      <sheetName val="Cab Floorspace"/>
      <sheetName val="Floorspace Calc"/>
      <sheetName val="Plant readings"/>
      <sheetName val="Graphs"/>
      <sheetName val="12 Monthly Graph"/>
      <sheetName val="Exec Graphs (2)"/>
      <sheetName val="AirCon"/>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s>
    <sheetDataSet>
      <sheetData sheetId="0">
        <row r="4">
          <cell r="W4" t="str">
            <v>Dell S5248F</v>
          </cell>
        </row>
        <row r="5">
          <cell r="W5" t="str">
            <v>Dell S5248F</v>
          </cell>
        </row>
        <row r="6">
          <cell r="W6" t="str">
            <v>Dell S5248F</v>
          </cell>
        </row>
        <row r="7">
          <cell r="W7" t="str">
            <v>Dell S5248F</v>
          </cell>
        </row>
        <row r="8">
          <cell r="W8" t="str">
            <v>Dell S5248F</v>
          </cell>
        </row>
        <row r="9">
          <cell r="W9" t="str">
            <v>Dell S5248F</v>
          </cell>
        </row>
        <row r="10">
          <cell r="W10" t="str">
            <v>Dell S5248F</v>
          </cell>
        </row>
        <row r="11">
          <cell r="W11" t="str">
            <v>Dell S5248F</v>
          </cell>
        </row>
        <row r="15">
          <cell r="W15" t="str">
            <v>Dell S5248F</v>
          </cell>
        </row>
        <row r="16">
          <cell r="W16" t="str">
            <v>Dell S5248F</v>
          </cell>
        </row>
        <row r="17">
          <cell r="W17" t="str">
            <v>Dell S5248F</v>
          </cell>
        </row>
        <row r="18">
          <cell r="W18" t="str">
            <v>Dell S5248F</v>
          </cell>
        </row>
        <row r="19">
          <cell r="W19" t="str">
            <v>Dell S5248F</v>
          </cell>
        </row>
        <row r="20">
          <cell r="W20" t="str">
            <v>Dell S5248F</v>
          </cell>
        </row>
        <row r="21">
          <cell r="W21" t="str">
            <v>Dell S5248F</v>
          </cell>
        </row>
        <row r="22">
          <cell r="W22" t="str">
            <v>Dell S5248F</v>
          </cell>
        </row>
      </sheetData>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Plant loading"/>
      <sheetName val="WIP - Modelling Worksheet"/>
      <sheetName val="Inverter Loading"/>
      <sheetName val="Building Capability"/>
      <sheetName val="Battery Log"/>
      <sheetName val="Plant Loading Property Report"/>
      <sheetName val="Power figures"/>
      <sheetName val="Cab Floorspace"/>
      <sheetName val="Floorspace Calc"/>
      <sheetName val="Plant readings"/>
      <sheetName val="Graphs"/>
      <sheetName val="12 Monthly Graph"/>
      <sheetName val="AirCon"/>
      <sheetName val="Exec Graphs"/>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Power figures"/>
      <sheetName val="Cab Floorspace"/>
    </sheetNames>
    <sheetDataSet>
      <sheetData sheetId="0"/>
      <sheetData sheetId="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PDU 1C"/>
      <sheetName val="PDU 1D"/>
      <sheetName val="PDU 2C "/>
      <sheetName val="PDU 2D"/>
      <sheetName val="PDU 3C"/>
      <sheetName val="PDU 3D"/>
      <sheetName val="PDU 4C"/>
      <sheetName val="PDU 4D"/>
      <sheetName val="PDU 6C"/>
      <sheetName val="PDU 6D"/>
      <sheetName val="PDU 8C"/>
      <sheetName val="PDU 8D"/>
      <sheetName val="How To"/>
      <sheetName val="Data"/>
      <sheetName val="Equip list"/>
      <sheetName val="Equip data"/>
      <sheetName val="Sheet1"/>
    </sheetNames>
    <sheetDataSet>
      <sheetData sheetId="0">
        <row r="5">
          <cell r="J5">
            <v>117.98</v>
          </cell>
          <cell r="K5">
            <v>46.5</v>
          </cell>
        </row>
        <row r="6">
          <cell r="J6">
            <v>97.8</v>
          </cell>
          <cell r="K6">
            <v>35.3</v>
          </cell>
        </row>
        <row r="7">
          <cell r="J7">
            <v>99.94</v>
          </cell>
          <cell r="K7">
            <v>35.8</v>
          </cell>
        </row>
        <row r="8">
          <cell r="J8">
            <v>315.72</v>
          </cell>
          <cell r="K8">
            <v>117.6</v>
          </cell>
        </row>
      </sheetData>
      <sheetData sheetId="1">
        <row r="5">
          <cell r="J5">
            <v>117.98</v>
          </cell>
          <cell r="K5">
            <v>41.7</v>
          </cell>
        </row>
        <row r="6">
          <cell r="J6">
            <v>97.8</v>
          </cell>
          <cell r="K6">
            <v>31.8</v>
          </cell>
        </row>
        <row r="7">
          <cell r="J7">
            <v>99.94</v>
          </cell>
          <cell r="K7">
            <v>32.5</v>
          </cell>
        </row>
        <row r="8">
          <cell r="J8">
            <v>315.72</v>
          </cell>
          <cell r="K8">
            <v>106</v>
          </cell>
        </row>
      </sheetData>
      <sheetData sheetId="2">
        <row r="5">
          <cell r="J5">
            <v>92.9</v>
          </cell>
          <cell r="K5">
            <v>42.9</v>
          </cell>
        </row>
        <row r="6">
          <cell r="J6">
            <v>109.74</v>
          </cell>
          <cell r="K6">
            <v>48.5</v>
          </cell>
        </row>
        <row r="7">
          <cell r="J7">
            <v>105.88</v>
          </cell>
          <cell r="K7">
            <v>47.9</v>
          </cell>
        </row>
        <row r="8">
          <cell r="J8">
            <v>308.52</v>
          </cell>
          <cell r="K8">
            <v>139.3</v>
          </cell>
        </row>
      </sheetData>
      <sheetData sheetId="3">
        <row r="5">
          <cell r="J5">
            <v>92.9</v>
          </cell>
          <cell r="K5">
            <v>38.9</v>
          </cell>
        </row>
        <row r="6">
          <cell r="J6">
            <v>109.74</v>
          </cell>
          <cell r="K6">
            <v>43.1</v>
          </cell>
        </row>
        <row r="7">
          <cell r="J7">
            <v>105.88</v>
          </cell>
          <cell r="K7">
            <v>43.5</v>
          </cell>
        </row>
        <row r="8">
          <cell r="J8">
            <v>308.52</v>
          </cell>
          <cell r="K8">
            <v>125.5</v>
          </cell>
        </row>
      </sheetData>
      <sheetData sheetId="4">
        <row r="5">
          <cell r="J5">
            <v>43.1</v>
          </cell>
          <cell r="K5">
            <v>0</v>
          </cell>
        </row>
        <row r="6">
          <cell r="J6">
            <v>41.2</v>
          </cell>
          <cell r="K6">
            <v>0</v>
          </cell>
        </row>
        <row r="7">
          <cell r="J7">
            <v>19.6</v>
          </cell>
          <cell r="K7">
            <v>0</v>
          </cell>
        </row>
        <row r="8">
          <cell r="J8">
            <v>103.9</v>
          </cell>
          <cell r="K8">
            <v>0</v>
          </cell>
        </row>
      </sheetData>
      <sheetData sheetId="5">
        <row r="5">
          <cell r="J5">
            <v>43.2</v>
          </cell>
          <cell r="K5">
            <v>0</v>
          </cell>
        </row>
        <row r="6">
          <cell r="J6">
            <v>41.2</v>
          </cell>
          <cell r="K6">
            <v>0</v>
          </cell>
        </row>
        <row r="7">
          <cell r="J7">
            <v>19.6</v>
          </cell>
          <cell r="K7">
            <v>0</v>
          </cell>
        </row>
        <row r="8">
          <cell r="J8">
            <v>104</v>
          </cell>
          <cell r="K8">
            <v>0</v>
          </cell>
        </row>
      </sheetData>
      <sheetData sheetId="6">
        <row r="5">
          <cell r="J5">
            <v>0</v>
          </cell>
          <cell r="K5">
            <v>0</v>
          </cell>
        </row>
        <row r="6">
          <cell r="J6">
            <v>0</v>
          </cell>
          <cell r="K6">
            <v>0</v>
          </cell>
        </row>
        <row r="7">
          <cell r="J7">
            <v>0</v>
          </cell>
          <cell r="K7">
            <v>0</v>
          </cell>
        </row>
        <row r="8">
          <cell r="J8">
            <v>0</v>
          </cell>
          <cell r="K8">
            <v>0</v>
          </cell>
        </row>
      </sheetData>
      <sheetData sheetId="7">
        <row r="5">
          <cell r="J5">
            <v>0</v>
          </cell>
          <cell r="K5">
            <v>0</v>
          </cell>
        </row>
        <row r="6">
          <cell r="J6">
            <v>0</v>
          </cell>
          <cell r="K6">
            <v>0</v>
          </cell>
        </row>
        <row r="7">
          <cell r="J7">
            <v>0</v>
          </cell>
          <cell r="K7">
            <v>0</v>
          </cell>
        </row>
        <row r="8">
          <cell r="J8">
            <v>0</v>
          </cell>
          <cell r="K8">
            <v>0</v>
          </cell>
        </row>
      </sheetData>
      <sheetData sheetId="8">
        <row r="5">
          <cell r="J5">
            <v>0</v>
          </cell>
          <cell r="K5">
            <v>0</v>
          </cell>
        </row>
        <row r="6">
          <cell r="J6">
            <v>0</v>
          </cell>
          <cell r="K6">
            <v>0</v>
          </cell>
        </row>
        <row r="7">
          <cell r="J7">
            <v>0</v>
          </cell>
          <cell r="K7">
            <v>0</v>
          </cell>
        </row>
        <row r="8">
          <cell r="J8">
            <v>0</v>
          </cell>
          <cell r="K8">
            <v>0</v>
          </cell>
        </row>
      </sheetData>
      <sheetData sheetId="9">
        <row r="5">
          <cell r="J5">
            <v>0</v>
          </cell>
          <cell r="K5">
            <v>0</v>
          </cell>
        </row>
        <row r="6">
          <cell r="J6">
            <v>0</v>
          </cell>
          <cell r="K6">
            <v>0</v>
          </cell>
        </row>
        <row r="7">
          <cell r="J7">
            <v>0</v>
          </cell>
          <cell r="K7">
            <v>0</v>
          </cell>
        </row>
        <row r="8">
          <cell r="J8">
            <v>0</v>
          </cell>
          <cell r="K8">
            <v>0</v>
          </cell>
        </row>
      </sheetData>
      <sheetData sheetId="10">
        <row r="5">
          <cell r="J5">
            <v>0</v>
          </cell>
          <cell r="K5">
            <v>0</v>
          </cell>
        </row>
        <row r="6">
          <cell r="J6">
            <v>0</v>
          </cell>
          <cell r="K6">
            <v>0</v>
          </cell>
        </row>
        <row r="7">
          <cell r="J7">
            <v>0</v>
          </cell>
          <cell r="K7">
            <v>0</v>
          </cell>
        </row>
        <row r="8">
          <cell r="J8">
            <v>0</v>
          </cell>
          <cell r="K8">
            <v>0</v>
          </cell>
        </row>
      </sheetData>
      <sheetData sheetId="11">
        <row r="5">
          <cell r="J5">
            <v>0</v>
          </cell>
          <cell r="K5">
            <v>0</v>
          </cell>
        </row>
        <row r="6">
          <cell r="J6">
            <v>0</v>
          </cell>
          <cell r="K6">
            <v>0</v>
          </cell>
        </row>
        <row r="7">
          <cell r="J7">
            <v>0</v>
          </cell>
          <cell r="K7">
            <v>0</v>
          </cell>
        </row>
        <row r="8">
          <cell r="J8">
            <v>0</v>
          </cell>
          <cell r="K8">
            <v>0</v>
          </cell>
        </row>
      </sheetData>
      <sheetData sheetId="12"/>
      <sheetData sheetId="13"/>
      <sheetData sheetId="14"/>
      <sheetData sheetId="15"/>
      <sheetData sheetId="16"/>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PDU 1C "/>
      <sheetName val="PDU 1D "/>
      <sheetName val="PDU 4C  "/>
      <sheetName val="PDU 4D "/>
      <sheetName val="PDU 5C "/>
      <sheetName val="PDU 5D"/>
      <sheetName val="PDU 6C"/>
      <sheetName val="PDU 6D"/>
      <sheetName val="PDU 7C "/>
      <sheetName val="PDU 7D"/>
      <sheetName val="PDU 8C"/>
      <sheetName val="PDU 8D "/>
      <sheetName val="How To"/>
      <sheetName val="Data"/>
      <sheetName val="Equip list"/>
      <sheetName val="Equip data"/>
      <sheetName val="Sheet1"/>
    </sheetNames>
    <sheetDataSet>
      <sheetData sheetId="0">
        <row r="5">
          <cell r="J5">
            <v>0</v>
          </cell>
          <cell r="K5">
            <v>0</v>
          </cell>
        </row>
        <row r="6">
          <cell r="J6">
            <v>0</v>
          </cell>
          <cell r="K6">
            <v>0</v>
          </cell>
        </row>
        <row r="7">
          <cell r="J7">
            <v>0</v>
          </cell>
          <cell r="K7">
            <v>0</v>
          </cell>
        </row>
        <row r="8">
          <cell r="J8">
            <v>0</v>
          </cell>
          <cell r="K8">
            <v>0</v>
          </cell>
        </row>
      </sheetData>
      <sheetData sheetId="1">
        <row r="5">
          <cell r="J5">
            <v>0</v>
          </cell>
          <cell r="K5">
            <v>0</v>
          </cell>
        </row>
        <row r="6">
          <cell r="J6">
            <v>0</v>
          </cell>
          <cell r="K6">
            <v>0</v>
          </cell>
        </row>
        <row r="7">
          <cell r="J7">
            <v>0</v>
          </cell>
          <cell r="K7">
            <v>0</v>
          </cell>
        </row>
        <row r="8">
          <cell r="J8">
            <v>0</v>
          </cell>
          <cell r="K8">
            <v>0</v>
          </cell>
        </row>
      </sheetData>
      <sheetData sheetId="2">
        <row r="5">
          <cell r="J5">
            <v>0</v>
          </cell>
          <cell r="K5">
            <v>0</v>
          </cell>
        </row>
        <row r="6">
          <cell r="J6">
            <v>0</v>
          </cell>
          <cell r="K6">
            <v>0</v>
          </cell>
        </row>
        <row r="7">
          <cell r="J7">
            <v>0</v>
          </cell>
          <cell r="K7">
            <v>0</v>
          </cell>
        </row>
        <row r="8">
          <cell r="J8">
            <v>0</v>
          </cell>
          <cell r="K8">
            <v>0</v>
          </cell>
        </row>
      </sheetData>
      <sheetData sheetId="3">
        <row r="5">
          <cell r="J5">
            <v>0</v>
          </cell>
          <cell r="K5">
            <v>0</v>
          </cell>
        </row>
        <row r="6">
          <cell r="J6">
            <v>0</v>
          </cell>
          <cell r="K6">
            <v>0</v>
          </cell>
        </row>
        <row r="7">
          <cell r="J7">
            <v>0</v>
          </cell>
          <cell r="K7">
            <v>0</v>
          </cell>
        </row>
        <row r="8">
          <cell r="J8">
            <v>0</v>
          </cell>
          <cell r="K8">
            <v>0</v>
          </cell>
        </row>
      </sheetData>
      <sheetData sheetId="4">
        <row r="5">
          <cell r="J5">
            <v>0</v>
          </cell>
          <cell r="K5">
            <v>0</v>
          </cell>
        </row>
        <row r="6">
          <cell r="J6">
            <v>0</v>
          </cell>
          <cell r="K6">
            <v>0</v>
          </cell>
        </row>
        <row r="7">
          <cell r="J7">
            <v>0</v>
          </cell>
          <cell r="K7">
            <v>0</v>
          </cell>
        </row>
        <row r="8">
          <cell r="J8">
            <v>0</v>
          </cell>
          <cell r="K8">
            <v>0</v>
          </cell>
        </row>
      </sheetData>
      <sheetData sheetId="5">
        <row r="5">
          <cell r="J5">
            <v>0</v>
          </cell>
          <cell r="K5">
            <v>0</v>
          </cell>
        </row>
        <row r="6">
          <cell r="J6">
            <v>0</v>
          </cell>
          <cell r="K6">
            <v>0</v>
          </cell>
        </row>
        <row r="7">
          <cell r="J7">
            <v>0</v>
          </cell>
          <cell r="K7">
            <v>0</v>
          </cell>
        </row>
        <row r="8">
          <cell r="J8">
            <v>0</v>
          </cell>
          <cell r="K8">
            <v>0</v>
          </cell>
        </row>
      </sheetData>
      <sheetData sheetId="6">
        <row r="8">
          <cell r="J8">
            <v>257.6</v>
          </cell>
        </row>
      </sheetData>
      <sheetData sheetId="7">
        <row r="8">
          <cell r="J8">
            <v>257.6</v>
          </cell>
        </row>
      </sheetData>
      <sheetData sheetId="8"/>
      <sheetData sheetId="9"/>
      <sheetData sheetId="10">
        <row r="5">
          <cell r="J5">
            <v>0</v>
          </cell>
          <cell r="K5">
            <v>0</v>
          </cell>
        </row>
        <row r="6">
          <cell r="J6">
            <v>0</v>
          </cell>
          <cell r="K6">
            <v>0</v>
          </cell>
        </row>
        <row r="7">
          <cell r="J7">
            <v>0</v>
          </cell>
          <cell r="K7">
            <v>0</v>
          </cell>
        </row>
        <row r="8">
          <cell r="J8">
            <v>0</v>
          </cell>
          <cell r="K8">
            <v>0</v>
          </cell>
        </row>
      </sheetData>
      <sheetData sheetId="11">
        <row r="5">
          <cell r="J5">
            <v>0</v>
          </cell>
          <cell r="K5">
            <v>0</v>
          </cell>
        </row>
        <row r="6">
          <cell r="J6">
            <v>0</v>
          </cell>
          <cell r="K6">
            <v>0</v>
          </cell>
        </row>
        <row r="7">
          <cell r="J7">
            <v>0</v>
          </cell>
          <cell r="K7">
            <v>0</v>
          </cell>
        </row>
        <row r="8">
          <cell r="J8">
            <v>0</v>
          </cell>
          <cell r="K8">
            <v>0</v>
          </cell>
        </row>
      </sheetData>
      <sheetData sheetId="12"/>
      <sheetData sheetId="13"/>
      <sheetData sheetId="14"/>
      <sheetData sheetId="15"/>
      <sheetData sheetId="16"/>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PDU 6C"/>
      <sheetName val="PDU 6D"/>
      <sheetName val="PDU 7C "/>
      <sheetName val="PDU 7D"/>
      <sheetName val="How To"/>
      <sheetName val="Data"/>
      <sheetName val="Equip list"/>
      <sheetName val="Equip data"/>
      <sheetName val="Sheet1"/>
    </sheetNames>
    <sheetDataSet>
      <sheetData sheetId="0">
        <row r="5">
          <cell r="J5">
            <v>41.2</v>
          </cell>
          <cell r="K5">
            <v>11.2</v>
          </cell>
        </row>
        <row r="6">
          <cell r="J6">
            <v>32</v>
          </cell>
          <cell r="K6">
            <v>9.4</v>
          </cell>
        </row>
        <row r="7">
          <cell r="J7">
            <v>19.6</v>
          </cell>
          <cell r="K7">
            <v>3.6</v>
          </cell>
        </row>
        <row r="8">
          <cell r="K8">
            <v>24.2</v>
          </cell>
        </row>
      </sheetData>
      <sheetData sheetId="1">
        <row r="5">
          <cell r="J5">
            <v>41.2</v>
          </cell>
          <cell r="K5">
            <v>6.6</v>
          </cell>
        </row>
        <row r="6">
          <cell r="J6">
            <v>32</v>
          </cell>
          <cell r="K6">
            <v>7</v>
          </cell>
        </row>
        <row r="7">
          <cell r="J7">
            <v>19.6</v>
          </cell>
          <cell r="K7">
            <v>3.8</v>
          </cell>
        </row>
        <row r="8">
          <cell r="K8">
            <v>17.4</v>
          </cell>
        </row>
      </sheetData>
      <sheetData sheetId="2">
        <row r="5">
          <cell r="J5">
            <v>84.4</v>
          </cell>
          <cell r="K5">
            <v>33</v>
          </cell>
        </row>
        <row r="6">
          <cell r="J6">
            <v>97.8</v>
          </cell>
          <cell r="K6">
            <v>26</v>
          </cell>
        </row>
        <row r="7">
          <cell r="J7">
            <v>92.8</v>
          </cell>
          <cell r="K7">
            <v>41</v>
          </cell>
        </row>
        <row r="8">
          <cell r="J8">
            <v>275</v>
          </cell>
          <cell r="K8">
            <v>100</v>
          </cell>
        </row>
      </sheetData>
      <sheetData sheetId="3">
        <row r="5">
          <cell r="J5">
            <v>84.4</v>
          </cell>
          <cell r="K5">
            <v>27</v>
          </cell>
        </row>
        <row r="6">
          <cell r="J6">
            <v>97.8</v>
          </cell>
          <cell r="K6">
            <v>25</v>
          </cell>
        </row>
        <row r="7">
          <cell r="J7">
            <v>92.8</v>
          </cell>
          <cell r="K7">
            <v>33</v>
          </cell>
        </row>
        <row r="8">
          <cell r="J8">
            <v>275</v>
          </cell>
          <cell r="K8">
            <v>85</v>
          </cell>
        </row>
      </sheetData>
      <sheetData sheetId="4"/>
      <sheetData sheetId="5"/>
      <sheetData sheetId="6"/>
      <sheetData sheetId="7"/>
      <sheetData sheetId="8"/>
    </sheetDataSet>
  </externalBook>
</externalLink>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110" createdVersion="3">
  <cacheSource type="worksheet">
    <worksheetSource ref="A1:Z115" sheet="DPCache_Plant loading"/>
  </cacheSource>
  <cacheFields count="26">
    <cacheField name="MTX" numFmtId="0">
      <sharedItems containsBlank="1" count="27">
        <s v="Acton"/>
        <s v="Basingstoke"/>
        <s v="Bristol"/>
        <s v="Cardiff"/>
        <s v="Carlisle"/>
        <s v="Crawley"/>
        <s v="Croydon"/>
        <s v="Edinburgh"/>
        <s v="Esher"/>
        <s v="Glasgow TXO"/>
        <s v="Gloucester"/>
        <s v="Gravelly Hill"/>
        <s v="Kings Cross"/>
        <s v="Leeds TXO"/>
        <s v="Leicester"/>
        <s v="Leyland"/>
        <s v="Milton Keynes"/>
        <s v="Newbury"/>
        <s v="Newcastle"/>
        <s v="Oldham"/>
        <s v="Oxford"/>
        <s v="Rotherham"/>
        <s v="Southampton"/>
        <s v="Stafford"/>
        <s v="Swanley"/>
        <s v="Warrington TXO"/>
        <m/>
      </sharedItems>
    </cacheField>
    <cacheField name="Power Element Name" numFmtId="0">
      <sharedItems containsBlank="1" count="110">
        <s v="PEAAN"/>
        <s v="PEABE"/>
        <s v="PEACE"/>
        <s v="PEACY"/>
        <s v="PEAGL"/>
        <s v="PEAGR"/>
        <s v="PEAKS"/>
        <s v="PEALD"/>
        <s v="PEAMS"/>
        <s v="PEAOM"/>
        <s v="PEARM"/>
        <s v="PEASN"/>
        <s v="PEASY"/>
        <s v="PEBAN"/>
        <s v="PEBBE"/>
        <s v="PEBCE"/>
        <s v="PEBCY"/>
        <s v="PEBGL"/>
        <s v="PEBGR"/>
        <s v="PEBKS"/>
        <s v="PEBLD"/>
        <s v="PEBMS"/>
        <s v="PEBOM"/>
        <s v="PEBRM"/>
        <s v="PEBSN"/>
        <s v="PEBSY"/>
        <s v="PECAN"/>
        <s v="PECBE"/>
        <s v="PECCF"/>
        <s v="PECCY"/>
        <s v="PECEH"/>
        <s v="PECGL"/>
        <s v="PECGR"/>
        <s v="PECLD"/>
        <s v="PECMS"/>
        <s v="PECOD"/>
        <s v="PECOM"/>
        <s v="PECRM"/>
        <s v="PECSN"/>
        <s v="PECSY"/>
        <s v="PEDCF"/>
        <s v="PEDCY"/>
        <s v="PEDEH"/>
        <s v="PEDER"/>
        <s v="PEDGL"/>
        <s v="PEDGR"/>
        <s v="PEDLD"/>
        <s v="PEDMS"/>
        <s v="PEDRM"/>
        <s v="PEDSY"/>
        <s v="PEEBE"/>
        <s v="PEECF"/>
        <s v="PEECY"/>
        <s v="PEEEH"/>
        <s v="PEEER"/>
        <s v="PEEGL"/>
        <s v="PEEGR"/>
        <s v="PEEKS"/>
        <s v="PEELD"/>
        <s v="PEEMS"/>
        <s v="PEENE"/>
        <s v="PEERM"/>
        <s v="PEESD"/>
        <s v="PEESN"/>
        <s v="PEESY"/>
        <s v="PEFAN"/>
        <s v="PEFBE"/>
        <s v="PEFBL"/>
        <s v="PEFCN"/>
        <s v="PEFEH"/>
        <s v="PEFER"/>
        <s v="PEFGL"/>
        <s v="PEFLD"/>
        <s v="PEFLR"/>
        <s v="PEFMS"/>
        <s v="PEFNE"/>
        <s v="PEFOD"/>
        <s v="PEFOM"/>
        <s v="PEGAN"/>
        <s v="PEGBE"/>
        <s v="PEGCN"/>
        <s v="PEGEH"/>
        <s v="PEGER"/>
        <s v="PEGLR"/>
        <s v="PEGNE"/>
        <s v="PEGNY"/>
        <s v="PEGOM"/>
        <s v="PEGSD"/>
        <s v="PEHBE"/>
        <s v="PEHBL"/>
        <s v="PEHEH"/>
        <s v="PEHNY"/>
        <s v="PEHOM"/>
        <s v="PEIBE"/>
        <s v="PEIKS"/>
        <s v="PEINY"/>
        <s v="PEJGW"/>
        <s v="PEJKS"/>
        <s v="PEJLS"/>
        <s v="PEJNY"/>
        <s v="PEKGW"/>
        <s v="PEKKS"/>
        <s v="PEKLS"/>
        <s v="PELKS"/>
        <s v="PELWN"/>
        <s v="PEMKS"/>
        <s v="PEMWN"/>
        <s v="PENKS"/>
        <s v="PENWN"/>
        <m/>
      </sharedItems>
    </cacheField>
    <cacheField name="Power Element Type" numFmtId="0">
      <sharedItems containsBlank="1" count="3">
        <s v="eSure"/>
        <s v="NetSure"/>
        <m/>
      </sharedItems>
    </cacheField>
    <cacheField name="Element Load (A) Dec 20" numFmtId="0">
      <sharedItems containsString="0" containsBlank="1" containsNumber="1" containsInteger="1" minValue="32" maxValue="1270" count="103">
        <n v="32"/>
        <n v="53"/>
        <n v="71"/>
        <n v="96"/>
        <n v="98"/>
        <n v="103"/>
        <n v="105"/>
        <n v="129"/>
        <n v="168"/>
        <n v="178"/>
        <n v="186"/>
        <n v="222"/>
        <n v="226"/>
        <n v="238"/>
        <n v="279"/>
        <n v="285"/>
        <n v="314"/>
        <n v="319"/>
        <n v="345"/>
        <n v="347"/>
        <n v="350"/>
        <n v="357"/>
        <n v="380"/>
        <n v="387"/>
        <n v="396"/>
        <n v="403"/>
        <n v="404"/>
        <n v="408"/>
        <n v="410"/>
        <n v="420"/>
        <n v="425"/>
        <n v="434"/>
        <n v="444"/>
        <n v="448"/>
        <n v="452"/>
        <n v="466"/>
        <n v="480"/>
        <n v="498"/>
        <n v="505"/>
        <n v="513"/>
        <n v="514"/>
        <n v="526"/>
        <n v="527"/>
        <n v="532"/>
        <n v="535"/>
        <n v="542"/>
        <n v="552"/>
        <n v="557"/>
        <n v="561"/>
        <n v="596"/>
        <n v="601"/>
        <n v="603"/>
        <n v="613"/>
        <n v="614"/>
        <n v="617"/>
        <n v="618"/>
        <n v="619"/>
        <n v="641"/>
        <n v="655"/>
        <n v="659"/>
        <n v="661"/>
        <n v="671"/>
        <n v="685"/>
        <n v="688"/>
        <n v="694"/>
        <n v="697"/>
        <n v="702"/>
        <n v="722"/>
        <n v="728"/>
        <n v="730"/>
        <n v="731"/>
        <n v="733"/>
        <n v="736"/>
        <n v="738"/>
        <n v="742"/>
        <n v="752"/>
        <n v="754"/>
        <n v="764"/>
        <n v="777"/>
        <n v="778"/>
        <n v="874"/>
        <n v="875"/>
        <n v="907"/>
        <n v="910"/>
        <n v="939"/>
        <n v="940"/>
        <n v="948"/>
        <n v="961"/>
        <n v="978"/>
        <n v="979"/>
        <n v="985"/>
        <n v="1001"/>
        <n v="1023"/>
        <n v="1069"/>
        <n v="1077"/>
        <n v="1083"/>
        <n v="1097"/>
        <n v="1100"/>
        <n v="1134"/>
        <n v="1159"/>
        <n v="1252"/>
        <n v="1270"/>
        <m/>
      </sharedItems>
    </cacheField>
    <cacheField name="Element Load (A) Jan 21" numFmtId="0">
      <sharedItems containsString="0" containsBlank="1" containsNumber="1" containsInteger="1" minValue="32" maxValue="1282" count="103">
        <n v="32"/>
        <n v="53"/>
        <n v="70"/>
        <n v="93"/>
        <n v="96"/>
        <n v="102"/>
        <n v="129"/>
        <n v="168"/>
        <n v="179"/>
        <n v="186"/>
        <n v="222"/>
        <n v="227"/>
        <n v="238"/>
        <n v="282"/>
        <n v="287"/>
        <n v="314"/>
        <n v="323"/>
        <n v="350"/>
        <n v="358"/>
        <n v="373"/>
        <n v="380"/>
        <n v="390"/>
        <n v="394"/>
        <n v="400"/>
        <n v="404"/>
        <n v="405"/>
        <n v="408"/>
        <n v="411"/>
        <n v="426"/>
        <n v="433"/>
        <n v="435"/>
        <n v="444"/>
        <n v="445"/>
        <n v="450"/>
        <n v="466"/>
        <n v="503"/>
        <n v="504"/>
        <n v="510"/>
        <n v="514"/>
        <n v="526"/>
        <n v="528"/>
        <n v="530"/>
        <n v="532"/>
        <n v="542"/>
        <n v="551"/>
        <n v="556"/>
        <n v="561"/>
        <n v="591"/>
        <n v="598"/>
        <n v="600"/>
        <n v="608"/>
        <n v="612"/>
        <n v="618"/>
        <n v="622"/>
        <n v="639"/>
        <n v="646"/>
        <n v="653"/>
        <n v="662"/>
        <n v="671"/>
        <n v="673"/>
        <n v="677"/>
        <n v="687"/>
        <n v="690"/>
        <n v="693"/>
        <n v="709"/>
        <n v="712"/>
        <n v="716"/>
        <n v="730"/>
        <n v="731"/>
        <n v="733"/>
        <n v="735"/>
        <n v="737"/>
        <n v="738"/>
        <n v="741"/>
        <n v="753"/>
        <n v="760"/>
        <n v="762"/>
        <n v="770"/>
        <n v="776"/>
        <n v="792"/>
        <n v="814"/>
        <n v="819"/>
        <n v="870"/>
        <n v="871"/>
        <n v="881"/>
        <n v="905"/>
        <n v="922"/>
        <n v="925"/>
        <n v="945"/>
        <n v="969"/>
        <n v="972"/>
        <n v="992"/>
        <n v="1009"/>
        <n v="1028"/>
        <n v="1058"/>
        <n v="1075"/>
        <n v="1096"/>
        <n v="1100"/>
        <n v="1151"/>
        <n v="1164"/>
        <n v="1224"/>
        <n v="1282"/>
        <m/>
      </sharedItems>
    </cacheField>
    <cacheField name="Running % load" numFmtId="0">
      <sharedItems containsString="0" containsBlank="1" containsNumber="1" minValue="0.0919540229885057" maxValue="0.957430918595967" count="106">
        <n v="0.0919540229885057"/>
        <n v="0.1364522417154"/>
        <n v="0.152298850574713"/>
        <n v="0.198830409356725"/>
        <n v="0.232467532467532"/>
        <n v="0.241558441558442"/>
        <n v="0.249350649350649"/>
        <n v="0.264935064935065"/>
        <n v="0.271861471861472"/>
        <n v="0.300478468899522"/>
        <n v="0.326136363636364"/>
        <n v="0.327485380116959"/>
        <n v="0.335064935064935"/>
        <n v="0.341125541125541"/>
        <n v="0.346320346320346"/>
        <n v="0.356937799043062"/>
        <n v="0.363636363636364"/>
        <n v="0.368831168831169"/>
        <n v="0.373205741626794"/>
        <n v="0.374891774891775"/>
        <n v="0.375262054507338"/>
        <n v="0.376623376623377"/>
        <n v="0.382775119617225"/>
        <n v="0.385281385281385"/>
        <n v="0.386602870813397"/>
        <n v="0.38755980861244"/>
        <n v="0.390430622009569"/>
        <n v="0.393301435406699"/>
        <n v="0.403463203463203"/>
        <n v="0.419480519480519"/>
        <n v="0.42488038277512"/>
        <n v="0.432748538011696"/>
        <n v="0.435497835497835"/>
        <n v="0.436363636363636"/>
        <n v="0.442495126705653"/>
        <n v="0.455411255411255"/>
        <n v="0.457142857142857"/>
        <n v="0.460606060606061"/>
        <n v="0.463937621832359"/>
        <n v="0.469264069264069"/>
        <n v="0.471698113207547"/>
        <n v="0.477056277056277"/>
        <n v="0.481385281385281"/>
        <n v="0.485714285714286"/>
        <n v="0.488038277511962"/>
        <n v="0.491866028708134"/>
        <n v="0.505263157894737"/>
        <n v="0.507177033492823"/>
        <n v="0.511688311688312"/>
        <n v="0.517748917748918"/>
        <n v="0.519480519480519"/>
        <n v="0.526406926406926"/>
        <n v="0.52987012987013"/>
        <n v="0.535064935064935"/>
        <n v="0.538528138528138"/>
        <n v="0.549707602339181"/>
        <n v="0.553246753246753"/>
        <n v="0.559307359307359"/>
        <n v="0.565367965367966"/>
        <n v="0.580952380952381"/>
        <n v="0.582683982683983"/>
        <n v="0.586147186147186"/>
        <n v="0.594805194805195"/>
        <n v="0.6"/>
        <n v="0.613852813852814"/>
        <n v="0.616450216450216"/>
        <n v="0.61991341991342"/>
        <n v="0.632034632034632"/>
        <n v="0.632900432900433"/>
        <n v="0.633492822966507"/>
        <n v="0.634632034632035"/>
        <n v="0.636363636363636"/>
        <n v="0.638095238095238"/>
        <n v="0.638961038961039"/>
        <n v="0.641558441558442"/>
        <n v="0.651948051948052"/>
        <n v="0.658008658008658"/>
        <n v="0.65974025974026"/>
        <n v="0.666666666666667"/>
        <n v="0.671861471861472"/>
        <n v="0.682261208576998"/>
        <n v="0.685714285714286"/>
        <n v="0.704761904761905"/>
        <n v="0.709090909090909"/>
        <n v="0.723270440251572"/>
        <n v="0.753246753246753"/>
        <n v="0.754112554112554"/>
        <n v="0.762770562770563"/>
        <n v="0.783549783549784"/>
        <n v="0.790141896938013"/>
        <n v="0.798268398268398"/>
        <n v="0.800865800865801"/>
        <n v="0.818181818181818"/>
        <n v="0.82150858849888"/>
        <n v="0.838961038961039"/>
        <n v="0.841558441558441"/>
        <n v="0.858874458874459"/>
        <n v="0.859596713965646"/>
        <n v="0.869305451829724"/>
        <n v="0.873593073593074"/>
        <n v="0.89004329004329"/>
        <n v="0.91411501120239"/>
        <n v="0.930735930735931"/>
        <n v="0.948917748917749"/>
        <n v="0.957430918595967"/>
        <m/>
      </sharedItems>
    </cacheField>
    <cacheField name="Total Running Site Load (kW)/(%)" numFmtId="0">
      <sharedItems containsString="0" containsBlank="1" containsNumber="1" minValue="0.378791925465838" maxValue="405.698" count="41">
        <n v="0.378791925465838"/>
        <n v="0.380228333333333"/>
        <n v="0.443811666666667"/>
        <n v="0.455031746031746"/>
        <n v="0.462644444444444"/>
        <n v="0.475197044334975"/>
        <n v="0.475274603174603"/>
        <n v="0.521746666666667"/>
        <n v="0.53192"/>
        <n v="0.63012380952381"/>
        <n v="0.649530423280423"/>
        <n v="0.804956349206349"/>
        <n v="0.80558230958231"/>
        <n v="0.934534398034398"/>
        <n v="4.6325"/>
        <n v="10.3005"/>
        <n v="37.8775"/>
        <n v="40.7115"/>
        <n v="42.401"/>
        <n v="46.5975"/>
        <n v="46.979"/>
        <n v="49.05"/>
        <n v="51.1755"/>
        <n v="52.974"/>
        <n v="60.277"/>
        <n v="64.092"/>
        <n v="114.0685"/>
        <n v="133.1435"/>
        <n v="143.335"/>
        <n v="144.6975"/>
        <n v="149.7115"/>
        <n v="156.524"/>
        <n v="182.9565"/>
        <n v="198.489"/>
        <n v="208.19"/>
        <n v="239.364"/>
        <n v="245.5225"/>
        <n v="327.872"/>
        <n v="380.3555"/>
        <n v="405.698"/>
        <m/>
      </sharedItems>
    </cacheField>
    <cacheField name="Number of Modules" numFmtId="0">
      <sharedItems containsString="0" containsBlank="1" containsNumber="1" containsInteger="1" minValue="9" maxValue="42" count="8">
        <n v="9"/>
        <n v="12"/>
        <n v="18"/>
        <n v="24"/>
        <n v="30"/>
        <n v="36"/>
        <n v="42"/>
        <m/>
      </sharedItems>
    </cacheField>
    <cacheField name="Module Capacity (kW)" numFmtId="0">
      <sharedItems containsString="0" containsBlank="1" containsNumber="1" minValue="3.2" maxValue="3.5" count="3">
        <n v="3.2"/>
        <n v="3.5"/>
        <m/>
      </sharedItems>
    </cacheField>
    <cacheField name="Power Element Capability (kW)" numFmtId="0">
      <sharedItems containsString="0" containsBlank="1" containsNumber="1" containsInteger="1" minValue="28" maxValue="147" count="11">
        <n v="28"/>
        <n v="31"/>
        <n v="42"/>
        <n v="57"/>
        <n v="84"/>
        <n v="96"/>
        <n v="105"/>
        <n v="115"/>
        <n v="126"/>
        <n v="147"/>
        <m/>
      </sharedItems>
    </cacheField>
    <cacheField name="Number of Redundant Modules" numFmtId="0">
      <sharedItems containsString="0" containsBlank="1" containsNumber="1" containsInteger="1" minValue="3" maxValue="21" count="8">
        <n v="3"/>
        <n v="6"/>
        <n v="9"/>
        <n v="12"/>
        <n v="15"/>
        <n v="18"/>
        <n v="21"/>
        <m/>
      </sharedItems>
    </cacheField>
    <cacheField name="Available Capability (kW)" numFmtId="0">
      <sharedItems containsString="0" containsBlank="1" containsNumber="1" containsInteger="1" minValue="19" maxValue="73" count="10">
        <n v="19"/>
        <n v="21"/>
        <n v="28"/>
        <n v="42"/>
        <n v="48"/>
        <n v="52"/>
        <n v="57"/>
        <n v="63"/>
        <n v="73"/>
        <m/>
      </sharedItems>
    </cacheField>
    <cacheField name="Available Capability (A)" numFmtId="0">
      <sharedItems containsString="0" containsBlank="1" containsNumber="1" containsInteger="1" minValue="348" maxValue="1339" count="10">
        <n v="348"/>
        <n v="385"/>
        <n v="513"/>
        <n v="770"/>
        <n v="880"/>
        <n v="954"/>
        <n v="1045"/>
        <n v="1155"/>
        <n v="1339"/>
        <m/>
      </sharedItems>
    </cacheField>
    <cacheField name="Reserved (A)" numFmtId="0">
      <sharedItems containsString="0" containsBlank="1" containsNumber="1" containsInteger="1" minValue="0" maxValue="228" count="37">
        <n v="0"/>
        <n v="5"/>
        <n v="10"/>
        <n v="15"/>
        <n v="33"/>
        <n v="34"/>
        <n v="42"/>
        <n v="45"/>
        <n v="52"/>
        <n v="61"/>
        <n v="63"/>
        <n v="68"/>
        <n v="76"/>
        <n v="80"/>
        <n v="84"/>
        <n v="100"/>
        <n v="109"/>
        <n v="118"/>
        <n v="133"/>
        <n v="147"/>
        <n v="149"/>
        <n v="156"/>
        <n v="158"/>
        <n v="163"/>
        <n v="175"/>
        <n v="178"/>
        <n v="180"/>
        <n v="183"/>
        <n v="195"/>
        <n v="198"/>
        <n v="202"/>
        <n v="204"/>
        <n v="205"/>
        <n v="207"/>
        <n v="212"/>
        <n v="228"/>
        <m/>
      </sharedItems>
    </cacheField>
    <cacheField name="Running Load + Reserved (%)" numFmtId="0">
      <sharedItems containsString="0" containsBlank="1" containsNumber="1" minValue="0.232467532467532" maxValue="1.04555638536221" count="79">
        <n v="0.232467532467532"/>
        <n v="0.241558441558442"/>
        <n v="0.264935064935065"/>
        <n v="0.271861471861472"/>
        <n v="0.335064935064935"/>
        <n v="0.368831168831169"/>
        <n v="0.375262054507338"/>
        <n v="0.376623376623377"/>
        <n v="0.38008658008658"/>
        <n v="0.385281385281385"/>
        <n v="0.403463203463203"/>
        <n v="0.413852813852814"/>
        <n v="0.419480519480519"/>
        <n v="0.435497835497835"/>
        <n v="0.436363636363636"/>
        <n v="0.455411255411255"/>
        <n v="0.457142857142857"/>
        <n v="0.460606060606061"/>
        <n v="0.469264069264069"/>
        <n v="0.471698113207547"/>
        <n v="0.477056277056277"/>
        <n v="0.485714285714286"/>
        <n v="0.511688311688312"/>
        <n v="0.517748917748918"/>
        <n v="0.519480519480519"/>
        <n v="0.52034632034632"/>
        <n v="0.526406926406926"/>
        <n v="0.52987012987013"/>
        <n v="0.535064935064935"/>
        <n v="0.538528138528138"/>
        <n v="0.553246753246753"/>
        <n v="0.586147186147186"/>
        <n v="0.594805194805195"/>
        <n v="0.6"/>
        <n v="0.60952380952381"/>
        <n v="0.611255411255411"/>
        <n v="0.613852813852814"/>
        <n v="0.616450216450216"/>
        <n v="0.618181818181818"/>
        <n v="0.632034632034632"/>
        <n v="0.638095238095238"/>
        <n v="0.638961038961039"/>
        <n v="0.661471861471861"/>
        <n v="0.671861471861472"/>
        <n v="0.673593073593074"/>
        <n v="0.690909090909091"/>
        <n v="0.694372294372294"/>
        <n v="0.704761904761905"/>
        <n v="0.705627705627706"/>
        <n v="0.706493506493506"/>
        <n v="0.710822510822511"/>
        <n v="0.723270440251572"/>
        <n v="0.738528138528139"/>
        <n v="0.788744588744589"/>
        <n v="0.792207792207792"/>
        <n v="0.834632034632035"/>
        <n v="0.844155844155844"/>
        <n v="0.864935064935065"/>
        <n v="0.867532467532468"/>
        <n v="0.873593073593074"/>
        <n v="0.889177489177489"/>
        <n v="0.892640692640693"/>
        <n v="0.907359307359307"/>
        <n v="0.91411501120239"/>
        <n v="0.916017316017316"/>
        <n v="0.924675324675325"/>
        <n v="0.930735930735931"/>
        <n v="0.932038834951456"/>
        <n v="0.942494398805078"/>
        <n v="0.948917748917749"/>
        <n v="0.954978354978355"/>
        <n v="0.966233766233766"/>
        <n v="0.976623376623377"/>
        <n v="0.987878787878788"/>
        <n v="0.990291262135922"/>
        <n v="0.991784914115011"/>
        <n v="1.02510822510823"/>
        <n v="1.04555638536221"/>
        <m/>
      </sharedItems>
    </cacheField>
    <cacheField name="Total Reserved  (kW)/(%)" numFmtId="0">
      <sharedItems containsString="0" containsBlank="1" containsNumber="1" minValue="0" maxValue="65.3455" count="25">
        <n v="0"/>
        <n v="0.0148966666666667"/>
        <n v="0.022345"/>
        <n v="0.0534619047619048"/>
        <n v="0.0554373464373464"/>
        <n v="0.108330466830467"/>
        <n v="0.121651785714286"/>
        <n v="0.172871693121693"/>
        <n v="0.545"/>
        <n v="1.09"/>
        <n v="1.635"/>
        <n v="4.578"/>
        <n v="5.668"/>
        <n v="6.7035"/>
        <n v="7.412"/>
        <n v="8.502"/>
        <n v="16.241"/>
        <n v="16.8405"/>
        <n v="19.62"/>
        <n v="21.582"/>
        <n v="22.563"/>
        <n v="44.0905"/>
        <n v="61.3125"/>
        <n v="65.3455"/>
        <m/>
      </sharedItems>
    </cacheField>
    <cacheField name="Forcast (A)" numFmtId="0">
      <sharedItems containsString="0" containsBlank="1" containsNumber="1" containsInteger="1" minValue="0" maxValue="368" count="45">
        <n v="0"/>
        <n v="6"/>
        <n v="7"/>
        <n v="13"/>
        <n v="14"/>
        <n v="20"/>
        <n v="21"/>
        <n v="23"/>
        <n v="27"/>
        <n v="29"/>
        <n v="38"/>
        <n v="40"/>
        <n v="42"/>
        <n v="51"/>
        <n v="58"/>
        <n v="65"/>
        <n v="72"/>
        <n v="76"/>
        <n v="77"/>
        <n v="86"/>
        <n v="90"/>
        <n v="94"/>
        <n v="99"/>
        <n v="108"/>
        <n v="111"/>
        <n v="114"/>
        <n v="119"/>
        <n v="135"/>
        <n v="140"/>
        <n v="141"/>
        <n v="145"/>
        <n v="146"/>
        <n v="160"/>
        <n v="175"/>
        <n v="189"/>
        <n v="198"/>
        <n v="211"/>
        <n v="217"/>
        <n v="235"/>
        <n v="250"/>
        <n v="266"/>
        <n v="283"/>
        <n v="365"/>
        <n v="368"/>
        <m/>
      </sharedItems>
    </cacheField>
    <cacheField name="Total Forecast  (kW)" numFmtId="0">
      <sharedItems containsString="0" containsBlank="1" containsNumber="1" minValue="0" maxValue="85.0745" count="23">
        <n v="0"/>
        <n v="0.00841215106732348"/>
        <n v="0.020536231884058"/>
        <n v="0.0318349206349206"/>
        <n v="0.0389285714285714"/>
        <n v="0.06322"/>
        <n v="0.0823988095238095"/>
        <n v="0.0848383333333333"/>
        <n v="0.0966466666666667"/>
        <n v="0.140066339066339"/>
        <n v="0.225064814814815"/>
        <n v="2.5615"/>
        <n v="2.6656"/>
        <n v="9.919"/>
        <n v="10.028"/>
        <n v="12.2625"/>
        <n v="18.966"/>
        <n v="25.4515"/>
        <n v="41.529"/>
        <n v="43.491"/>
        <n v="57.007"/>
        <n v="85.0745"/>
        <m/>
      </sharedItems>
    </cacheField>
    <cacheField name="Running Load + Reserved+  Forecast (A)" numFmtId="0">
      <sharedItems containsString="0" containsBlank="1" containsNumber="1" containsInteger="1" minValue="32" maxValue="1400" count="107">
        <n v="32"/>
        <n v="53"/>
        <n v="75"/>
        <n v="93"/>
        <n v="96"/>
        <n v="102"/>
        <n v="107"/>
        <n v="168"/>
        <n v="169"/>
        <n v="179"/>
        <n v="186"/>
        <n v="238"/>
        <n v="269"/>
        <n v="302"/>
        <n v="323"/>
        <n v="324"/>
        <n v="350"/>
        <n v="365"/>
        <n v="390"/>
        <n v="391"/>
        <n v="404"/>
        <n v="426"/>
        <n v="436"/>
        <n v="439"/>
        <n v="449"/>
        <n v="458"/>
        <n v="459"/>
        <n v="466"/>
        <n v="468"/>
        <n v="472"/>
        <n v="476"/>
        <n v="490"/>
        <n v="516"/>
        <n v="530"/>
        <n v="533"/>
        <n v="535"/>
        <n v="539"/>
        <n v="557"/>
        <n v="561"/>
        <n v="562"/>
        <n v="566"/>
        <n v="571"/>
        <n v="578"/>
        <n v="579"/>
        <n v="582"/>
        <n v="591"/>
        <n v="602"/>
        <n v="603"/>
        <n v="604"/>
        <n v="607"/>
        <n v="609"/>
        <n v="619"/>
        <n v="635"/>
        <n v="638"/>
        <n v="651"/>
        <n v="653"/>
        <n v="700"/>
        <n v="708"/>
        <n v="714"/>
        <n v="741"/>
        <n v="784"/>
        <n v="788"/>
        <n v="790"/>
        <n v="798"/>
        <n v="802"/>
        <n v="814"/>
        <n v="816"/>
        <n v="821"/>
        <n v="823"/>
        <n v="829"/>
        <n v="867"/>
        <n v="868"/>
        <n v="873"/>
        <n v="884"/>
        <n v="887"/>
        <n v="897"/>
        <n v="910"/>
        <n v="960"/>
        <n v="980"/>
        <n v="991"/>
        <n v="1003"/>
        <n v="1009"/>
        <n v="1031"/>
        <n v="1075"/>
        <n v="1090"/>
        <n v="1096"/>
        <n v="1103"/>
        <n v="1116"/>
        <n v="1146"/>
        <n v="1182"/>
        <n v="1194"/>
        <n v="1199"/>
        <n v="1210"/>
        <n v="1213"/>
        <n v="1214"/>
        <n v="1216"/>
        <n v="1218"/>
        <n v="1222"/>
        <n v="1224"/>
        <n v="1231"/>
        <n v="1248"/>
        <n v="1262"/>
        <n v="1270"/>
        <n v="1326"/>
        <n v="1328"/>
        <n v="1400"/>
        <m/>
      </sharedItems>
    </cacheField>
    <cacheField name="Remaining Element Capability (A)" numFmtId="0">
      <sharedItems containsString="0" containsBlank="1" containsNumber="1" containsInteger="1" minValue="-115" maxValue="764" count="108">
        <n v="-115"/>
        <n v="-76"/>
        <n v="-67"/>
        <n v="-63"/>
        <n v="-61"/>
        <n v="-59"/>
        <n v="-58"/>
        <n v="-55"/>
        <n v="-44"/>
        <n v="-39"/>
        <n v="-27"/>
        <n v="9"/>
        <n v="11"/>
        <n v="13"/>
        <n v="39"/>
        <n v="52"/>
        <n v="59"/>
        <n v="65"/>
        <n v="77"/>
        <n v="80"/>
        <n v="91"/>
        <n v="115"/>
        <n v="124"/>
        <n v="146"/>
        <n v="152"/>
        <n v="163"/>
        <n v="164"/>
        <n v="175"/>
        <n v="189"/>
        <n v="195"/>
        <n v="211"/>
        <n v="213"/>
        <n v="216"/>
        <n v="244"/>
        <n v="245"/>
        <n v="258"/>
        <n v="268"/>
        <n v="271"/>
        <n v="275"/>
        <n v="282"/>
        <n v="283"/>
        <n v="287"/>
        <n v="288"/>
        <n v="289"/>
        <n v="292"/>
        <n v="295"/>
        <n v="316"/>
        <n v="326"/>
        <n v="331"/>
        <n v="332"/>
        <n v="334"/>
        <n v="337"/>
        <n v="339"/>
        <n v="341"/>
        <n v="345"/>
        <n v="353"/>
        <n v="357"/>
        <n v="365"/>
        <n v="367"/>
        <n v="371"/>
        <n v="406"/>
        <n v="438"/>
        <n v="441"/>
        <n v="442"/>
        <n v="444"/>
        <n v="447"/>
        <n v="454"/>
        <n v="455"/>
        <n v="464"/>
        <n v="467"/>
        <n v="474"/>
        <n v="479"/>
        <n v="488"/>
        <n v="502"/>
        <n v="504"/>
        <n v="515"/>
        <n v="517"/>
        <n v="520"/>
        <n v="536"/>
        <n v="546"/>
        <n v="548"/>
        <n v="551"/>
        <n v="553"/>
        <n v="569"/>
        <n v="573"/>
        <n v="576"/>
        <n v="584"/>
        <n v="586"/>
        <n v="587"/>
        <n v="589"/>
        <n v="591"/>
        <n v="593"/>
        <n v="594"/>
        <n v="616"/>
        <n v="619"/>
        <n v="620"/>
        <n v="622"/>
        <n v="639"/>
        <n v="641"/>
        <n v="655"/>
        <n v="683"/>
        <n v="687"/>
        <n v="689"/>
        <n v="706"/>
        <n v="716"/>
        <n v="721"/>
        <n v="764"/>
        <m/>
      </sharedItems>
    </cacheField>
    <cacheField name="Total Power Element&#10;  RAG (% used)" numFmtId="0">
      <sharedItems containsString="0" containsBlank="1" containsNumber="1" minValue="0.0919540229885057" maxValue="1.0995670995671" count="108">
        <n v="0.0919540229885057"/>
        <n v="0.146198830409357"/>
        <n v="0.152298850574713"/>
        <n v="0.208576998050682"/>
        <n v="0.232467532467532"/>
        <n v="0.241558441558442"/>
        <n v="0.249350649350649"/>
        <n v="0.264935064935065"/>
        <n v="0.310047846889952"/>
        <n v="0.327485380116959"/>
        <n v="0.338528138528138"/>
        <n v="0.373205741626794"/>
        <n v="0.38008658008658"/>
        <n v="0.382599580712788"/>
        <n v="0.386602870813397"/>
        <n v="0.388744588744589"/>
        <n v="0.403463203463203"/>
        <n v="0.405194805194805"/>
        <n v="0.407655502392344"/>
        <n v="0.408658008658009"/>
        <n v="0.419480519480519"/>
        <n v="0.438277511961722"/>
        <n v="0.438961038961039"/>
        <n v="0.439234449760766"/>
        <n v="0.446753246753247"/>
        <n v="0.455502392344498"/>
        <n v="0.461471861471862"/>
        <n v="0.463203463203463"/>
        <n v="0.463937621832359"/>
        <n v="0.466666666666667"/>
        <n v="0.485714285714286"/>
        <n v="0.486580086580087"/>
        <n v="0.495454545454546"/>
        <n v="0.501298701298701"/>
        <n v="0.503896103896104"/>
        <n v="0.507177033492823"/>
        <n v="0.513626834381551"/>
        <n v="0.521212121212121"/>
        <n v="0.522943722943723"/>
        <n v="0.524366471734893"/>
        <n v="0.525541125541126"/>
        <n v="0.527272727272727"/>
        <n v="0.533014354066986"/>
        <n v="0.535930735930736"/>
        <n v="0.541626794258373"/>
        <n v="0.546411483253589"/>
        <n v="0.54978354978355"/>
        <n v="0.552380952380952"/>
        <n v="0.55311004784689"/>
        <n v="0.563636363636364"/>
        <n v="0.565367965367966"/>
        <n v="0.56555023923445"/>
        <n v="0.577033492822967"/>
        <n v="0.58869395711501"/>
        <n v="0.606060606060606"/>
        <n v="0.618181818181818"/>
        <n v="0.631578947368421"/>
        <n v="0.677511961722488"/>
        <n v="0.678787878787879"/>
        <n v="0.682251082251082"/>
        <n v="0.682261208576998"/>
        <n v="0.683253588516747"/>
        <n v="0.683982683982684"/>
        <n v="0.690909090909091"/>
        <n v="0.694372294372294"/>
        <n v="0.704761904761905"/>
        <n v="0.706493506493506"/>
        <n v="0.710822510822511"/>
        <n v="0.712554112554113"/>
        <n v="0.717748917748918"/>
        <n v="0.750649350649351"/>
        <n v="0.751515151515151"/>
        <n v="0.755844155844156"/>
        <n v="0.765367965367965"/>
        <n v="0.767965367965368"/>
        <n v="0.776623376623377"/>
        <n v="0.776729559748428"/>
        <n v="0.787878787878788"/>
        <n v="0.831168831168831"/>
        <n v="0.848484848484848"/>
        <n v="0.858008658008658"/>
        <n v="0.868398268398268"/>
        <n v="0.873593073593074"/>
        <n v="0.892640692640693"/>
        <n v="0.91411501120239"/>
        <n v="0.930735930735931"/>
        <n v="0.932038834951456"/>
        <n v="0.942494398805078"/>
        <n v="0.943722943722944"/>
        <n v="0.948917748917749"/>
        <n v="0.954978354978355"/>
        <n v="0.966233766233766"/>
        <n v="0.990291262135922"/>
        <n v="0.991784914115011"/>
        <n v="0.992207792207792"/>
        <n v="1.02337662337662"/>
        <n v="1.03376623376623"/>
        <n v="1.03809523809524"/>
        <n v="1.04555638536221"/>
        <n v="1.04761904761905"/>
        <n v="1.05021645021645"/>
        <n v="1.05108225108225"/>
        <n v="1.05281385281385"/>
        <n v="1.05454545454545"/>
        <n v="1.05800865800866"/>
        <n v="1.06580086580087"/>
        <n v="1.0995670995671"/>
        <m/>
      </sharedItems>
    </cacheField>
    <cacheField name="RAG value (for graphing)" numFmtId="0">
      <sharedItems containsString="0" containsBlank="1" containsNumber="1" minValue="0.232467532467532" maxValue="1.0995670995671" count="75">
        <n v="0.232467532467532"/>
        <n v="0.241558441558442"/>
        <n v="0.338528138528138"/>
        <n v="0.38008658008658"/>
        <n v="0.382599580712788"/>
        <n v="0.388744588744589"/>
        <n v="0.403463203463203"/>
        <n v="0.405194805194805"/>
        <n v="0.408658008658009"/>
        <n v="0.419480519480519"/>
        <n v="0.438961038961039"/>
        <n v="0.446753246753247"/>
        <n v="0.461471861471862"/>
        <n v="0.463203463203463"/>
        <n v="0.466666666666667"/>
        <n v="0.485714285714286"/>
        <n v="0.486580086580087"/>
        <n v="0.503896103896104"/>
        <n v="0.513626834381551"/>
        <n v="0.521212121212121"/>
        <n v="0.522943722943723"/>
        <n v="0.525541125541126"/>
        <n v="0.527272727272727"/>
        <n v="0.535930735930736"/>
        <n v="0.54978354978355"/>
        <n v="0.552380952380952"/>
        <n v="0.563636363636364"/>
        <n v="0.565367965367966"/>
        <n v="0.606060606060606"/>
        <n v="0.618181818181818"/>
        <n v="0.678787878787879"/>
        <n v="0.682251082251082"/>
        <n v="0.683982683982684"/>
        <n v="0.690909090909091"/>
        <n v="0.694372294372294"/>
        <n v="0.704761904761905"/>
        <n v="0.706493506493506"/>
        <n v="0.710822510822511"/>
        <n v="0.712554112554113"/>
        <n v="0.717748917748918"/>
        <n v="0.750649350649351"/>
        <n v="0.751515151515151"/>
        <n v="0.755844155844156"/>
        <n v="0.765367965367965"/>
        <n v="0.767965367965368"/>
        <n v="0.776623376623377"/>
        <n v="0.776729559748428"/>
        <n v="0.787878787878788"/>
        <n v="0.831168831168831"/>
        <n v="0.848484848484848"/>
        <n v="0.858008658008658"/>
        <n v="0.868398268398268"/>
        <n v="0.873593073593074"/>
        <n v="0.892640692640693"/>
        <n v="0.91411501120239"/>
        <n v="0.930735930735931"/>
        <n v="0.932038834951456"/>
        <n v="0.942494398805078"/>
        <n v="0.943722943722944"/>
        <n v="0.948917748917749"/>
        <n v="0.954978354978355"/>
        <n v="0.966233766233766"/>
        <n v="0.990291262135922"/>
        <n v="0.991784914115011"/>
        <n v="0.992207792207792"/>
        <n v="1.02337662337662"/>
        <n v="1.03376623376623"/>
        <n v="1.04555638536221"/>
        <n v="1.04761904761905"/>
        <n v="1.05021645021645"/>
        <n v="1.05108225108225"/>
        <n v="1.05800865800866"/>
        <n v="1.06580086580087"/>
        <n v="1.0995670995671"/>
        <m/>
      </sharedItems>
    </cacheField>
    <cacheField name="Max Technology Load RAG (% used)" numFmtId="0">
      <sharedItems containsString="0" containsBlank="1" containsNumber="1" minValue="0.389113666666667" maxValue="1.04746693121693" count="15">
        <n v="0.389113666666667"/>
        <n v="0.399328157349896"/>
        <n v="0.483609195402299"/>
        <n v="0.493960317460317"/>
        <n v="0.507031666666667"/>
        <n v="0.507109523809524"/>
        <n v="0.604223333333333"/>
        <n v="0.62893"/>
        <n v="0.683585714285714"/>
        <n v="0.77013"/>
        <n v="0.993697788697789"/>
        <n v="1.00900694444444"/>
        <n v="1.04286486486486"/>
        <n v="1.04746693121693"/>
        <m/>
      </sharedItems>
    </cacheField>
    <cacheField name="Column X" numFmtId="0">
      <sharedItems containsString="0" containsBlank="1" count="1">
        <m/>
      </sharedItems>
    </cacheField>
    <cacheField name="Column Y" numFmtId="0">
      <sharedItems containsString="0" containsBlank="1" count="1">
        <m/>
      </sharedItems>
    </cacheField>
    <cacheField name="Column Z" numFmtId="0">
      <sharedItems containsString="0" containsBlank="1" count="1">
        <m/>
      </sharedItems>
    </cacheField>
  </cacheFields>
</pivotCacheDefinition>
</file>

<file path=xl/pivotCache/pivotCacheRecords1.xml><?xml version="1.0" encoding="utf-8"?>
<pivotCacheRecords xmlns="http://schemas.openxmlformats.org/spreadsheetml/2006/main" xmlns:r="http://schemas.openxmlformats.org/officeDocument/2006/relationships" count="110">
  <r>
    <x v="26"/>
    <x v="109"/>
    <x v="2"/>
    <x v="102"/>
    <x v="102"/>
    <x v="105"/>
    <x v="40"/>
    <x v="7"/>
    <x v="2"/>
    <x v="10"/>
    <x v="7"/>
    <x v="9"/>
    <x v="9"/>
    <x v="36"/>
    <x v="78"/>
    <x v="24"/>
    <x v="44"/>
    <x v="22"/>
    <x v="106"/>
    <x v="107"/>
    <x v="107"/>
    <x v="74"/>
    <x v="14"/>
    <x v="0"/>
    <x v="0"/>
    <x v="0"/>
  </r>
  <r>
    <x v="0"/>
    <x v="0"/>
    <x v="0"/>
    <x v="77"/>
    <x v="75"/>
    <x v="76"/>
    <x v="33"/>
    <x v="5"/>
    <x v="1"/>
    <x v="8"/>
    <x v="5"/>
    <x v="7"/>
    <x v="7"/>
    <x v="9"/>
    <x v="50"/>
    <x v="17"/>
    <x v="0"/>
    <x v="0"/>
    <x v="67"/>
    <x v="50"/>
    <x v="67"/>
    <x v="37"/>
    <x v="8"/>
    <x v="0"/>
    <x v="0"/>
    <x v="0"/>
  </r>
  <r>
    <x v="0"/>
    <x v="13"/>
    <x v="0"/>
    <x v="71"/>
    <x v="73"/>
    <x v="74"/>
    <x v="40"/>
    <x v="5"/>
    <x v="1"/>
    <x v="8"/>
    <x v="5"/>
    <x v="7"/>
    <x v="7"/>
    <x v="9"/>
    <x v="46"/>
    <x v="24"/>
    <x v="0"/>
    <x v="22"/>
    <x v="64"/>
    <x v="55"/>
    <x v="64"/>
    <x v="34"/>
    <x v="14"/>
    <x v="0"/>
    <x v="0"/>
    <x v="0"/>
  </r>
  <r>
    <x v="0"/>
    <x v="26"/>
    <x v="0"/>
    <x v="58"/>
    <x v="56"/>
    <x v="58"/>
    <x v="40"/>
    <x v="5"/>
    <x v="1"/>
    <x v="8"/>
    <x v="5"/>
    <x v="7"/>
    <x v="7"/>
    <x v="9"/>
    <x v="38"/>
    <x v="24"/>
    <x v="0"/>
    <x v="22"/>
    <x v="58"/>
    <x v="62"/>
    <x v="55"/>
    <x v="29"/>
    <x v="14"/>
    <x v="0"/>
    <x v="0"/>
    <x v="0"/>
  </r>
  <r>
    <x v="0"/>
    <x v="65"/>
    <x v="0"/>
    <x v="75"/>
    <x v="74"/>
    <x v="75"/>
    <x v="9"/>
    <x v="5"/>
    <x v="1"/>
    <x v="8"/>
    <x v="5"/>
    <x v="7"/>
    <x v="7"/>
    <x v="10"/>
    <x v="49"/>
    <x v="3"/>
    <x v="0"/>
    <x v="0"/>
    <x v="66"/>
    <x v="52"/>
    <x v="66"/>
    <x v="36"/>
    <x v="14"/>
    <x v="0"/>
    <x v="0"/>
    <x v="0"/>
  </r>
  <r>
    <x v="0"/>
    <x v="78"/>
    <x v="0"/>
    <x v="72"/>
    <x v="70"/>
    <x v="71"/>
    <x v="40"/>
    <x v="5"/>
    <x v="1"/>
    <x v="8"/>
    <x v="5"/>
    <x v="7"/>
    <x v="7"/>
    <x v="10"/>
    <x v="45"/>
    <x v="24"/>
    <x v="0"/>
    <x v="22"/>
    <x v="63"/>
    <x v="56"/>
    <x v="63"/>
    <x v="33"/>
    <x v="14"/>
    <x v="0"/>
    <x v="0"/>
    <x v="0"/>
  </r>
  <r>
    <x v="1"/>
    <x v="1"/>
    <x v="0"/>
    <x v="83"/>
    <x v="84"/>
    <x v="87"/>
    <x v="39"/>
    <x v="5"/>
    <x v="1"/>
    <x v="8"/>
    <x v="5"/>
    <x v="7"/>
    <x v="7"/>
    <x v="5"/>
    <x v="54"/>
    <x v="22"/>
    <x v="17"/>
    <x v="18"/>
    <x v="79"/>
    <x v="26"/>
    <x v="80"/>
    <x v="50"/>
    <x v="11"/>
    <x v="0"/>
    <x v="0"/>
    <x v="0"/>
  </r>
  <r>
    <x v="1"/>
    <x v="14"/>
    <x v="0"/>
    <x v="80"/>
    <x v="83"/>
    <x v="86"/>
    <x v="40"/>
    <x v="5"/>
    <x v="1"/>
    <x v="8"/>
    <x v="5"/>
    <x v="7"/>
    <x v="7"/>
    <x v="21"/>
    <x v="60"/>
    <x v="24"/>
    <x v="26"/>
    <x v="22"/>
    <x v="88"/>
    <x v="11"/>
    <x v="94"/>
    <x v="64"/>
    <x v="14"/>
    <x v="0"/>
    <x v="0"/>
    <x v="0"/>
  </r>
  <r>
    <x v="1"/>
    <x v="27"/>
    <x v="0"/>
    <x v="81"/>
    <x v="82"/>
    <x v="85"/>
    <x v="40"/>
    <x v="5"/>
    <x v="1"/>
    <x v="8"/>
    <x v="5"/>
    <x v="7"/>
    <x v="7"/>
    <x v="25"/>
    <x v="62"/>
    <x v="24"/>
    <x v="12"/>
    <x v="22"/>
    <x v="84"/>
    <x v="17"/>
    <x v="88"/>
    <x v="58"/>
    <x v="14"/>
    <x v="0"/>
    <x v="0"/>
    <x v="0"/>
  </r>
  <r>
    <x v="1"/>
    <x v="50"/>
    <x v="0"/>
    <x v="90"/>
    <x v="91"/>
    <x v="96"/>
    <x v="40"/>
    <x v="5"/>
    <x v="1"/>
    <x v="8"/>
    <x v="5"/>
    <x v="7"/>
    <x v="7"/>
    <x v="20"/>
    <x v="73"/>
    <x v="24"/>
    <x v="20"/>
    <x v="22"/>
    <x v="99"/>
    <x v="1"/>
    <x v="105"/>
    <x v="72"/>
    <x v="14"/>
    <x v="0"/>
    <x v="0"/>
    <x v="0"/>
  </r>
  <r>
    <x v="1"/>
    <x v="66"/>
    <x v="0"/>
    <x v="92"/>
    <x v="93"/>
    <x v="100"/>
    <x v="11"/>
    <x v="5"/>
    <x v="1"/>
    <x v="8"/>
    <x v="5"/>
    <x v="7"/>
    <x v="7"/>
    <x v="15"/>
    <x v="72"/>
    <x v="6"/>
    <x v="21"/>
    <x v="6"/>
    <x v="97"/>
    <x v="2"/>
    <x v="104"/>
    <x v="71"/>
    <x v="14"/>
    <x v="0"/>
    <x v="0"/>
    <x v="0"/>
  </r>
  <r>
    <x v="1"/>
    <x v="79"/>
    <x v="0"/>
    <x v="86"/>
    <x v="87"/>
    <x v="91"/>
    <x v="40"/>
    <x v="5"/>
    <x v="1"/>
    <x v="8"/>
    <x v="5"/>
    <x v="7"/>
    <x v="7"/>
    <x v="18"/>
    <x v="64"/>
    <x v="24"/>
    <x v="29"/>
    <x v="22"/>
    <x v="91"/>
    <x v="8"/>
    <x v="97"/>
    <x v="74"/>
    <x v="14"/>
    <x v="0"/>
    <x v="0"/>
    <x v="0"/>
  </r>
  <r>
    <x v="1"/>
    <x v="88"/>
    <x v="0"/>
    <x v="82"/>
    <x v="85"/>
    <x v="88"/>
    <x v="40"/>
    <x v="5"/>
    <x v="1"/>
    <x v="8"/>
    <x v="5"/>
    <x v="7"/>
    <x v="7"/>
    <x v="23"/>
    <x v="65"/>
    <x v="24"/>
    <x v="25"/>
    <x v="22"/>
    <x v="89"/>
    <x v="10"/>
    <x v="95"/>
    <x v="65"/>
    <x v="14"/>
    <x v="0"/>
    <x v="0"/>
    <x v="0"/>
  </r>
  <r>
    <x v="1"/>
    <x v="93"/>
    <x v="0"/>
    <x v="91"/>
    <x v="90"/>
    <x v="95"/>
    <x v="40"/>
    <x v="5"/>
    <x v="1"/>
    <x v="8"/>
    <x v="5"/>
    <x v="7"/>
    <x v="7"/>
    <x v="34"/>
    <x v="76"/>
    <x v="24"/>
    <x v="19"/>
    <x v="22"/>
    <x v="102"/>
    <x v="0"/>
    <x v="106"/>
    <x v="73"/>
    <x v="14"/>
    <x v="0"/>
    <x v="0"/>
    <x v="0"/>
  </r>
  <r>
    <x v="5"/>
    <x v="3"/>
    <x v="0"/>
    <x v="33"/>
    <x v="32"/>
    <x v="23"/>
    <x v="30"/>
    <x v="5"/>
    <x v="1"/>
    <x v="8"/>
    <x v="5"/>
    <x v="7"/>
    <x v="7"/>
    <x v="0"/>
    <x v="9"/>
    <x v="0"/>
    <x v="8"/>
    <x v="14"/>
    <x v="29"/>
    <x v="100"/>
    <x v="19"/>
    <x v="8"/>
    <x v="5"/>
    <x v="0"/>
    <x v="0"/>
    <x v="0"/>
  </r>
  <r>
    <x v="5"/>
    <x v="16"/>
    <x v="0"/>
    <x v="57"/>
    <x v="54"/>
    <x v="56"/>
    <x v="40"/>
    <x v="5"/>
    <x v="1"/>
    <x v="8"/>
    <x v="5"/>
    <x v="7"/>
    <x v="7"/>
    <x v="0"/>
    <x v="30"/>
    <x v="24"/>
    <x v="4"/>
    <x v="22"/>
    <x v="55"/>
    <x v="73"/>
    <x v="50"/>
    <x v="27"/>
    <x v="14"/>
    <x v="0"/>
    <x v="0"/>
    <x v="0"/>
  </r>
  <r>
    <x v="5"/>
    <x v="29"/>
    <x v="0"/>
    <x v="52"/>
    <x v="50"/>
    <x v="51"/>
    <x v="40"/>
    <x v="5"/>
    <x v="1"/>
    <x v="8"/>
    <x v="5"/>
    <x v="7"/>
    <x v="7"/>
    <x v="0"/>
    <x v="26"/>
    <x v="24"/>
    <x v="8"/>
    <x v="22"/>
    <x v="52"/>
    <x v="77"/>
    <x v="46"/>
    <x v="24"/>
    <x v="14"/>
    <x v="0"/>
    <x v="0"/>
    <x v="0"/>
  </r>
  <r>
    <x v="5"/>
    <x v="41"/>
    <x v="0"/>
    <x v="37"/>
    <x v="36"/>
    <x v="33"/>
    <x v="6"/>
    <x v="5"/>
    <x v="1"/>
    <x v="8"/>
    <x v="5"/>
    <x v="7"/>
    <x v="7"/>
    <x v="0"/>
    <x v="14"/>
    <x v="0"/>
    <x v="14"/>
    <x v="3"/>
    <x v="39"/>
    <x v="91"/>
    <x v="31"/>
    <x v="16"/>
    <x v="14"/>
    <x v="0"/>
    <x v="0"/>
    <x v="0"/>
  </r>
  <r>
    <x v="5"/>
    <x v="52"/>
    <x v="0"/>
    <x v="47"/>
    <x v="44"/>
    <x v="41"/>
    <x v="40"/>
    <x v="5"/>
    <x v="1"/>
    <x v="8"/>
    <x v="5"/>
    <x v="7"/>
    <x v="7"/>
    <x v="0"/>
    <x v="20"/>
    <x v="24"/>
    <x v="14"/>
    <x v="22"/>
    <x v="50"/>
    <x v="79"/>
    <x v="41"/>
    <x v="22"/>
    <x v="14"/>
    <x v="0"/>
    <x v="0"/>
    <x v="0"/>
  </r>
  <r>
    <x v="7"/>
    <x v="30"/>
    <x v="0"/>
    <x v="89"/>
    <x v="66"/>
    <x v="66"/>
    <x v="36"/>
    <x v="5"/>
    <x v="1"/>
    <x v="8"/>
    <x v="5"/>
    <x v="7"/>
    <x v="7"/>
    <x v="28"/>
    <x v="53"/>
    <x v="23"/>
    <x v="41"/>
    <x v="21"/>
    <x v="90"/>
    <x v="9"/>
    <x v="96"/>
    <x v="66"/>
    <x v="13"/>
    <x v="0"/>
    <x v="0"/>
    <x v="0"/>
  </r>
  <r>
    <x v="7"/>
    <x v="42"/>
    <x v="0"/>
    <x v="78"/>
    <x v="81"/>
    <x v="83"/>
    <x v="40"/>
    <x v="5"/>
    <x v="1"/>
    <x v="8"/>
    <x v="5"/>
    <x v="7"/>
    <x v="7"/>
    <x v="27"/>
    <x v="58"/>
    <x v="24"/>
    <x v="36"/>
    <x v="22"/>
    <x v="93"/>
    <x v="6"/>
    <x v="100"/>
    <x v="69"/>
    <x v="14"/>
    <x v="0"/>
    <x v="0"/>
    <x v="0"/>
  </r>
  <r>
    <x v="7"/>
    <x v="53"/>
    <x v="0"/>
    <x v="73"/>
    <x v="76"/>
    <x v="77"/>
    <x v="40"/>
    <x v="5"/>
    <x v="1"/>
    <x v="8"/>
    <x v="5"/>
    <x v="7"/>
    <x v="7"/>
    <x v="30"/>
    <x v="55"/>
    <x v="24"/>
    <x v="39"/>
    <x v="22"/>
    <x v="94"/>
    <x v="5"/>
    <x v="101"/>
    <x v="70"/>
    <x v="14"/>
    <x v="0"/>
    <x v="0"/>
    <x v="0"/>
  </r>
  <r>
    <x v="7"/>
    <x v="69"/>
    <x v="0"/>
    <x v="84"/>
    <x v="77"/>
    <x v="78"/>
    <x v="10"/>
    <x v="5"/>
    <x v="1"/>
    <x v="8"/>
    <x v="5"/>
    <x v="7"/>
    <x v="7"/>
    <x v="32"/>
    <x v="56"/>
    <x v="7"/>
    <x v="38"/>
    <x v="10"/>
    <x v="92"/>
    <x v="7"/>
    <x v="99"/>
    <x v="68"/>
    <x v="14"/>
    <x v="0"/>
    <x v="0"/>
    <x v="0"/>
  </r>
  <r>
    <x v="7"/>
    <x v="81"/>
    <x v="0"/>
    <x v="70"/>
    <x v="79"/>
    <x v="81"/>
    <x v="40"/>
    <x v="5"/>
    <x v="1"/>
    <x v="8"/>
    <x v="5"/>
    <x v="7"/>
    <x v="7"/>
    <x v="33"/>
    <x v="57"/>
    <x v="24"/>
    <x v="37"/>
    <x v="22"/>
    <x v="95"/>
    <x v="4"/>
    <x v="102"/>
    <x v="74"/>
    <x v="14"/>
    <x v="0"/>
    <x v="0"/>
    <x v="0"/>
  </r>
  <r>
    <x v="7"/>
    <x v="90"/>
    <x v="0"/>
    <x v="36"/>
    <x v="55"/>
    <x v="57"/>
    <x v="40"/>
    <x v="5"/>
    <x v="1"/>
    <x v="8"/>
    <x v="5"/>
    <x v="7"/>
    <x v="7"/>
    <x v="33"/>
    <x v="52"/>
    <x v="24"/>
    <x v="42"/>
    <x v="22"/>
    <x v="96"/>
    <x v="3"/>
    <x v="103"/>
    <x v="74"/>
    <x v="14"/>
    <x v="0"/>
    <x v="0"/>
    <x v="0"/>
  </r>
  <r>
    <x v="8"/>
    <x v="43"/>
    <x v="0"/>
    <x v="41"/>
    <x v="40"/>
    <x v="36"/>
    <x v="26"/>
    <x v="5"/>
    <x v="1"/>
    <x v="8"/>
    <x v="5"/>
    <x v="7"/>
    <x v="7"/>
    <x v="0"/>
    <x v="16"/>
    <x v="0"/>
    <x v="2"/>
    <x v="12"/>
    <x v="35"/>
    <x v="95"/>
    <x v="27"/>
    <x v="13"/>
    <x v="0"/>
    <x v="0"/>
    <x v="0"/>
    <x v="0"/>
  </r>
  <r>
    <x v="8"/>
    <x v="54"/>
    <x v="0"/>
    <x v="50"/>
    <x v="48"/>
    <x v="49"/>
    <x v="40"/>
    <x v="5"/>
    <x v="1"/>
    <x v="8"/>
    <x v="5"/>
    <x v="7"/>
    <x v="7"/>
    <x v="0"/>
    <x v="23"/>
    <x v="24"/>
    <x v="6"/>
    <x v="22"/>
    <x v="51"/>
    <x v="78"/>
    <x v="43"/>
    <x v="23"/>
    <x v="14"/>
    <x v="0"/>
    <x v="0"/>
    <x v="0"/>
  </r>
  <r>
    <x v="8"/>
    <x v="70"/>
    <x v="0"/>
    <x v="44"/>
    <x v="42"/>
    <x v="37"/>
    <x v="1"/>
    <x v="5"/>
    <x v="1"/>
    <x v="8"/>
    <x v="5"/>
    <x v="7"/>
    <x v="7"/>
    <x v="0"/>
    <x v="17"/>
    <x v="0"/>
    <x v="2"/>
    <x v="0"/>
    <x v="36"/>
    <x v="93"/>
    <x v="29"/>
    <x v="14"/>
    <x v="14"/>
    <x v="0"/>
    <x v="0"/>
    <x v="0"/>
  </r>
  <r>
    <x v="8"/>
    <x v="82"/>
    <x v="0"/>
    <x v="28"/>
    <x v="30"/>
    <x v="21"/>
    <x v="40"/>
    <x v="5"/>
    <x v="1"/>
    <x v="8"/>
    <x v="5"/>
    <x v="7"/>
    <x v="7"/>
    <x v="0"/>
    <x v="7"/>
    <x v="24"/>
    <x v="4"/>
    <x v="22"/>
    <x v="24"/>
    <x v="103"/>
    <x v="15"/>
    <x v="5"/>
    <x v="14"/>
    <x v="0"/>
    <x v="0"/>
    <x v="0"/>
  </r>
  <r>
    <x v="10"/>
    <x v="5"/>
    <x v="0"/>
    <x v="54"/>
    <x v="58"/>
    <x v="59"/>
    <x v="31"/>
    <x v="5"/>
    <x v="1"/>
    <x v="8"/>
    <x v="5"/>
    <x v="7"/>
    <x v="7"/>
    <x v="4"/>
    <x v="34"/>
    <x v="13"/>
    <x v="19"/>
    <x v="17"/>
    <x v="62"/>
    <x v="57"/>
    <x v="62"/>
    <x v="32"/>
    <x v="7"/>
    <x v="0"/>
    <x v="0"/>
    <x v="0"/>
  </r>
  <r>
    <x v="10"/>
    <x v="18"/>
    <x v="0"/>
    <x v="64"/>
    <x v="67"/>
    <x v="67"/>
    <x v="40"/>
    <x v="5"/>
    <x v="1"/>
    <x v="8"/>
    <x v="5"/>
    <x v="7"/>
    <x v="7"/>
    <x v="0"/>
    <x v="39"/>
    <x v="24"/>
    <x v="16"/>
    <x v="22"/>
    <x v="64"/>
    <x v="55"/>
    <x v="64"/>
    <x v="34"/>
    <x v="14"/>
    <x v="0"/>
    <x v="0"/>
    <x v="0"/>
  </r>
  <r>
    <x v="10"/>
    <x v="32"/>
    <x v="0"/>
    <x v="60"/>
    <x v="60"/>
    <x v="61"/>
    <x v="40"/>
    <x v="5"/>
    <x v="1"/>
    <x v="8"/>
    <x v="5"/>
    <x v="7"/>
    <x v="7"/>
    <x v="0"/>
    <x v="31"/>
    <x v="24"/>
    <x v="31"/>
    <x v="22"/>
    <x v="68"/>
    <x v="49"/>
    <x v="68"/>
    <x v="38"/>
    <x v="14"/>
    <x v="0"/>
    <x v="0"/>
    <x v="0"/>
  </r>
  <r>
    <x v="10"/>
    <x v="45"/>
    <x v="0"/>
    <x v="19"/>
    <x v="22"/>
    <x v="13"/>
    <x v="7"/>
    <x v="5"/>
    <x v="1"/>
    <x v="8"/>
    <x v="5"/>
    <x v="7"/>
    <x v="7"/>
    <x v="7"/>
    <x v="8"/>
    <x v="2"/>
    <x v="28"/>
    <x v="7"/>
    <x v="43"/>
    <x v="85"/>
    <x v="33"/>
    <x v="74"/>
    <x v="14"/>
    <x v="0"/>
    <x v="0"/>
    <x v="0"/>
  </r>
  <r>
    <x v="10"/>
    <x v="56"/>
    <x v="0"/>
    <x v="21"/>
    <x v="23"/>
    <x v="14"/>
    <x v="40"/>
    <x v="5"/>
    <x v="1"/>
    <x v="8"/>
    <x v="5"/>
    <x v="7"/>
    <x v="7"/>
    <x v="7"/>
    <x v="9"/>
    <x v="24"/>
    <x v="7"/>
    <x v="22"/>
    <x v="28"/>
    <x v="101"/>
    <x v="17"/>
    <x v="7"/>
    <x v="14"/>
    <x v="0"/>
    <x v="0"/>
    <x v="0"/>
  </r>
  <r>
    <x v="11"/>
    <x v="4"/>
    <x v="0"/>
    <x v="65"/>
    <x v="77"/>
    <x v="78"/>
    <x v="35"/>
    <x v="5"/>
    <x v="1"/>
    <x v="8"/>
    <x v="5"/>
    <x v="7"/>
    <x v="7"/>
    <x v="7"/>
    <x v="48"/>
    <x v="13"/>
    <x v="30"/>
    <x v="19"/>
    <x v="77"/>
    <x v="29"/>
    <x v="78"/>
    <x v="48"/>
    <x v="9"/>
    <x v="0"/>
    <x v="0"/>
    <x v="0"/>
  </r>
  <r>
    <x v="11"/>
    <x v="17"/>
    <x v="0"/>
    <x v="68"/>
    <x v="80"/>
    <x v="82"/>
    <x v="40"/>
    <x v="5"/>
    <x v="1"/>
    <x v="8"/>
    <x v="5"/>
    <x v="7"/>
    <x v="7"/>
    <x v="0"/>
    <x v="47"/>
    <x v="24"/>
    <x v="34"/>
    <x v="22"/>
    <x v="80"/>
    <x v="24"/>
    <x v="81"/>
    <x v="51"/>
    <x v="14"/>
    <x v="0"/>
    <x v="0"/>
    <x v="0"/>
  </r>
  <r>
    <x v="11"/>
    <x v="31"/>
    <x v="0"/>
    <x v="66"/>
    <x v="64"/>
    <x v="64"/>
    <x v="40"/>
    <x v="5"/>
    <x v="1"/>
    <x v="8"/>
    <x v="5"/>
    <x v="7"/>
    <x v="7"/>
    <x v="0"/>
    <x v="36"/>
    <x v="24"/>
    <x v="33"/>
    <x v="22"/>
    <x v="73"/>
    <x v="37"/>
    <x v="73"/>
    <x v="43"/>
    <x v="14"/>
    <x v="0"/>
    <x v="0"/>
    <x v="0"/>
  </r>
  <r>
    <x v="11"/>
    <x v="44"/>
    <x v="0"/>
    <x v="64"/>
    <x v="63"/>
    <x v="63"/>
    <x v="8"/>
    <x v="5"/>
    <x v="1"/>
    <x v="8"/>
    <x v="5"/>
    <x v="7"/>
    <x v="7"/>
    <x v="0"/>
    <x v="33"/>
    <x v="1"/>
    <x v="33"/>
    <x v="8"/>
    <x v="71"/>
    <x v="41"/>
    <x v="71"/>
    <x v="41"/>
    <x v="14"/>
    <x v="0"/>
    <x v="0"/>
    <x v="0"/>
  </r>
  <r>
    <x v="11"/>
    <x v="55"/>
    <x v="0"/>
    <x v="76"/>
    <x v="69"/>
    <x v="70"/>
    <x v="40"/>
    <x v="5"/>
    <x v="1"/>
    <x v="8"/>
    <x v="5"/>
    <x v="7"/>
    <x v="7"/>
    <x v="7"/>
    <x v="44"/>
    <x v="24"/>
    <x v="1"/>
    <x v="22"/>
    <x v="60"/>
    <x v="59"/>
    <x v="58"/>
    <x v="30"/>
    <x v="14"/>
    <x v="0"/>
    <x v="0"/>
    <x v="0"/>
  </r>
  <r>
    <x v="11"/>
    <x v="71"/>
    <x v="0"/>
    <x v="59"/>
    <x v="59"/>
    <x v="60"/>
    <x v="40"/>
    <x v="5"/>
    <x v="1"/>
    <x v="8"/>
    <x v="5"/>
    <x v="7"/>
    <x v="7"/>
    <x v="4"/>
    <x v="35"/>
    <x v="24"/>
    <x v="23"/>
    <x v="22"/>
    <x v="65"/>
    <x v="53"/>
    <x v="65"/>
    <x v="35"/>
    <x v="14"/>
    <x v="0"/>
    <x v="0"/>
    <x v="0"/>
  </r>
  <r>
    <x v="12"/>
    <x v="6"/>
    <x v="0"/>
    <x v="17"/>
    <x v="16"/>
    <x v="29"/>
    <x v="32"/>
    <x v="3"/>
    <x v="1"/>
    <x v="4"/>
    <x v="3"/>
    <x v="3"/>
    <x v="3"/>
    <x v="0"/>
    <x v="12"/>
    <x v="0"/>
    <x v="0"/>
    <x v="13"/>
    <x v="14"/>
    <x v="65"/>
    <x v="20"/>
    <x v="9"/>
    <x v="1"/>
    <x v="0"/>
    <x v="0"/>
    <x v="0"/>
  </r>
  <r>
    <x v="12"/>
    <x v="19"/>
    <x v="0"/>
    <x v="34"/>
    <x v="33"/>
    <x v="40"/>
    <x v="40"/>
    <x v="4"/>
    <x v="1"/>
    <x v="6"/>
    <x v="4"/>
    <x v="5"/>
    <x v="5"/>
    <x v="0"/>
    <x v="19"/>
    <x v="24"/>
    <x v="11"/>
    <x v="22"/>
    <x v="31"/>
    <x v="68"/>
    <x v="36"/>
    <x v="18"/>
    <x v="14"/>
    <x v="0"/>
    <x v="0"/>
    <x v="0"/>
  </r>
  <r>
    <x v="12"/>
    <x v="57"/>
    <x v="0"/>
    <x v="7"/>
    <x v="6"/>
    <x v="12"/>
    <x v="40"/>
    <x v="1"/>
    <x v="1"/>
    <x v="2"/>
    <x v="1"/>
    <x v="1"/>
    <x v="1"/>
    <x v="0"/>
    <x v="4"/>
    <x v="24"/>
    <x v="11"/>
    <x v="22"/>
    <x v="8"/>
    <x v="32"/>
    <x v="22"/>
    <x v="10"/>
    <x v="14"/>
    <x v="0"/>
    <x v="0"/>
    <x v="0"/>
  </r>
  <r>
    <x v="12"/>
    <x v="94"/>
    <x v="0"/>
    <x v="70"/>
    <x v="71"/>
    <x v="72"/>
    <x v="40"/>
    <x v="5"/>
    <x v="1"/>
    <x v="8"/>
    <x v="5"/>
    <x v="7"/>
    <x v="7"/>
    <x v="0"/>
    <x v="40"/>
    <x v="24"/>
    <x v="13"/>
    <x v="22"/>
    <x v="61"/>
    <x v="58"/>
    <x v="59"/>
    <x v="31"/>
    <x v="14"/>
    <x v="0"/>
    <x v="0"/>
    <x v="0"/>
  </r>
  <r>
    <x v="12"/>
    <x v="97"/>
    <x v="0"/>
    <x v="48"/>
    <x v="46"/>
    <x v="43"/>
    <x v="40"/>
    <x v="5"/>
    <x v="1"/>
    <x v="8"/>
    <x v="5"/>
    <x v="7"/>
    <x v="7"/>
    <x v="0"/>
    <x v="21"/>
    <x v="24"/>
    <x v="0"/>
    <x v="22"/>
    <x v="38"/>
    <x v="92"/>
    <x v="30"/>
    <x v="15"/>
    <x v="14"/>
    <x v="0"/>
    <x v="0"/>
    <x v="0"/>
  </r>
  <r>
    <x v="12"/>
    <x v="101"/>
    <x v="0"/>
    <x v="63"/>
    <x v="62"/>
    <x v="84"/>
    <x v="0"/>
    <x v="4"/>
    <x v="1"/>
    <x v="6"/>
    <x v="4"/>
    <x v="5"/>
    <x v="5"/>
    <x v="0"/>
    <x v="51"/>
    <x v="0"/>
    <x v="13"/>
    <x v="2"/>
    <x v="59"/>
    <x v="31"/>
    <x v="76"/>
    <x v="46"/>
    <x v="14"/>
    <x v="0"/>
    <x v="0"/>
    <x v="0"/>
  </r>
  <r>
    <x v="12"/>
    <x v="103"/>
    <x v="0"/>
    <x v="10"/>
    <x v="9"/>
    <x v="5"/>
    <x v="40"/>
    <x v="3"/>
    <x v="1"/>
    <x v="4"/>
    <x v="3"/>
    <x v="3"/>
    <x v="3"/>
    <x v="0"/>
    <x v="1"/>
    <x v="24"/>
    <x v="0"/>
    <x v="22"/>
    <x v="10"/>
    <x v="86"/>
    <x v="5"/>
    <x v="1"/>
    <x v="14"/>
    <x v="0"/>
    <x v="0"/>
    <x v="0"/>
  </r>
  <r>
    <x v="12"/>
    <x v="105"/>
    <x v="0"/>
    <x v="9"/>
    <x v="8"/>
    <x v="4"/>
    <x v="40"/>
    <x v="3"/>
    <x v="1"/>
    <x v="4"/>
    <x v="3"/>
    <x v="3"/>
    <x v="3"/>
    <x v="0"/>
    <x v="0"/>
    <x v="24"/>
    <x v="0"/>
    <x v="22"/>
    <x v="9"/>
    <x v="90"/>
    <x v="4"/>
    <x v="0"/>
    <x v="14"/>
    <x v="0"/>
    <x v="0"/>
    <x v="0"/>
  </r>
  <r>
    <x v="12"/>
    <x v="107"/>
    <x v="0"/>
    <x v="4"/>
    <x v="5"/>
    <x v="7"/>
    <x v="40"/>
    <x v="1"/>
    <x v="1"/>
    <x v="2"/>
    <x v="1"/>
    <x v="1"/>
    <x v="1"/>
    <x v="0"/>
    <x v="2"/>
    <x v="24"/>
    <x v="0"/>
    <x v="22"/>
    <x v="5"/>
    <x v="40"/>
    <x v="7"/>
    <x v="74"/>
    <x v="14"/>
    <x v="0"/>
    <x v="0"/>
    <x v="0"/>
  </r>
  <r>
    <x v="15"/>
    <x v="7"/>
    <x v="0"/>
    <x v="87"/>
    <x v="89"/>
    <x v="94"/>
    <x v="37"/>
    <x v="5"/>
    <x v="1"/>
    <x v="8"/>
    <x v="5"/>
    <x v="7"/>
    <x v="7"/>
    <x v="19"/>
    <x v="71"/>
    <x v="20"/>
    <x v="0"/>
    <x v="0"/>
    <x v="87"/>
    <x v="14"/>
    <x v="91"/>
    <x v="61"/>
    <x v="10"/>
    <x v="0"/>
    <x v="0"/>
    <x v="0"/>
  </r>
  <r>
    <x v="15"/>
    <x v="20"/>
    <x v="0"/>
    <x v="94"/>
    <x v="95"/>
    <x v="102"/>
    <x v="40"/>
    <x v="5"/>
    <x v="1"/>
    <x v="8"/>
    <x v="5"/>
    <x v="7"/>
    <x v="7"/>
    <x v="0"/>
    <x v="66"/>
    <x v="24"/>
    <x v="0"/>
    <x v="22"/>
    <x v="83"/>
    <x v="19"/>
    <x v="85"/>
    <x v="55"/>
    <x v="14"/>
    <x v="0"/>
    <x v="0"/>
    <x v="0"/>
  </r>
  <r>
    <x v="15"/>
    <x v="33"/>
    <x v="0"/>
    <x v="96"/>
    <x v="96"/>
    <x v="103"/>
    <x v="40"/>
    <x v="5"/>
    <x v="1"/>
    <x v="8"/>
    <x v="5"/>
    <x v="7"/>
    <x v="7"/>
    <x v="0"/>
    <x v="69"/>
    <x v="24"/>
    <x v="0"/>
    <x v="22"/>
    <x v="85"/>
    <x v="16"/>
    <x v="89"/>
    <x v="59"/>
    <x v="14"/>
    <x v="0"/>
    <x v="0"/>
    <x v="0"/>
  </r>
  <r>
    <x v="15"/>
    <x v="46"/>
    <x v="0"/>
    <x v="85"/>
    <x v="86"/>
    <x v="90"/>
    <x v="12"/>
    <x v="5"/>
    <x v="1"/>
    <x v="8"/>
    <x v="5"/>
    <x v="7"/>
    <x v="7"/>
    <x v="16"/>
    <x v="61"/>
    <x v="4"/>
    <x v="0"/>
    <x v="0"/>
    <x v="82"/>
    <x v="22"/>
    <x v="83"/>
    <x v="53"/>
    <x v="14"/>
    <x v="0"/>
    <x v="0"/>
    <x v="0"/>
  </r>
  <r>
    <x v="15"/>
    <x v="58"/>
    <x v="0"/>
    <x v="88"/>
    <x v="88"/>
    <x v="92"/>
    <x v="40"/>
    <x v="5"/>
    <x v="1"/>
    <x v="8"/>
    <x v="5"/>
    <x v="7"/>
    <x v="7"/>
    <x v="22"/>
    <x v="70"/>
    <x v="24"/>
    <x v="0"/>
    <x v="22"/>
    <x v="86"/>
    <x v="15"/>
    <x v="90"/>
    <x v="60"/>
    <x v="14"/>
    <x v="0"/>
    <x v="0"/>
    <x v="0"/>
  </r>
  <r>
    <x v="15"/>
    <x v="72"/>
    <x v="0"/>
    <x v="97"/>
    <x v="92"/>
    <x v="99"/>
    <x v="40"/>
    <x v="5"/>
    <x v="1"/>
    <x v="8"/>
    <x v="5"/>
    <x v="7"/>
    <x v="7"/>
    <x v="0"/>
    <x v="59"/>
    <x v="24"/>
    <x v="0"/>
    <x v="22"/>
    <x v="81"/>
    <x v="23"/>
    <x v="82"/>
    <x v="52"/>
    <x v="14"/>
    <x v="0"/>
    <x v="0"/>
    <x v="0"/>
  </r>
  <r>
    <x v="16"/>
    <x v="8"/>
    <x v="0"/>
    <x v="99"/>
    <x v="99"/>
    <x v="98"/>
    <x v="38"/>
    <x v="6"/>
    <x v="1"/>
    <x v="9"/>
    <x v="6"/>
    <x v="8"/>
    <x v="8"/>
    <x v="14"/>
    <x v="67"/>
    <x v="21"/>
    <x v="0"/>
    <x v="0"/>
    <x v="100"/>
    <x v="20"/>
    <x v="86"/>
    <x v="56"/>
    <x v="12"/>
    <x v="0"/>
    <x v="0"/>
    <x v="0"/>
  </r>
  <r>
    <x v="16"/>
    <x v="21"/>
    <x v="0"/>
    <x v="98"/>
    <x v="98"/>
    <x v="97"/>
    <x v="40"/>
    <x v="6"/>
    <x v="1"/>
    <x v="9"/>
    <x v="6"/>
    <x v="8"/>
    <x v="8"/>
    <x v="24"/>
    <x v="74"/>
    <x v="24"/>
    <x v="0"/>
    <x v="22"/>
    <x v="103"/>
    <x v="13"/>
    <x v="92"/>
    <x v="62"/>
    <x v="14"/>
    <x v="0"/>
    <x v="0"/>
    <x v="0"/>
  </r>
  <r>
    <x v="16"/>
    <x v="34"/>
    <x v="0"/>
    <x v="95"/>
    <x v="97"/>
    <x v="93"/>
    <x v="40"/>
    <x v="6"/>
    <x v="1"/>
    <x v="9"/>
    <x v="6"/>
    <x v="8"/>
    <x v="8"/>
    <x v="35"/>
    <x v="75"/>
    <x v="24"/>
    <x v="0"/>
    <x v="22"/>
    <x v="104"/>
    <x v="12"/>
    <x v="93"/>
    <x v="63"/>
    <x v="14"/>
    <x v="0"/>
    <x v="0"/>
    <x v="0"/>
  </r>
  <r>
    <x v="16"/>
    <x v="47"/>
    <x v="0"/>
    <x v="93"/>
    <x v="94"/>
    <x v="89"/>
    <x v="13"/>
    <x v="6"/>
    <x v="1"/>
    <x v="9"/>
    <x v="6"/>
    <x v="8"/>
    <x v="8"/>
    <x v="31"/>
    <x v="68"/>
    <x v="5"/>
    <x v="0"/>
    <x v="0"/>
    <x v="101"/>
    <x v="18"/>
    <x v="87"/>
    <x v="57"/>
    <x v="14"/>
    <x v="0"/>
    <x v="0"/>
    <x v="0"/>
  </r>
  <r>
    <x v="16"/>
    <x v="59"/>
    <x v="0"/>
    <x v="101"/>
    <x v="101"/>
    <x v="104"/>
    <x v="40"/>
    <x v="6"/>
    <x v="1"/>
    <x v="9"/>
    <x v="6"/>
    <x v="8"/>
    <x v="8"/>
    <x v="17"/>
    <x v="77"/>
    <x v="24"/>
    <x v="0"/>
    <x v="22"/>
    <x v="105"/>
    <x v="4"/>
    <x v="98"/>
    <x v="67"/>
    <x v="14"/>
    <x v="0"/>
    <x v="0"/>
    <x v="0"/>
  </r>
  <r>
    <x v="16"/>
    <x v="74"/>
    <x v="0"/>
    <x v="100"/>
    <x v="100"/>
    <x v="101"/>
    <x v="40"/>
    <x v="6"/>
    <x v="1"/>
    <x v="9"/>
    <x v="6"/>
    <x v="8"/>
    <x v="8"/>
    <x v="0"/>
    <x v="63"/>
    <x v="24"/>
    <x v="0"/>
    <x v="22"/>
    <x v="98"/>
    <x v="21"/>
    <x v="84"/>
    <x v="54"/>
    <x v="14"/>
    <x v="0"/>
    <x v="0"/>
    <x v="0"/>
  </r>
  <r>
    <x v="19"/>
    <x v="9"/>
    <x v="0"/>
    <x v="69"/>
    <x v="68"/>
    <x v="68"/>
    <x v="34"/>
    <x v="5"/>
    <x v="1"/>
    <x v="8"/>
    <x v="5"/>
    <x v="7"/>
    <x v="7"/>
    <x v="4"/>
    <x v="42"/>
    <x v="13"/>
    <x v="15"/>
    <x v="20"/>
    <x v="69"/>
    <x v="47"/>
    <x v="69"/>
    <x v="39"/>
    <x v="6"/>
    <x v="0"/>
    <x v="0"/>
    <x v="0"/>
  </r>
  <r>
    <x v="19"/>
    <x v="22"/>
    <x v="0"/>
    <x v="67"/>
    <x v="65"/>
    <x v="65"/>
    <x v="40"/>
    <x v="5"/>
    <x v="1"/>
    <x v="8"/>
    <x v="5"/>
    <x v="7"/>
    <x v="7"/>
    <x v="0"/>
    <x v="37"/>
    <x v="24"/>
    <x v="35"/>
    <x v="22"/>
    <x v="76"/>
    <x v="34"/>
    <x v="77"/>
    <x v="47"/>
    <x v="14"/>
    <x v="0"/>
    <x v="0"/>
    <x v="0"/>
  </r>
  <r>
    <x v="19"/>
    <x v="36"/>
    <x v="0"/>
    <x v="79"/>
    <x v="78"/>
    <x v="79"/>
    <x v="40"/>
    <x v="5"/>
    <x v="1"/>
    <x v="8"/>
    <x v="5"/>
    <x v="7"/>
    <x v="7"/>
    <x v="0"/>
    <x v="43"/>
    <x v="24"/>
    <x v="24"/>
    <x v="22"/>
    <x v="74"/>
    <x v="36"/>
    <x v="74"/>
    <x v="44"/>
    <x v="14"/>
    <x v="0"/>
    <x v="0"/>
    <x v="0"/>
  </r>
  <r>
    <x v="19"/>
    <x v="77"/>
    <x v="0"/>
    <x v="31"/>
    <x v="29"/>
    <x v="19"/>
    <x v="4"/>
    <x v="5"/>
    <x v="1"/>
    <x v="8"/>
    <x v="5"/>
    <x v="7"/>
    <x v="7"/>
    <x v="7"/>
    <x v="11"/>
    <x v="1"/>
    <x v="10"/>
    <x v="9"/>
    <x v="32"/>
    <x v="97"/>
    <x v="24"/>
    <x v="11"/>
    <x v="14"/>
    <x v="0"/>
    <x v="0"/>
    <x v="0"/>
  </r>
  <r>
    <x v="19"/>
    <x v="86"/>
    <x v="0"/>
    <x v="53"/>
    <x v="51"/>
    <x v="52"/>
    <x v="40"/>
    <x v="5"/>
    <x v="1"/>
    <x v="8"/>
    <x v="5"/>
    <x v="7"/>
    <x v="7"/>
    <x v="0"/>
    <x v="27"/>
    <x v="24"/>
    <x v="43"/>
    <x v="22"/>
    <x v="78"/>
    <x v="27"/>
    <x v="79"/>
    <x v="49"/>
    <x v="14"/>
    <x v="0"/>
    <x v="0"/>
    <x v="0"/>
  </r>
  <r>
    <x v="19"/>
    <x v="92"/>
    <x v="0"/>
    <x v="46"/>
    <x v="45"/>
    <x v="42"/>
    <x v="40"/>
    <x v="5"/>
    <x v="1"/>
    <x v="8"/>
    <x v="5"/>
    <x v="7"/>
    <x v="7"/>
    <x v="7"/>
    <x v="25"/>
    <x v="24"/>
    <x v="40"/>
    <x v="22"/>
    <x v="70"/>
    <x v="42"/>
    <x v="70"/>
    <x v="40"/>
    <x v="14"/>
    <x v="0"/>
    <x v="0"/>
    <x v="0"/>
  </r>
  <r>
    <x v="21"/>
    <x v="10"/>
    <x v="0"/>
    <x v="56"/>
    <x v="53"/>
    <x v="54"/>
    <x v="28"/>
    <x v="5"/>
    <x v="1"/>
    <x v="8"/>
    <x v="5"/>
    <x v="7"/>
    <x v="7"/>
    <x v="0"/>
    <x v="29"/>
    <x v="0"/>
    <x v="9"/>
    <x v="15"/>
    <x v="54"/>
    <x v="74"/>
    <x v="49"/>
    <x v="26"/>
    <x v="3"/>
    <x v="0"/>
    <x v="0"/>
    <x v="0"/>
  </r>
  <r>
    <x v="21"/>
    <x v="23"/>
    <x v="0"/>
    <x v="51"/>
    <x v="49"/>
    <x v="50"/>
    <x v="40"/>
    <x v="5"/>
    <x v="1"/>
    <x v="8"/>
    <x v="5"/>
    <x v="7"/>
    <x v="7"/>
    <x v="0"/>
    <x v="24"/>
    <x v="24"/>
    <x v="2"/>
    <x v="22"/>
    <x v="49"/>
    <x v="80"/>
    <x v="40"/>
    <x v="21"/>
    <x v="14"/>
    <x v="0"/>
    <x v="0"/>
    <x v="0"/>
  </r>
  <r>
    <x v="21"/>
    <x v="37"/>
    <x v="0"/>
    <x v="49"/>
    <x v="47"/>
    <x v="48"/>
    <x v="40"/>
    <x v="5"/>
    <x v="1"/>
    <x v="8"/>
    <x v="5"/>
    <x v="7"/>
    <x v="7"/>
    <x v="0"/>
    <x v="22"/>
    <x v="24"/>
    <x v="3"/>
    <x v="22"/>
    <x v="48"/>
    <x v="81"/>
    <x v="38"/>
    <x v="20"/>
    <x v="14"/>
    <x v="0"/>
    <x v="0"/>
    <x v="0"/>
  </r>
  <r>
    <x v="21"/>
    <x v="48"/>
    <x v="0"/>
    <x v="16"/>
    <x v="15"/>
    <x v="8"/>
    <x v="3"/>
    <x v="5"/>
    <x v="1"/>
    <x v="8"/>
    <x v="5"/>
    <x v="7"/>
    <x v="7"/>
    <x v="0"/>
    <x v="3"/>
    <x v="24"/>
    <x v="18"/>
    <x v="4"/>
    <x v="19"/>
    <x v="106"/>
    <x v="10"/>
    <x v="2"/>
    <x v="14"/>
    <x v="0"/>
    <x v="0"/>
    <x v="0"/>
  </r>
  <r>
    <x v="21"/>
    <x v="61"/>
    <x v="0"/>
    <x v="38"/>
    <x v="35"/>
    <x v="32"/>
    <x v="40"/>
    <x v="5"/>
    <x v="1"/>
    <x v="8"/>
    <x v="5"/>
    <x v="7"/>
    <x v="7"/>
    <x v="0"/>
    <x v="13"/>
    <x v="24"/>
    <x v="22"/>
    <x v="22"/>
    <x v="46"/>
    <x v="82"/>
    <x v="37"/>
    <x v="19"/>
    <x v="14"/>
    <x v="0"/>
    <x v="0"/>
    <x v="0"/>
  </r>
  <r>
    <x v="22"/>
    <x v="11"/>
    <x v="0"/>
    <x v="45"/>
    <x v="43"/>
    <x v="39"/>
    <x v="27"/>
    <x v="5"/>
    <x v="1"/>
    <x v="8"/>
    <x v="5"/>
    <x v="7"/>
    <x v="7"/>
    <x v="0"/>
    <x v="18"/>
    <x v="0"/>
    <x v="11"/>
    <x v="16"/>
    <x v="44"/>
    <x v="84"/>
    <x v="34"/>
    <x v="17"/>
    <x v="4"/>
    <x v="0"/>
    <x v="0"/>
    <x v="0"/>
  </r>
  <r>
    <x v="22"/>
    <x v="24"/>
    <x v="0"/>
    <x v="72"/>
    <x v="71"/>
    <x v="72"/>
    <x v="40"/>
    <x v="5"/>
    <x v="1"/>
    <x v="8"/>
    <x v="5"/>
    <x v="7"/>
    <x v="7"/>
    <x v="0"/>
    <x v="40"/>
    <x v="24"/>
    <x v="32"/>
    <x v="22"/>
    <x v="75"/>
    <x v="35"/>
    <x v="75"/>
    <x v="45"/>
    <x v="14"/>
    <x v="0"/>
    <x v="0"/>
    <x v="0"/>
  </r>
  <r>
    <x v="22"/>
    <x v="38"/>
    <x v="0"/>
    <x v="74"/>
    <x v="72"/>
    <x v="73"/>
    <x v="2"/>
    <x v="5"/>
    <x v="1"/>
    <x v="8"/>
    <x v="5"/>
    <x v="7"/>
    <x v="7"/>
    <x v="0"/>
    <x v="41"/>
    <x v="0"/>
    <x v="27"/>
    <x v="5"/>
    <x v="72"/>
    <x v="39"/>
    <x v="72"/>
    <x v="42"/>
    <x v="14"/>
    <x v="0"/>
    <x v="0"/>
    <x v="0"/>
  </r>
  <r>
    <x v="22"/>
    <x v="63"/>
    <x v="0"/>
    <x v="30"/>
    <x v="28"/>
    <x v="17"/>
    <x v="40"/>
    <x v="5"/>
    <x v="1"/>
    <x v="8"/>
    <x v="5"/>
    <x v="7"/>
    <x v="7"/>
    <x v="0"/>
    <x v="5"/>
    <x v="24"/>
    <x v="3"/>
    <x v="22"/>
    <x v="23"/>
    <x v="104"/>
    <x v="12"/>
    <x v="3"/>
    <x v="14"/>
    <x v="0"/>
    <x v="0"/>
    <x v="0"/>
  </r>
  <r>
    <x v="24"/>
    <x v="12"/>
    <x v="0"/>
    <x v="55"/>
    <x v="52"/>
    <x v="53"/>
    <x v="29"/>
    <x v="5"/>
    <x v="1"/>
    <x v="8"/>
    <x v="5"/>
    <x v="7"/>
    <x v="7"/>
    <x v="0"/>
    <x v="28"/>
    <x v="0"/>
    <x v="5"/>
    <x v="11"/>
    <x v="53"/>
    <x v="76"/>
    <x v="47"/>
    <x v="25"/>
    <x v="2"/>
    <x v="0"/>
    <x v="0"/>
    <x v="0"/>
  </r>
  <r>
    <x v="24"/>
    <x v="25"/>
    <x v="0"/>
    <x v="62"/>
    <x v="61"/>
    <x v="62"/>
    <x v="40"/>
    <x v="5"/>
    <x v="1"/>
    <x v="8"/>
    <x v="5"/>
    <x v="7"/>
    <x v="7"/>
    <x v="0"/>
    <x v="32"/>
    <x v="24"/>
    <x v="3"/>
    <x v="22"/>
    <x v="56"/>
    <x v="67"/>
    <x v="54"/>
    <x v="28"/>
    <x v="14"/>
    <x v="0"/>
    <x v="0"/>
    <x v="0"/>
  </r>
  <r>
    <x v="24"/>
    <x v="39"/>
    <x v="0"/>
    <x v="41"/>
    <x v="39"/>
    <x v="35"/>
    <x v="40"/>
    <x v="5"/>
    <x v="1"/>
    <x v="8"/>
    <x v="5"/>
    <x v="7"/>
    <x v="7"/>
    <x v="0"/>
    <x v="15"/>
    <x v="24"/>
    <x v="2"/>
    <x v="22"/>
    <x v="34"/>
    <x v="96"/>
    <x v="26"/>
    <x v="12"/>
    <x v="14"/>
    <x v="0"/>
    <x v="0"/>
    <x v="0"/>
  </r>
  <r>
    <x v="24"/>
    <x v="49"/>
    <x v="0"/>
    <x v="35"/>
    <x v="34"/>
    <x v="28"/>
    <x v="5"/>
    <x v="5"/>
    <x v="1"/>
    <x v="8"/>
    <x v="5"/>
    <x v="7"/>
    <x v="7"/>
    <x v="0"/>
    <x v="10"/>
    <x v="0"/>
    <x v="0"/>
    <x v="1"/>
    <x v="27"/>
    <x v="102"/>
    <x v="16"/>
    <x v="6"/>
    <x v="14"/>
    <x v="0"/>
    <x v="0"/>
    <x v="0"/>
  </r>
  <r>
    <x v="24"/>
    <x v="64"/>
    <x v="0"/>
    <x v="21"/>
    <x v="18"/>
    <x v="20"/>
    <x v="40"/>
    <x v="4"/>
    <x v="1"/>
    <x v="6"/>
    <x v="4"/>
    <x v="5"/>
    <x v="5"/>
    <x v="0"/>
    <x v="6"/>
    <x v="24"/>
    <x v="2"/>
    <x v="22"/>
    <x v="17"/>
    <x v="89"/>
    <x v="13"/>
    <x v="4"/>
    <x v="14"/>
    <x v="0"/>
    <x v="0"/>
    <x v="0"/>
  </r>
  <r>
    <x v="2"/>
    <x v="67"/>
    <x v="1"/>
    <x v="39"/>
    <x v="37"/>
    <x v="44"/>
    <x v="21"/>
    <x v="5"/>
    <x v="0"/>
    <x v="7"/>
    <x v="5"/>
    <x v="6"/>
    <x v="6"/>
    <x v="11"/>
    <x v="78"/>
    <x v="14"/>
    <x v="44"/>
    <x v="22"/>
    <x v="42"/>
    <x v="69"/>
    <x v="48"/>
    <x v="74"/>
    <x v="14"/>
    <x v="0"/>
    <x v="0"/>
    <x v="0"/>
  </r>
  <r>
    <x v="2"/>
    <x v="89"/>
    <x v="1"/>
    <x v="24"/>
    <x v="21"/>
    <x v="18"/>
    <x v="40"/>
    <x v="5"/>
    <x v="0"/>
    <x v="7"/>
    <x v="5"/>
    <x v="6"/>
    <x v="6"/>
    <x v="11"/>
    <x v="78"/>
    <x v="24"/>
    <x v="44"/>
    <x v="22"/>
    <x v="25"/>
    <x v="88"/>
    <x v="21"/>
    <x v="74"/>
    <x v="14"/>
    <x v="0"/>
    <x v="0"/>
    <x v="0"/>
  </r>
  <r>
    <x v="3"/>
    <x v="28"/>
    <x v="1"/>
    <x v="25"/>
    <x v="23"/>
    <x v="22"/>
    <x v="23"/>
    <x v="5"/>
    <x v="0"/>
    <x v="7"/>
    <x v="5"/>
    <x v="6"/>
    <x v="6"/>
    <x v="12"/>
    <x v="78"/>
    <x v="15"/>
    <x v="44"/>
    <x v="22"/>
    <x v="30"/>
    <x v="83"/>
    <x v="25"/>
    <x v="74"/>
    <x v="14"/>
    <x v="0"/>
    <x v="0"/>
    <x v="0"/>
  </r>
  <r>
    <x v="3"/>
    <x v="40"/>
    <x v="1"/>
    <x v="11"/>
    <x v="10"/>
    <x v="31"/>
    <x v="40"/>
    <x v="2"/>
    <x v="0"/>
    <x v="3"/>
    <x v="2"/>
    <x v="2"/>
    <x v="2"/>
    <x v="13"/>
    <x v="78"/>
    <x v="24"/>
    <x v="44"/>
    <x v="22"/>
    <x v="13"/>
    <x v="30"/>
    <x v="53"/>
    <x v="74"/>
    <x v="14"/>
    <x v="0"/>
    <x v="0"/>
    <x v="0"/>
  </r>
  <r>
    <x v="3"/>
    <x v="51"/>
    <x v="1"/>
    <x v="20"/>
    <x v="17"/>
    <x v="80"/>
    <x v="40"/>
    <x v="2"/>
    <x v="0"/>
    <x v="3"/>
    <x v="2"/>
    <x v="2"/>
    <x v="2"/>
    <x v="0"/>
    <x v="78"/>
    <x v="24"/>
    <x v="44"/>
    <x v="22"/>
    <x v="16"/>
    <x v="25"/>
    <x v="60"/>
    <x v="74"/>
    <x v="14"/>
    <x v="0"/>
    <x v="0"/>
    <x v="0"/>
  </r>
  <r>
    <x v="4"/>
    <x v="2"/>
    <x v="1"/>
    <x v="18"/>
    <x v="19"/>
    <x v="15"/>
    <x v="18"/>
    <x v="5"/>
    <x v="0"/>
    <x v="7"/>
    <x v="5"/>
    <x v="6"/>
    <x v="6"/>
    <x v="29"/>
    <x v="78"/>
    <x v="19"/>
    <x v="44"/>
    <x v="22"/>
    <x v="41"/>
    <x v="70"/>
    <x v="45"/>
    <x v="74"/>
    <x v="14"/>
    <x v="0"/>
    <x v="0"/>
    <x v="0"/>
  </r>
  <r>
    <x v="4"/>
    <x v="15"/>
    <x v="1"/>
    <x v="23"/>
    <x v="25"/>
    <x v="25"/>
    <x v="40"/>
    <x v="5"/>
    <x v="0"/>
    <x v="7"/>
    <x v="5"/>
    <x v="6"/>
    <x v="6"/>
    <x v="29"/>
    <x v="78"/>
    <x v="24"/>
    <x v="44"/>
    <x v="22"/>
    <x v="47"/>
    <x v="63"/>
    <x v="52"/>
    <x v="74"/>
    <x v="14"/>
    <x v="0"/>
    <x v="0"/>
    <x v="0"/>
  </r>
  <r>
    <x v="6"/>
    <x v="68"/>
    <x v="1"/>
    <x v="27"/>
    <x v="27"/>
    <x v="27"/>
    <x v="22"/>
    <x v="5"/>
    <x v="0"/>
    <x v="7"/>
    <x v="5"/>
    <x v="6"/>
    <x v="6"/>
    <x v="26"/>
    <x v="78"/>
    <x v="18"/>
    <x v="44"/>
    <x v="22"/>
    <x v="45"/>
    <x v="66"/>
    <x v="51"/>
    <x v="74"/>
    <x v="14"/>
    <x v="0"/>
    <x v="0"/>
    <x v="0"/>
  </r>
  <r>
    <x v="6"/>
    <x v="80"/>
    <x v="1"/>
    <x v="43"/>
    <x v="40"/>
    <x v="46"/>
    <x v="40"/>
    <x v="5"/>
    <x v="0"/>
    <x v="7"/>
    <x v="5"/>
    <x v="6"/>
    <x v="6"/>
    <x v="26"/>
    <x v="78"/>
    <x v="24"/>
    <x v="44"/>
    <x v="22"/>
    <x v="57"/>
    <x v="51"/>
    <x v="57"/>
    <x v="74"/>
    <x v="14"/>
    <x v="0"/>
    <x v="0"/>
    <x v="0"/>
  </r>
  <r>
    <x v="9"/>
    <x v="96"/>
    <x v="0"/>
    <x v="3"/>
    <x v="3"/>
    <x v="5"/>
    <x v="15"/>
    <x v="0"/>
    <x v="1"/>
    <x v="1"/>
    <x v="0"/>
    <x v="1"/>
    <x v="1"/>
    <x v="0"/>
    <x v="78"/>
    <x v="0"/>
    <x v="44"/>
    <x v="22"/>
    <x v="3"/>
    <x v="44"/>
    <x v="5"/>
    <x v="74"/>
    <x v="14"/>
    <x v="0"/>
    <x v="0"/>
    <x v="0"/>
  </r>
  <r>
    <x v="9"/>
    <x v="100"/>
    <x v="0"/>
    <x v="6"/>
    <x v="4"/>
    <x v="6"/>
    <x v="40"/>
    <x v="0"/>
    <x v="1"/>
    <x v="1"/>
    <x v="0"/>
    <x v="1"/>
    <x v="1"/>
    <x v="0"/>
    <x v="78"/>
    <x v="24"/>
    <x v="44"/>
    <x v="22"/>
    <x v="4"/>
    <x v="43"/>
    <x v="6"/>
    <x v="74"/>
    <x v="14"/>
    <x v="0"/>
    <x v="0"/>
    <x v="0"/>
  </r>
  <r>
    <x v="13"/>
    <x v="98"/>
    <x v="0"/>
    <x v="0"/>
    <x v="0"/>
    <x v="0"/>
    <x v="14"/>
    <x v="0"/>
    <x v="0"/>
    <x v="0"/>
    <x v="0"/>
    <x v="0"/>
    <x v="0"/>
    <x v="0"/>
    <x v="78"/>
    <x v="0"/>
    <x v="44"/>
    <x v="22"/>
    <x v="0"/>
    <x v="46"/>
    <x v="0"/>
    <x v="74"/>
    <x v="14"/>
    <x v="0"/>
    <x v="0"/>
    <x v="0"/>
  </r>
  <r>
    <x v="13"/>
    <x v="102"/>
    <x v="0"/>
    <x v="1"/>
    <x v="1"/>
    <x v="2"/>
    <x v="40"/>
    <x v="0"/>
    <x v="0"/>
    <x v="0"/>
    <x v="0"/>
    <x v="0"/>
    <x v="0"/>
    <x v="0"/>
    <x v="78"/>
    <x v="24"/>
    <x v="44"/>
    <x v="22"/>
    <x v="1"/>
    <x v="45"/>
    <x v="2"/>
    <x v="74"/>
    <x v="14"/>
    <x v="0"/>
    <x v="0"/>
    <x v="0"/>
  </r>
  <r>
    <x v="14"/>
    <x v="73"/>
    <x v="1"/>
    <x v="61"/>
    <x v="57"/>
    <x v="69"/>
    <x v="25"/>
    <x v="5"/>
    <x v="0"/>
    <x v="7"/>
    <x v="5"/>
    <x v="6"/>
    <x v="6"/>
    <x v="8"/>
    <x v="78"/>
    <x v="12"/>
    <x v="44"/>
    <x v="22"/>
    <x v="58"/>
    <x v="48"/>
    <x v="61"/>
    <x v="74"/>
    <x v="14"/>
    <x v="0"/>
    <x v="0"/>
    <x v="0"/>
  </r>
  <r>
    <x v="14"/>
    <x v="83"/>
    <x v="1"/>
    <x v="40"/>
    <x v="38"/>
    <x v="45"/>
    <x v="40"/>
    <x v="5"/>
    <x v="0"/>
    <x v="7"/>
    <x v="5"/>
    <x v="6"/>
    <x v="6"/>
    <x v="8"/>
    <x v="78"/>
    <x v="24"/>
    <x v="44"/>
    <x v="22"/>
    <x v="40"/>
    <x v="71"/>
    <x v="44"/>
    <x v="74"/>
    <x v="14"/>
    <x v="0"/>
    <x v="0"/>
    <x v="0"/>
  </r>
  <r>
    <x v="17"/>
    <x v="85"/>
    <x v="1"/>
    <x v="42"/>
    <x v="41"/>
    <x v="47"/>
    <x v="24"/>
    <x v="5"/>
    <x v="0"/>
    <x v="7"/>
    <x v="5"/>
    <x v="6"/>
    <x v="6"/>
    <x v="0"/>
    <x v="78"/>
    <x v="8"/>
    <x v="44"/>
    <x v="22"/>
    <x v="33"/>
    <x v="75"/>
    <x v="35"/>
    <x v="74"/>
    <x v="14"/>
    <x v="0"/>
    <x v="0"/>
    <x v="0"/>
  </r>
  <r>
    <x v="17"/>
    <x v="91"/>
    <x v="1"/>
    <x v="26"/>
    <x v="24"/>
    <x v="24"/>
    <x v="40"/>
    <x v="5"/>
    <x v="0"/>
    <x v="7"/>
    <x v="5"/>
    <x v="6"/>
    <x v="6"/>
    <x v="0"/>
    <x v="78"/>
    <x v="24"/>
    <x v="44"/>
    <x v="22"/>
    <x v="20"/>
    <x v="98"/>
    <x v="14"/>
    <x v="74"/>
    <x v="14"/>
    <x v="0"/>
    <x v="0"/>
    <x v="0"/>
  </r>
  <r>
    <x v="17"/>
    <x v="95"/>
    <x v="1"/>
    <x v="5"/>
    <x v="5"/>
    <x v="3"/>
    <x v="40"/>
    <x v="2"/>
    <x v="0"/>
    <x v="3"/>
    <x v="2"/>
    <x v="2"/>
    <x v="2"/>
    <x v="1"/>
    <x v="78"/>
    <x v="8"/>
    <x v="44"/>
    <x v="22"/>
    <x v="6"/>
    <x v="60"/>
    <x v="3"/>
    <x v="74"/>
    <x v="14"/>
    <x v="0"/>
    <x v="0"/>
    <x v="0"/>
  </r>
  <r>
    <x v="17"/>
    <x v="99"/>
    <x v="1"/>
    <x v="2"/>
    <x v="2"/>
    <x v="1"/>
    <x v="40"/>
    <x v="2"/>
    <x v="0"/>
    <x v="3"/>
    <x v="2"/>
    <x v="2"/>
    <x v="2"/>
    <x v="1"/>
    <x v="78"/>
    <x v="24"/>
    <x v="44"/>
    <x v="22"/>
    <x v="2"/>
    <x v="61"/>
    <x v="1"/>
    <x v="74"/>
    <x v="14"/>
    <x v="0"/>
    <x v="0"/>
    <x v="0"/>
  </r>
  <r>
    <x v="18"/>
    <x v="60"/>
    <x v="1"/>
    <x v="16"/>
    <x v="15"/>
    <x v="9"/>
    <x v="20"/>
    <x v="5"/>
    <x v="0"/>
    <x v="7"/>
    <x v="5"/>
    <x v="6"/>
    <x v="6"/>
    <x v="2"/>
    <x v="78"/>
    <x v="9"/>
    <x v="44"/>
    <x v="22"/>
    <x v="15"/>
    <x v="105"/>
    <x v="8"/>
    <x v="74"/>
    <x v="14"/>
    <x v="0"/>
    <x v="0"/>
    <x v="0"/>
  </r>
  <r>
    <x v="18"/>
    <x v="75"/>
    <x v="1"/>
    <x v="22"/>
    <x v="20"/>
    <x v="16"/>
    <x v="40"/>
    <x v="5"/>
    <x v="0"/>
    <x v="7"/>
    <x v="5"/>
    <x v="6"/>
    <x v="6"/>
    <x v="2"/>
    <x v="78"/>
    <x v="24"/>
    <x v="44"/>
    <x v="22"/>
    <x v="18"/>
    <x v="99"/>
    <x v="11"/>
    <x v="74"/>
    <x v="14"/>
    <x v="0"/>
    <x v="0"/>
    <x v="0"/>
  </r>
  <r>
    <x v="18"/>
    <x v="84"/>
    <x v="1"/>
    <x v="8"/>
    <x v="7"/>
    <x v="11"/>
    <x v="40"/>
    <x v="2"/>
    <x v="0"/>
    <x v="3"/>
    <x v="2"/>
    <x v="2"/>
    <x v="2"/>
    <x v="0"/>
    <x v="78"/>
    <x v="24"/>
    <x v="44"/>
    <x v="22"/>
    <x v="7"/>
    <x v="54"/>
    <x v="9"/>
    <x v="74"/>
    <x v="14"/>
    <x v="0"/>
    <x v="0"/>
    <x v="0"/>
  </r>
  <r>
    <x v="20"/>
    <x v="35"/>
    <x v="1"/>
    <x v="27"/>
    <x v="26"/>
    <x v="26"/>
    <x v="16"/>
    <x v="5"/>
    <x v="0"/>
    <x v="7"/>
    <x v="5"/>
    <x v="6"/>
    <x v="6"/>
    <x v="20"/>
    <x v="78"/>
    <x v="16"/>
    <x v="44"/>
    <x v="22"/>
    <x v="37"/>
    <x v="72"/>
    <x v="42"/>
    <x v="74"/>
    <x v="14"/>
    <x v="0"/>
    <x v="0"/>
    <x v="0"/>
  </r>
  <r>
    <x v="20"/>
    <x v="76"/>
    <x v="1"/>
    <x v="14"/>
    <x v="14"/>
    <x v="10"/>
    <x v="40"/>
    <x v="4"/>
    <x v="0"/>
    <x v="5"/>
    <x v="4"/>
    <x v="4"/>
    <x v="4"/>
    <x v="20"/>
    <x v="78"/>
    <x v="24"/>
    <x v="44"/>
    <x v="22"/>
    <x v="22"/>
    <x v="64"/>
    <x v="32"/>
    <x v="74"/>
    <x v="14"/>
    <x v="0"/>
    <x v="0"/>
    <x v="0"/>
  </r>
  <r>
    <x v="23"/>
    <x v="62"/>
    <x v="1"/>
    <x v="29"/>
    <x v="27"/>
    <x v="27"/>
    <x v="19"/>
    <x v="5"/>
    <x v="0"/>
    <x v="7"/>
    <x v="5"/>
    <x v="6"/>
    <x v="6"/>
    <x v="3"/>
    <x v="78"/>
    <x v="10"/>
    <x v="44"/>
    <x v="22"/>
    <x v="21"/>
    <x v="94"/>
    <x v="18"/>
    <x v="74"/>
    <x v="14"/>
    <x v="0"/>
    <x v="0"/>
    <x v="0"/>
  </r>
  <r>
    <x v="23"/>
    <x v="87"/>
    <x v="1"/>
    <x v="32"/>
    <x v="31"/>
    <x v="30"/>
    <x v="40"/>
    <x v="5"/>
    <x v="0"/>
    <x v="7"/>
    <x v="5"/>
    <x v="6"/>
    <x v="6"/>
    <x v="3"/>
    <x v="78"/>
    <x v="24"/>
    <x v="44"/>
    <x v="22"/>
    <x v="26"/>
    <x v="87"/>
    <x v="23"/>
    <x v="74"/>
    <x v="14"/>
    <x v="0"/>
    <x v="0"/>
    <x v="0"/>
  </r>
  <r>
    <x v="25"/>
    <x v="104"/>
    <x v="1"/>
    <x v="13"/>
    <x v="12"/>
    <x v="38"/>
    <x v="17"/>
    <x v="2"/>
    <x v="0"/>
    <x v="3"/>
    <x v="2"/>
    <x v="2"/>
    <x v="2"/>
    <x v="0"/>
    <x v="78"/>
    <x v="11"/>
    <x v="44"/>
    <x v="22"/>
    <x v="11"/>
    <x v="38"/>
    <x v="28"/>
    <x v="74"/>
    <x v="14"/>
    <x v="0"/>
    <x v="0"/>
    <x v="0"/>
  </r>
  <r>
    <x v="25"/>
    <x v="106"/>
    <x v="1"/>
    <x v="12"/>
    <x v="11"/>
    <x v="34"/>
    <x v="40"/>
    <x v="2"/>
    <x v="0"/>
    <x v="3"/>
    <x v="2"/>
    <x v="2"/>
    <x v="2"/>
    <x v="6"/>
    <x v="78"/>
    <x v="24"/>
    <x v="44"/>
    <x v="22"/>
    <x v="12"/>
    <x v="33"/>
    <x v="39"/>
    <x v="74"/>
    <x v="14"/>
    <x v="0"/>
    <x v="0"/>
    <x v="0"/>
  </r>
  <r>
    <x v="25"/>
    <x v="108"/>
    <x v="1"/>
    <x v="15"/>
    <x v="13"/>
    <x v="55"/>
    <x v="40"/>
    <x v="2"/>
    <x v="0"/>
    <x v="3"/>
    <x v="2"/>
    <x v="2"/>
    <x v="2"/>
    <x v="6"/>
    <x v="78"/>
    <x v="24"/>
    <x v="44"/>
    <x v="22"/>
    <x v="15"/>
    <x v="28"/>
    <x v="56"/>
    <x v="74"/>
    <x v="14"/>
    <x v="0"/>
    <x v="0"/>
    <x v="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0" dataCaption="Values" useAutoFormatting="0" itemPrintTitles="1" indent="0" outline="1" outlineData="1" compact="0" compactData="0">
  <location ref="A4:I10" firstHeaderRow="1" firstDataRow="2" firstDataCol="1" rowPageCount="1" colPageCount="1"/>
  <pivotFields count="26">
    <pivotField axis="axisPage" compact="0" showAll="0">
      <items count="28">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t="default"/>
      </items>
    </pivotField>
    <pivotField axis="axisRow" compact="0" showAll="0">
      <items count="1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compact="0" showAll="0"/>
    <pivotField compact="0" showAll="0"/>
    <pivotField dataField="1" compact="0" showAll="0"/>
    <pivotField dataField="1" compact="0" showAll="0"/>
    <pivotField compact="0" showAll="0"/>
    <pivotField compact="0" showAll="0"/>
    <pivotField compact="0" showAll="0"/>
    <pivotField compact="0" showAll="0"/>
    <pivotField compact="0" showAll="0"/>
    <pivotField compact="0" showAll="0"/>
    <pivotField compact="0" showAll="0"/>
    <pivotField dataField="1" compact="0" showAll="0"/>
    <pivotField dataField="1" compact="0" showAll="0"/>
    <pivotField compact="0" showAll="0"/>
    <pivotField dataField="1" compact="0" showAll="0"/>
    <pivotField dataField="1" compact="0" showAll="0"/>
    <pivotField dataField="1" compact="0" showAll="0"/>
    <pivotField compact="0" showAll="0"/>
    <pivotField dataField="1" compact="0" showAll="0"/>
    <pivotField compact="0" showAll="0"/>
    <pivotField compact="0" showAll="0"/>
    <pivotField compact="0" showAll="0"/>
    <pivotField compact="0" showAll="0"/>
    <pivotField compact="0" showAll="0"/>
  </pivotFields>
  <rowFields count="1">
    <field x="1"/>
  </rowFields>
  <colFields count="1">
    <field x="-2"/>
  </colFields>
  <pageFields count="1">
    <pageField fld="0" hier="-1"/>
  </pageFields>
  <dataFields count="8">
    <dataField name="Sum of Element Load (A) Jan 21" fld="4" subtotal="sum" numFmtId="165"/>
    <dataField name="Sum of Running % load" fld="5" subtotal="sum" numFmtId="165"/>
    <dataField name="Sum of Reserved (A)" fld="13" subtotal="sum" numFmtId="165"/>
    <dataField name="Sum of Running Load + Reserved (%)" fld="14" subtotal="sum" numFmtId="165"/>
    <dataField name="Sum of Forcast (A)" fld="16" subtotal="sum" numFmtId="165"/>
    <dataField name="Sum of Total Forecast  (kW)" fld="17" subtotal="sum" numFmtId="165"/>
    <dataField name="Sum of Running Load + Reserved+  Forecast (A)" fld="18" subtotal="sum" numFmtId="165"/>
    <dataField name="Sum of Total Power Element&#10;  RAG (% used)" fld="20" subtotal="sum" numFmtId="165"/>
  </dataFields>
  <pivotTableStyleInfo name="PivotStyleLight16" showRowHeaders="1" showColHeaders="1" showRowStripes="0" showColStripes="0" showLastColumn="1"/>
</pivotTableDefinition>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pivotTable" Target="../pivotTables/pivotTable1.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xml"/><Relationship Id="rId3" Type="http://schemas.openxmlformats.org/officeDocument/2006/relationships/vmlDrawing" Target="../drawings/vmlDrawing6.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2.xml"/><Relationship Id="rId3" Type="http://schemas.openxmlformats.org/officeDocument/2006/relationships/vmlDrawing" Target="../drawings/vmlDrawing7.vml"/>
</Relationships>
</file>

<file path=xl/worksheets/_rels/sheet11.xml.rels><?xml version="1.0" encoding="UTF-8"?>
<Relationships xmlns="http://schemas.openxmlformats.org/package/2006/relationships"><Relationship Id="rId1" Type="http://schemas.openxmlformats.org/officeDocument/2006/relationships/drawing" Target="../drawings/drawing3.xml"/>
</Relationships>
</file>

<file path=xl/worksheets/_rels/sheet16.xml.rels><?xml version="1.0" encoding="UTF-8"?>
<Relationships xmlns="http://schemas.openxmlformats.org/package/2006/relationships"><Relationship Id="rId1" Type="http://schemas.openxmlformats.org/officeDocument/2006/relationships/drawing" Target="../drawings/drawing4.x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8.vml"/>
</Relationships>
</file>

<file path=xl/worksheets/_rels/sheet20.xml.rels><?xml version="1.0" encoding="UTF-8"?>
<Relationships xmlns="http://schemas.openxmlformats.org/package/2006/relationships"><Relationship Id="rId1" Type="http://schemas.openxmlformats.org/officeDocument/2006/relationships/drawing" Target="../drawings/drawing5.xml"/>
</Relationships>
</file>

<file path=xl/worksheets/_rels/sheet21.xml.rels><?xml version="1.0" encoding="UTF-8"?>
<Relationships xmlns="http://schemas.openxmlformats.org/package/2006/relationships"><Relationship Id="rId1" Type="http://schemas.openxmlformats.org/officeDocument/2006/relationships/drawing" Target="../drawings/drawing6.xml"/>
</Relationships>
</file>

<file path=xl/worksheets/_rels/sheet22.xml.rels><?xml version="1.0" encoding="UTF-8"?>
<Relationships xmlns="http://schemas.openxmlformats.org/package/2006/relationships"><Relationship Id="rId1" Type="http://schemas.openxmlformats.org/officeDocument/2006/relationships/drawing" Target="../drawings/drawing7.xml"/>
</Relationships>
</file>

<file path=xl/worksheets/_rels/sheet23.xml.rels><?xml version="1.0" encoding="UTF-8"?>
<Relationships xmlns="http://schemas.openxmlformats.org/package/2006/relationships"><Relationship Id="rId1" Type="http://schemas.openxmlformats.org/officeDocument/2006/relationships/drawing" Target="../drawings/drawing8.xml"/>
</Relationships>
</file>

<file path=xl/worksheets/_rels/sheet24.xml.rels><?xml version="1.0" encoding="UTF-8"?>
<Relationships xmlns="http://schemas.openxmlformats.org/package/2006/relationships"><Relationship Id="rId1" Type="http://schemas.openxmlformats.org/officeDocument/2006/relationships/drawing" Target="../drawings/drawing9.xml"/>
</Relationships>
</file>

<file path=xl/worksheets/_rels/sheet25.xml.rels><?xml version="1.0" encoding="UTF-8"?>
<Relationships xmlns="http://schemas.openxmlformats.org/package/2006/relationships"><Relationship Id="rId1" Type="http://schemas.openxmlformats.org/officeDocument/2006/relationships/drawing" Target="../drawings/drawing10.xml"/>
</Relationships>
</file>

<file path=xl/worksheets/_rels/sheet26.xml.rels><?xml version="1.0" encoding="UTF-8"?>
<Relationships xmlns="http://schemas.openxmlformats.org/package/2006/relationships"><Relationship Id="rId1" Type="http://schemas.openxmlformats.org/officeDocument/2006/relationships/drawing" Target="../drawings/drawing11.xml"/>
</Relationships>
</file>

<file path=xl/worksheets/_rels/sheet27.xml.rels><?xml version="1.0" encoding="UTF-8"?>
<Relationships xmlns="http://schemas.openxmlformats.org/package/2006/relationships"><Relationship Id="rId1" Type="http://schemas.openxmlformats.org/officeDocument/2006/relationships/drawing" Target="../drawings/drawing12.xml"/>
</Relationships>
</file>

<file path=xl/worksheets/_rels/sheet28.xml.rels><?xml version="1.0" encoding="UTF-8"?>
<Relationships xmlns="http://schemas.openxmlformats.org/package/2006/relationships"><Relationship Id="rId1" Type="http://schemas.openxmlformats.org/officeDocument/2006/relationships/drawing" Target="../drawings/drawing13.xml"/>
</Relationships>
</file>

<file path=xl/worksheets/_rels/sheet29.xml.rels><?xml version="1.0" encoding="UTF-8"?>
<Relationships xmlns="http://schemas.openxmlformats.org/package/2006/relationships"><Relationship Id="rId1" Type="http://schemas.openxmlformats.org/officeDocument/2006/relationships/drawing" Target="../drawings/drawing14.xml"/>
</Relationships>
</file>

<file path=xl/worksheets/_rels/sheet30.xml.rels><?xml version="1.0" encoding="UTF-8"?>
<Relationships xmlns="http://schemas.openxmlformats.org/package/2006/relationships"><Relationship Id="rId1" Type="http://schemas.openxmlformats.org/officeDocument/2006/relationships/drawing" Target="../drawings/drawing15.xml"/>
</Relationships>
</file>

<file path=xl/worksheets/_rels/sheet31.xml.rels><?xml version="1.0" encoding="UTF-8"?>
<Relationships xmlns="http://schemas.openxmlformats.org/package/2006/relationships"><Relationship Id="rId1" Type="http://schemas.openxmlformats.org/officeDocument/2006/relationships/drawing" Target="../drawings/drawing16.xml"/>
</Relationships>
</file>

<file path=xl/worksheets/_rels/sheet32.xml.rels><?xml version="1.0" encoding="UTF-8"?>
<Relationships xmlns="http://schemas.openxmlformats.org/package/2006/relationships"><Relationship Id="rId1" Type="http://schemas.openxmlformats.org/officeDocument/2006/relationships/drawing" Target="../drawings/drawing17.xml"/>
</Relationships>
</file>

<file path=xl/worksheets/_rels/sheet33.xml.rels><?xml version="1.0" encoding="UTF-8"?>
<Relationships xmlns="http://schemas.openxmlformats.org/package/2006/relationships"><Relationship Id="rId1" Type="http://schemas.openxmlformats.org/officeDocument/2006/relationships/drawing" Target="../drawings/drawing18.xml"/>
</Relationships>
</file>

<file path=xl/worksheets/_rels/sheet34.xml.rels><?xml version="1.0" encoding="UTF-8"?>
<Relationships xmlns="http://schemas.openxmlformats.org/package/2006/relationships"><Relationship Id="rId1" Type="http://schemas.openxmlformats.org/officeDocument/2006/relationships/drawing" Target="../drawings/drawing19.xml"/>
</Relationships>
</file>

<file path=xl/worksheets/_rels/sheet35.xml.rels><?xml version="1.0" encoding="UTF-8"?>
<Relationships xmlns="http://schemas.openxmlformats.org/package/2006/relationships"><Relationship Id="rId1" Type="http://schemas.openxmlformats.org/officeDocument/2006/relationships/drawing" Target="../drawings/drawing20.xml"/>
</Relationships>
</file>

<file path=xl/worksheets/_rels/sheet40.xml.rels><?xml version="1.0" encoding="UTF-8"?>
<Relationships xmlns="http://schemas.openxmlformats.org/package/2006/relationships"><Relationship Id="rId1" Type="http://schemas.openxmlformats.org/officeDocument/2006/relationships/comments" Target="../comments40.xml"/><Relationship Id="rId2" Type="http://schemas.openxmlformats.org/officeDocument/2006/relationships/vmlDrawing" Target="../drawings/vmlDrawing9.vml"/>
</Relationships>
</file>

<file path=xl/worksheets/_rels/sheet41.xml.rels><?xml version="1.0" encoding="UTF-8"?>
<Relationships xmlns="http://schemas.openxmlformats.org/package/2006/relationships"><Relationship Id="rId1" Type="http://schemas.openxmlformats.org/officeDocument/2006/relationships/comments" Target="../comments41.xml"/><Relationship Id="rId2" Type="http://schemas.openxmlformats.org/officeDocument/2006/relationships/drawing" Target="../drawings/drawing21.xml"/><Relationship Id="rId3" Type="http://schemas.openxmlformats.org/officeDocument/2006/relationships/vmlDrawing" Target="../drawings/vmlDrawing10.vml"/>
</Relationships>
</file>

<file path=xl/worksheets/_rels/sheet43.xml.rels><?xml version="1.0" encoding="UTF-8"?>
<Relationships xmlns="http://schemas.openxmlformats.org/package/2006/relationships"><Relationship Id="rId1" Type="http://schemas.openxmlformats.org/officeDocument/2006/relationships/drawing" Target="../drawings/drawing22.xml"/>
</Relationships>
</file>

<file path=xl/worksheets/_rels/sheet44.xml.rels><?xml version="1.0" encoding="UTF-8"?>
<Relationships xmlns="http://schemas.openxmlformats.org/package/2006/relationships"><Relationship Id="rId1" Type="http://schemas.openxmlformats.org/officeDocument/2006/relationships/comments" Target="../comments44.xml"/><Relationship Id="rId2" Type="http://schemas.openxmlformats.org/officeDocument/2006/relationships/vmlDrawing" Target="../drawings/vmlDrawing1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M13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X2" activeCellId="0" sqref="X2"/>
    </sheetView>
  </sheetViews>
  <sheetFormatPr defaultColWidth="8.66796875" defaultRowHeight="12.75" zeroHeight="false" outlineLevelRow="0" outlineLevelCol="1"/>
  <cols>
    <col collapsed="false" customWidth="true" hidden="false" outlineLevel="0" max="1" min="1" style="1" width="16.17"/>
    <col collapsed="false" customWidth="true" hidden="false" outlineLevel="0" max="2" min="2" style="2" width="22.5"/>
    <col collapsed="false" customWidth="true" hidden="false" outlineLevel="1" max="3" min="3" style="2" width="11.17"/>
    <col collapsed="false" customWidth="true" hidden="false" outlineLevel="1" max="4" min="4" style="2" width="9.66"/>
    <col collapsed="false" customWidth="true" hidden="false" outlineLevel="0" max="5" min="5" style="2" width="11.66"/>
    <col collapsed="false" customWidth="true" hidden="false" outlineLevel="0" max="6" min="6" style="2" width="10.17"/>
    <col collapsed="false" customWidth="true" hidden="false" outlineLevel="0" max="7" min="7" style="2" width="11.5"/>
    <col collapsed="false" customWidth="true" hidden="false" outlineLevel="1" max="8" min="8" style="3" width="16.5"/>
    <col collapsed="false" customWidth="true" hidden="false" outlineLevel="1" max="9" min="9" style="2" width="15.5"/>
    <col collapsed="false" customWidth="true" hidden="false" outlineLevel="1" max="10" min="10" style="2" width="11.5"/>
    <col collapsed="false" customWidth="true" hidden="false" outlineLevel="1" max="11" min="11" style="2" width="11.66"/>
    <col collapsed="false" customWidth="true" hidden="false" outlineLevel="1" max="13" min="12" style="2" width="11.17"/>
    <col collapsed="false" customWidth="true" hidden="false" outlineLevel="0" max="15" min="14" style="2" width="10.66"/>
    <col collapsed="false" customWidth="true" hidden="false" outlineLevel="0" max="16" min="16" style="2" width="10.34"/>
    <col collapsed="false" customWidth="true" hidden="false" outlineLevel="0" max="17" min="17" style="2" width="10.17"/>
    <col collapsed="false" customWidth="true" hidden="false" outlineLevel="0" max="18" min="18" style="2" width="14.17"/>
    <col collapsed="false" customWidth="true" hidden="false" outlineLevel="0" max="19" min="19" style="3" width="15.66"/>
    <col collapsed="false" customWidth="true" hidden="false" outlineLevel="0" max="20" min="20" style="2" width="15.66"/>
    <col collapsed="false" customWidth="true" hidden="false" outlineLevel="0" max="21" min="21" style="2" width="11.83"/>
    <col collapsed="false" customWidth="true" hidden="false" outlineLevel="0" max="22" min="22" style="2" width="11.66"/>
    <col collapsed="false" customWidth="true" hidden="false" outlineLevel="0" max="23" min="23" style="2" width="17.17"/>
    <col collapsed="false" customWidth="true" hidden="false" outlineLevel="0" max="24" min="24" style="2" width="18.5"/>
    <col collapsed="false" customWidth="true" hidden="false" outlineLevel="0" max="25" min="25" style="1" width="0.17"/>
    <col collapsed="false" customWidth="true" hidden="false" outlineLevel="0" max="26" min="26" style="1" width="23.5"/>
    <col collapsed="false" customWidth="true" hidden="false" outlineLevel="0" max="27" min="27" style="1" width="0.5"/>
    <col collapsed="false" customWidth="true" hidden="false" outlineLevel="0" max="28" min="28" style="1" width="47.17"/>
    <col collapsed="false" customWidth="true" hidden="false" outlineLevel="0" max="29" min="29" style="1" width="7.17"/>
    <col collapsed="false" customWidth="true" hidden="false" outlineLevel="0" max="30" min="30" style="1" width="56.5"/>
    <col collapsed="false" customWidth="false" hidden="false" outlineLevel="0" max="31" min="31" style="1" width="8.66"/>
    <col collapsed="false" customWidth="true" hidden="false" outlineLevel="0" max="32" min="32" style="1" width="49.66"/>
    <col collapsed="false" customWidth="false" hidden="false" outlineLevel="0" max="33" min="33" style="1" width="8.66"/>
    <col collapsed="false" customWidth="true" hidden="false" outlineLevel="0" max="34" min="34" style="1" width="43.99"/>
    <col collapsed="false" customWidth="true" hidden="false" outlineLevel="0" max="35" min="35" style="1" width="5.66"/>
    <col collapsed="false" customWidth="true" hidden="false" outlineLevel="0" max="36" min="36" style="1" width="50.84"/>
    <col collapsed="false" customWidth="true" hidden="false" outlineLevel="0" max="37" min="37" style="1" width="6.5"/>
    <col collapsed="false" customWidth="true" hidden="false" outlineLevel="0" max="38" min="38" style="1" width="46.66"/>
    <col collapsed="false" customWidth="true" hidden="false" outlineLevel="0" max="39" min="39" style="1" width="6.5"/>
    <col collapsed="false" customWidth="true" hidden="false" outlineLevel="0" max="40" min="40" style="1" width="49.66"/>
    <col collapsed="false" customWidth="true" hidden="false" outlineLevel="0" max="41" min="41" style="1" width="7.5"/>
    <col collapsed="false" customWidth="true" hidden="false" outlineLevel="0" max="42" min="42" style="1" width="50.84"/>
    <col collapsed="false" customWidth="true" hidden="false" outlineLevel="0" max="43" min="43" style="1" width="5.17"/>
    <col collapsed="false" customWidth="true" hidden="false" outlineLevel="0" max="44" min="44" style="1" width="37.17"/>
    <col collapsed="false" customWidth="true" hidden="false" outlineLevel="0" max="45" min="45" style="1" width="7.5"/>
    <col collapsed="false" customWidth="true" hidden="false" outlineLevel="0" max="46" min="46" style="1" width="36.5"/>
    <col collapsed="false" customWidth="true" hidden="false" outlineLevel="0" max="47" min="47" style="1" width="7.5"/>
    <col collapsed="false" customWidth="true" hidden="false" outlineLevel="0" max="48" min="48" style="1" width="33"/>
    <col collapsed="false" customWidth="true" hidden="false" outlineLevel="0" max="49" min="49" style="1" width="5.17"/>
    <col collapsed="false" customWidth="true" hidden="false" outlineLevel="0" max="50" min="50" style="1" width="38.17"/>
    <col collapsed="false" customWidth="true" hidden="false" outlineLevel="0" max="51" min="51" style="1" width="6.5"/>
    <col collapsed="false" customWidth="true" hidden="false" outlineLevel="0" max="52" min="52" style="1" width="33.66"/>
    <col collapsed="false" customWidth="true" hidden="false" outlineLevel="0" max="53" min="53" style="1" width="3.66"/>
    <col collapsed="false" customWidth="true" hidden="false" outlineLevel="0" max="54" min="54" style="1" width="36.66"/>
    <col collapsed="false" customWidth="true" hidden="false" outlineLevel="0" max="55" min="55" style="1" width="3.66"/>
    <col collapsed="false" customWidth="true" hidden="false" outlineLevel="0" max="56" min="56" style="1" width="34.66"/>
    <col collapsed="false" customWidth="true" hidden="false" outlineLevel="0" max="57" min="57" style="1" width="3.66"/>
    <col collapsed="false" customWidth="true" hidden="false" outlineLevel="0" max="58" min="58" style="1" width="38.99"/>
    <col collapsed="false" customWidth="true" hidden="false" outlineLevel="0" max="59" min="59" style="1" width="3.66"/>
    <col collapsed="false" customWidth="false" hidden="false" outlineLevel="0" max="63" min="60" style="1" width="8.66"/>
    <col collapsed="false" customWidth="true" hidden="false" outlineLevel="0" max="64" min="64" style="1" width="17"/>
    <col collapsed="false" customWidth="true" hidden="false" outlineLevel="0" max="65" min="65" style="1" width="18"/>
    <col collapsed="false" customWidth="false" hidden="false" outlineLevel="0" max="1024" min="66" style="1" width="8.66"/>
  </cols>
  <sheetData>
    <row r="1" customFormat="false" ht="27.75" hidden="false" customHeight="false" outlineLevel="0" collapsed="false">
      <c r="A1" s="4" t="s">
        <v>0</v>
      </c>
      <c r="B1" s="5"/>
      <c r="C1" s="1"/>
      <c r="D1" s="6"/>
      <c r="E1" s="7" t="s">
        <v>1</v>
      </c>
      <c r="F1" s="8" t="s">
        <v>2</v>
      </c>
      <c r="G1" s="9" t="s">
        <v>3</v>
      </c>
      <c r="H1" s="10" t="s">
        <v>4</v>
      </c>
      <c r="I1" s="11" t="s">
        <v>5</v>
      </c>
      <c r="J1" s="12" t="s">
        <v>6</v>
      </c>
      <c r="K1" s="12"/>
      <c r="L1" s="12"/>
      <c r="M1" s="12"/>
      <c r="N1" s="13" t="s">
        <v>7</v>
      </c>
      <c r="O1" s="13"/>
      <c r="P1" s="13"/>
      <c r="Q1" s="13"/>
      <c r="V1" s="14"/>
    </row>
    <row r="2" customFormat="false" ht="54" hidden="false" customHeight="true" outlineLevel="0" collapsed="false">
      <c r="A2" s="15" t="s">
        <v>8</v>
      </c>
      <c r="B2" s="16" t="s">
        <v>9</v>
      </c>
      <c r="C2" s="17" t="s">
        <v>10</v>
      </c>
      <c r="D2" s="18" t="s">
        <v>11</v>
      </c>
      <c r="E2" s="18" t="s">
        <v>12</v>
      </c>
      <c r="F2" s="18" t="s">
        <v>13</v>
      </c>
      <c r="G2" s="18" t="s">
        <v>14</v>
      </c>
      <c r="H2" s="19" t="s">
        <v>15</v>
      </c>
      <c r="I2" s="20" t="s">
        <v>16</v>
      </c>
      <c r="J2" s="20" t="s">
        <v>17</v>
      </c>
      <c r="K2" s="16" t="s">
        <v>18</v>
      </c>
      <c r="L2" s="17" t="s">
        <v>19</v>
      </c>
      <c r="M2" s="17" t="s">
        <v>20</v>
      </c>
      <c r="N2" s="17" t="s">
        <v>21</v>
      </c>
      <c r="O2" s="17" t="s">
        <v>22</v>
      </c>
      <c r="P2" s="17" t="s">
        <v>23</v>
      </c>
      <c r="Q2" s="17" t="s">
        <v>24</v>
      </c>
      <c r="R2" s="17" t="s">
        <v>25</v>
      </c>
      <c r="S2" s="21" t="s">
        <v>26</v>
      </c>
      <c r="T2" s="17" t="s">
        <v>27</v>
      </c>
      <c r="U2" s="17" t="s">
        <v>28</v>
      </c>
      <c r="V2" s="22" t="s">
        <v>29</v>
      </c>
      <c r="W2" s="23" t="s">
        <v>30</v>
      </c>
      <c r="X2" s="24" t="s">
        <v>31</v>
      </c>
      <c r="Y2" s="25" t="s">
        <v>32</v>
      </c>
      <c r="Z2" s="26" t="s">
        <v>33</v>
      </c>
      <c r="AA2" s="27" t="s">
        <v>34</v>
      </c>
      <c r="AB2" s="28" t="s">
        <v>35</v>
      </c>
      <c r="AC2" s="29" t="s">
        <v>21</v>
      </c>
      <c r="AD2" s="30" t="s">
        <v>35</v>
      </c>
      <c r="AE2" s="31" t="s">
        <v>24</v>
      </c>
      <c r="AF2" s="30" t="s">
        <v>35</v>
      </c>
      <c r="AG2" s="31" t="s">
        <v>24</v>
      </c>
      <c r="AH2" s="30" t="s">
        <v>35</v>
      </c>
      <c r="AI2" s="31" t="s">
        <v>24</v>
      </c>
      <c r="AJ2" s="30" t="s">
        <v>35</v>
      </c>
      <c r="AK2" s="31" t="s">
        <v>24</v>
      </c>
      <c r="AL2" s="30" t="s">
        <v>35</v>
      </c>
      <c r="AM2" s="31" t="s">
        <v>24</v>
      </c>
      <c r="AN2" s="30" t="s">
        <v>35</v>
      </c>
      <c r="AO2" s="31" t="s">
        <v>24</v>
      </c>
      <c r="AP2" s="30" t="s">
        <v>35</v>
      </c>
      <c r="AQ2" s="31" t="s">
        <v>24</v>
      </c>
      <c r="AR2" s="30" t="s">
        <v>35</v>
      </c>
      <c r="AS2" s="31" t="s">
        <v>24</v>
      </c>
      <c r="AT2" s="30" t="s">
        <v>35</v>
      </c>
      <c r="AU2" s="31" t="s">
        <v>24</v>
      </c>
      <c r="AV2" s="30" t="s">
        <v>35</v>
      </c>
      <c r="AW2" s="31" t="s">
        <v>24</v>
      </c>
      <c r="AX2" s="30" t="s">
        <v>35</v>
      </c>
      <c r="AY2" s="31" t="s">
        <v>24</v>
      </c>
      <c r="AZ2" s="30" t="s">
        <v>35</v>
      </c>
      <c r="BA2" s="31" t="s">
        <v>24</v>
      </c>
      <c r="BB2" s="30" t="s">
        <v>35</v>
      </c>
      <c r="BC2" s="31" t="s">
        <v>24</v>
      </c>
      <c r="BD2" s="30" t="s">
        <v>35</v>
      </c>
      <c r="BE2" s="31" t="s">
        <v>24</v>
      </c>
      <c r="BF2" s="30" t="s">
        <v>35</v>
      </c>
      <c r="BG2" s="32" t="s">
        <v>24</v>
      </c>
    </row>
    <row r="3" customFormat="false" ht="13.15" hidden="false" customHeight="false" outlineLevel="0" collapsed="false">
      <c r="A3" s="33"/>
      <c r="B3" s="34"/>
      <c r="C3" s="34"/>
      <c r="D3" s="35"/>
      <c r="E3" s="35"/>
      <c r="F3" s="35"/>
      <c r="G3" s="35"/>
      <c r="H3" s="36"/>
      <c r="I3" s="35"/>
      <c r="J3" s="35"/>
      <c r="K3" s="35"/>
      <c r="L3" s="35"/>
      <c r="M3" s="35"/>
      <c r="N3" s="35"/>
      <c r="O3" s="35"/>
      <c r="P3" s="35"/>
      <c r="Q3" s="35"/>
      <c r="R3" s="35"/>
      <c r="S3" s="36"/>
      <c r="T3" s="35"/>
      <c r="U3" s="35"/>
      <c r="V3" s="35"/>
      <c r="W3" s="35"/>
      <c r="Z3" s="33"/>
      <c r="AB3" s="37" t="s">
        <v>36</v>
      </c>
      <c r="AC3" s="37"/>
      <c r="AD3" s="37"/>
      <c r="AE3" s="37"/>
      <c r="AF3" s="2"/>
      <c r="BK3" s="38"/>
      <c r="BL3" s="39"/>
      <c r="BM3" s="39"/>
    </row>
    <row r="4" customFormat="false" ht="13.5" hidden="false" customHeight="false" outlineLevel="0" collapsed="false">
      <c r="A4" s="40" t="s">
        <v>37</v>
      </c>
      <c r="B4" s="41" t="s">
        <v>38</v>
      </c>
      <c r="C4" s="42" t="s">
        <v>39</v>
      </c>
      <c r="D4" s="43" t="n">
        <v>601</v>
      </c>
      <c r="E4" s="43" t="n">
        <v>584</v>
      </c>
      <c r="F4" s="44" t="n">
        <f aca="false">E4/M4</f>
        <v>0.505627705627706</v>
      </c>
      <c r="G4" s="45" t="n">
        <f aca="false">SUM(E4:E8)*54.5/1000</f>
        <v>164.154</v>
      </c>
      <c r="H4" s="46" t="n">
        <v>36</v>
      </c>
      <c r="I4" s="47" t="n">
        <v>3.5</v>
      </c>
      <c r="J4" s="41" t="n">
        <f aca="false">INT(H4*I4)</f>
        <v>126</v>
      </c>
      <c r="K4" s="41" t="n">
        <v>18</v>
      </c>
      <c r="L4" s="41" t="n">
        <f aca="false">INT((H4-K4)*I4)</f>
        <v>63</v>
      </c>
      <c r="M4" s="41" t="n">
        <f aca="false">INT((L4*1000)/54.5)</f>
        <v>1155</v>
      </c>
      <c r="N4" s="41" t="n">
        <f aca="false">SUM(AC4)</f>
        <v>54</v>
      </c>
      <c r="O4" s="48" t="n">
        <f aca="false">(E4+N4)/M4</f>
        <v>0.552380952380952</v>
      </c>
      <c r="P4" s="45" t="n">
        <f aca="false">SUM(N4:N8)*54.5/1000</f>
        <v>13.8975</v>
      </c>
      <c r="Q4" s="49" t="n">
        <f aca="false">SUM(AE4:BG4)</f>
        <v>0</v>
      </c>
      <c r="R4" s="50" t="n">
        <f aca="false">SUM(Q4:Q8)*54.5/1000</f>
        <v>0</v>
      </c>
      <c r="S4" s="51" t="n">
        <f aca="false">SUM(E4+N4+Q4)</f>
        <v>638</v>
      </c>
      <c r="T4" s="52" t="n">
        <f aca="false">SUM(S4:S8)*54.5/1000</f>
        <v>178.0515</v>
      </c>
      <c r="U4" s="53" t="n">
        <f aca="false">SUM(M4-S4)</f>
        <v>517</v>
      </c>
      <c r="V4" s="54" t="n">
        <f aca="false">SUM(U4:U8)*54.5/1000</f>
        <v>136.686</v>
      </c>
      <c r="W4" s="55" t="n">
        <f aca="false">S4/M4</f>
        <v>0.552380952380952</v>
      </c>
      <c r="X4" s="56" t="n">
        <f aca="false">(G4+P4+R4)/'Building Capability'!$D$3</f>
        <v>0.565242857142857</v>
      </c>
      <c r="Y4" s="57" t="n">
        <f aca="false">W4</f>
        <v>0.552380952380952</v>
      </c>
      <c r="Z4" s="58" t="n">
        <f aca="false">(G4+P4+R4)/'Building Capability'!$F$3</f>
        <v>0.565242857142857</v>
      </c>
      <c r="AA4" s="59"/>
      <c r="AB4" s="60" t="s">
        <v>40</v>
      </c>
      <c r="AC4" s="61" t="n">
        <v>54</v>
      </c>
      <c r="AD4" s="62"/>
      <c r="AE4" s="63"/>
      <c r="AF4" s="62"/>
      <c r="AG4" s="63"/>
      <c r="AH4" s="64"/>
      <c r="AI4" s="65"/>
      <c r="AJ4" s="62"/>
      <c r="AK4" s="63"/>
      <c r="AL4" s="62"/>
      <c r="AM4" s="63"/>
      <c r="AN4" s="62"/>
      <c r="AO4" s="63"/>
      <c r="AP4" s="62"/>
      <c r="AQ4" s="63"/>
      <c r="AR4" s="62"/>
      <c r="AS4" s="63"/>
      <c r="AT4" s="62"/>
      <c r="AU4" s="63"/>
      <c r="AV4" s="62"/>
      <c r="AW4" s="63"/>
      <c r="AX4" s="62"/>
      <c r="AY4" s="63"/>
      <c r="AZ4" s="62"/>
      <c r="BA4" s="63"/>
      <c r="BB4" s="62"/>
      <c r="BC4" s="63"/>
      <c r="BD4" s="62"/>
      <c r="BE4" s="63"/>
      <c r="BF4" s="62"/>
      <c r="BG4" s="66"/>
      <c r="BL4" s="67" t="s">
        <v>41</v>
      </c>
      <c r="BM4" s="67"/>
    </row>
    <row r="5" customFormat="false" ht="12.75" hidden="false" customHeight="true" outlineLevel="0" collapsed="false">
      <c r="A5" s="68" t="s">
        <v>37</v>
      </c>
      <c r="B5" s="69" t="s">
        <v>42</v>
      </c>
      <c r="C5" s="70" t="s">
        <v>39</v>
      </c>
      <c r="D5" s="71" t="n">
        <v>550</v>
      </c>
      <c r="E5" s="71" t="n">
        <v>547</v>
      </c>
      <c r="F5" s="72" t="n">
        <f aca="false">E5/M5</f>
        <v>0.473593073593074</v>
      </c>
      <c r="G5" s="45"/>
      <c r="H5" s="73" t="n">
        <v>36</v>
      </c>
      <c r="I5" s="74" t="n">
        <v>3.5</v>
      </c>
      <c r="J5" s="69" t="n">
        <f aca="false">INT(H5*I5)</f>
        <v>126</v>
      </c>
      <c r="K5" s="69" t="n">
        <v>18</v>
      </c>
      <c r="L5" s="69" t="n">
        <f aca="false">INT((H5-K5)*I5)</f>
        <v>63</v>
      </c>
      <c r="M5" s="69" t="n">
        <f aca="false">INT((L5*1000)/54.5)</f>
        <v>1155</v>
      </c>
      <c r="N5" s="69" t="n">
        <f aca="false">SUM(AC5)</f>
        <v>54</v>
      </c>
      <c r="O5" s="48" t="n">
        <f aca="false">(E5+N5)/M5</f>
        <v>0.52034632034632</v>
      </c>
      <c r="P5" s="45"/>
      <c r="Q5" s="75" t="n">
        <f aca="false">SUM(AE5:BG5)</f>
        <v>0</v>
      </c>
      <c r="R5" s="50"/>
      <c r="S5" s="76" t="n">
        <f aca="false">SUM(E5+N5+Q5)</f>
        <v>601</v>
      </c>
      <c r="T5" s="52"/>
      <c r="U5" s="77" t="n">
        <f aca="false">SUM(M5-S5)</f>
        <v>554</v>
      </c>
      <c r="V5" s="54"/>
      <c r="W5" s="78" t="n">
        <f aca="false">S5/M5</f>
        <v>0.52034632034632</v>
      </c>
      <c r="X5" s="56"/>
      <c r="Y5" s="1" t="n">
        <f aca="false">W5</f>
        <v>0.52034632034632</v>
      </c>
      <c r="Z5" s="58"/>
      <c r="AA5" s="59"/>
      <c r="AB5" s="79" t="s">
        <v>40</v>
      </c>
      <c r="AC5" s="80" t="n">
        <v>54</v>
      </c>
      <c r="AD5" s="81"/>
      <c r="AE5" s="82"/>
      <c r="AF5" s="81"/>
      <c r="AG5" s="82"/>
      <c r="AH5" s="81"/>
      <c r="AI5" s="82"/>
      <c r="AJ5" s="81"/>
      <c r="AK5" s="82"/>
      <c r="AL5" s="81"/>
      <c r="AM5" s="82"/>
      <c r="AN5" s="81"/>
      <c r="AO5" s="82"/>
      <c r="AP5" s="81"/>
      <c r="AQ5" s="82"/>
      <c r="AR5" s="81"/>
      <c r="AS5" s="82"/>
      <c r="AT5" s="81"/>
      <c r="AU5" s="82"/>
      <c r="AV5" s="81"/>
      <c r="AW5" s="82"/>
      <c r="AX5" s="81"/>
      <c r="AY5" s="82"/>
      <c r="AZ5" s="81"/>
      <c r="BA5" s="82"/>
      <c r="BB5" s="81"/>
      <c r="BC5" s="82"/>
      <c r="BD5" s="81"/>
      <c r="BE5" s="82"/>
      <c r="BF5" s="81"/>
      <c r="BG5" s="83"/>
      <c r="BK5" s="84"/>
      <c r="BL5" s="85" t="s">
        <v>43</v>
      </c>
      <c r="BM5" s="85" t="s">
        <v>44</v>
      </c>
    </row>
    <row r="6" customFormat="false" ht="13.15" hidden="false" customHeight="false" outlineLevel="0" collapsed="false">
      <c r="A6" s="86" t="s">
        <v>37</v>
      </c>
      <c r="B6" s="69" t="s">
        <v>45</v>
      </c>
      <c r="C6" s="70" t="s">
        <v>39</v>
      </c>
      <c r="D6" s="43" t="n">
        <v>461</v>
      </c>
      <c r="E6" s="43" t="n">
        <v>449</v>
      </c>
      <c r="F6" s="72" t="n">
        <f aca="false">E6/M6</f>
        <v>0.388744588744589</v>
      </c>
      <c r="G6" s="45"/>
      <c r="H6" s="73" t="n">
        <v>36</v>
      </c>
      <c r="I6" s="74" t="n">
        <v>3.5</v>
      </c>
      <c r="J6" s="69" t="n">
        <f aca="false">INT(H6*I6)</f>
        <v>126</v>
      </c>
      <c r="K6" s="69" t="n">
        <v>18</v>
      </c>
      <c r="L6" s="69" t="n">
        <f aca="false">INT((H6-K6)*I6)</f>
        <v>63</v>
      </c>
      <c r="M6" s="69" t="n">
        <f aca="false">INT((L6*1000)/54.5)</f>
        <v>1155</v>
      </c>
      <c r="N6" s="69" t="n">
        <f aca="false">SUM(AC6)</f>
        <v>48</v>
      </c>
      <c r="O6" s="48" t="n">
        <f aca="false">(E6+N6)/M6</f>
        <v>0.43030303030303</v>
      </c>
      <c r="P6" s="45"/>
      <c r="Q6" s="75" t="n">
        <f aca="false">SUM(AE6:BG6)</f>
        <v>0</v>
      </c>
      <c r="R6" s="50"/>
      <c r="S6" s="76" t="n">
        <f aca="false">SUM(E6+N6+Q6)</f>
        <v>497</v>
      </c>
      <c r="T6" s="52"/>
      <c r="U6" s="77" t="n">
        <f aca="false">SUM(M6-S6)</f>
        <v>658</v>
      </c>
      <c r="V6" s="54"/>
      <c r="W6" s="78" t="n">
        <f aca="false">S6/M6</f>
        <v>0.43030303030303</v>
      </c>
      <c r="X6" s="56"/>
      <c r="Y6" s="1" t="n">
        <f aca="false">W6</f>
        <v>0.43030303030303</v>
      </c>
      <c r="Z6" s="58"/>
      <c r="AA6" s="59"/>
      <c r="AB6" s="79" t="s">
        <v>40</v>
      </c>
      <c r="AC6" s="80" t="n">
        <v>48</v>
      </c>
      <c r="AD6" s="87"/>
      <c r="AE6" s="88"/>
      <c r="AF6" s="87"/>
      <c r="AG6" s="88"/>
      <c r="AH6" s="87"/>
      <c r="AI6" s="88"/>
      <c r="AJ6" s="81"/>
      <c r="AK6" s="88"/>
      <c r="AL6" s="81"/>
      <c r="AM6" s="82"/>
      <c r="AN6" s="81"/>
      <c r="AO6" s="82"/>
      <c r="AP6" s="81"/>
      <c r="AQ6" s="82"/>
      <c r="AR6" s="81"/>
      <c r="AS6" s="82"/>
      <c r="AT6" s="81"/>
      <c r="AU6" s="82"/>
      <c r="AV6" s="81"/>
      <c r="AW6" s="82"/>
      <c r="AX6" s="81"/>
      <c r="AY6" s="82"/>
      <c r="AZ6" s="81"/>
      <c r="BA6" s="82"/>
      <c r="BB6" s="81"/>
      <c r="BC6" s="82"/>
      <c r="BD6" s="81"/>
      <c r="BE6" s="82"/>
      <c r="BF6" s="81"/>
      <c r="BG6" s="83"/>
      <c r="BK6" s="89"/>
      <c r="BL6" s="85" t="s">
        <v>46</v>
      </c>
      <c r="BM6" s="85"/>
    </row>
    <row r="7" customFormat="false" ht="13.15" hidden="false" customHeight="false" outlineLevel="0" collapsed="false">
      <c r="A7" s="90" t="s">
        <v>37</v>
      </c>
      <c r="B7" s="69" t="s">
        <v>47</v>
      </c>
      <c r="C7" s="70" t="s">
        <v>39</v>
      </c>
      <c r="D7" s="91" t="n">
        <v>706</v>
      </c>
      <c r="E7" s="91" t="n">
        <v>693</v>
      </c>
      <c r="F7" s="72" t="n">
        <f aca="false">E7/M7</f>
        <v>0.6</v>
      </c>
      <c r="G7" s="92" t="n">
        <f aca="false">G4/'Building Capability'!$D$3</f>
        <v>0.52112380952381</v>
      </c>
      <c r="H7" s="73" t="n">
        <v>36</v>
      </c>
      <c r="I7" s="74" t="n">
        <v>3.5</v>
      </c>
      <c r="J7" s="69" t="n">
        <f aca="false">INT(H7*I7)</f>
        <v>126</v>
      </c>
      <c r="K7" s="69" t="n">
        <v>18</v>
      </c>
      <c r="L7" s="69" t="n">
        <f aca="false">INT((H7-K7)*I7)</f>
        <v>63</v>
      </c>
      <c r="M7" s="69" t="n">
        <f aca="false">INT((L7*1000)/54.5)</f>
        <v>1155</v>
      </c>
      <c r="N7" s="69" t="n">
        <f aca="false">SUM(AC7)</f>
        <v>50</v>
      </c>
      <c r="O7" s="48" t="n">
        <f aca="false">(E7+N7)/M7</f>
        <v>0.643290043290043</v>
      </c>
      <c r="P7" s="92" t="n">
        <f aca="false">P4/'Building Capability'!$D$3</f>
        <v>0.0441190476190476</v>
      </c>
      <c r="Q7" s="75" t="n">
        <f aca="false">SUM(AE7:BG7)</f>
        <v>0</v>
      </c>
      <c r="R7" s="93" t="n">
        <f aca="false">R4/'Building Capability'!$D$3</f>
        <v>0</v>
      </c>
      <c r="S7" s="76" t="n">
        <f aca="false">SUM(E7+N7+Q7)</f>
        <v>743</v>
      </c>
      <c r="T7" s="94" t="n">
        <f aca="false">T4/'Building Capability'!$D$3</f>
        <v>0.565242857142857</v>
      </c>
      <c r="U7" s="77" t="n">
        <f aca="false">SUM(M7-S7)</f>
        <v>412</v>
      </c>
      <c r="V7" s="95" t="n">
        <f aca="false">V4/'Building Capability'!$D$3</f>
        <v>0.43392380952381</v>
      </c>
      <c r="W7" s="78" t="n">
        <f aca="false">S7/M7</f>
        <v>0.643290043290043</v>
      </c>
      <c r="X7" s="56"/>
      <c r="Y7" s="1" t="n">
        <f aca="false">W7</f>
        <v>0.643290043290043</v>
      </c>
      <c r="Z7" s="58"/>
      <c r="AA7" s="59"/>
      <c r="AB7" s="79" t="s">
        <v>40</v>
      </c>
      <c r="AC7" s="80" t="n">
        <v>50</v>
      </c>
      <c r="AD7" s="81"/>
      <c r="AE7" s="82"/>
      <c r="AF7" s="96"/>
      <c r="AG7" s="97"/>
      <c r="AH7" s="98"/>
      <c r="AI7" s="99"/>
      <c r="AJ7" s="81"/>
      <c r="AK7" s="100"/>
      <c r="AL7" s="81"/>
      <c r="AM7" s="82"/>
      <c r="AN7" s="81"/>
      <c r="AO7" s="82"/>
      <c r="AP7" s="81"/>
      <c r="AQ7" s="82"/>
      <c r="AR7" s="81"/>
      <c r="AS7" s="82"/>
      <c r="AT7" s="81"/>
      <c r="AU7" s="82"/>
      <c r="AV7" s="81"/>
      <c r="AW7" s="82"/>
      <c r="AX7" s="81"/>
      <c r="AY7" s="82"/>
      <c r="AZ7" s="81"/>
      <c r="BA7" s="82"/>
      <c r="BB7" s="81"/>
      <c r="BC7" s="82"/>
      <c r="BD7" s="81"/>
      <c r="BE7" s="82"/>
      <c r="BF7" s="81"/>
      <c r="BG7" s="83"/>
      <c r="BK7" s="101"/>
      <c r="BL7" s="85" t="s">
        <v>48</v>
      </c>
      <c r="BM7" s="102"/>
    </row>
    <row r="8" customFormat="false" ht="13.5" hidden="false" customHeight="false" outlineLevel="0" collapsed="false">
      <c r="A8" s="103" t="s">
        <v>37</v>
      </c>
      <c r="B8" s="104" t="s">
        <v>49</v>
      </c>
      <c r="C8" s="105" t="s">
        <v>39</v>
      </c>
      <c r="D8" s="106" t="n">
        <v>725</v>
      </c>
      <c r="E8" s="106" t="n">
        <v>739</v>
      </c>
      <c r="F8" s="107" t="n">
        <f aca="false">E8/M8</f>
        <v>0.63982683982684</v>
      </c>
      <c r="G8" s="92"/>
      <c r="H8" s="108" t="n">
        <v>36</v>
      </c>
      <c r="I8" s="109" t="n">
        <v>3.5</v>
      </c>
      <c r="J8" s="104" t="n">
        <f aca="false">INT(H8*I8)</f>
        <v>126</v>
      </c>
      <c r="K8" s="104" t="n">
        <v>18</v>
      </c>
      <c r="L8" s="104" t="n">
        <f aca="false">INT((H8-K8)*I8)</f>
        <v>63</v>
      </c>
      <c r="M8" s="104" t="n">
        <f aca="false">INT((L8*1000)/54.5)</f>
        <v>1155</v>
      </c>
      <c r="N8" s="104" t="n">
        <f aca="false">SUM(AC8)</f>
        <v>49</v>
      </c>
      <c r="O8" s="110" t="n">
        <f aca="false">(E8+N8)/M8</f>
        <v>0.682251082251082</v>
      </c>
      <c r="P8" s="92"/>
      <c r="Q8" s="111" t="n">
        <f aca="false">SUM(AE8:BG8)</f>
        <v>0</v>
      </c>
      <c r="R8" s="93"/>
      <c r="S8" s="112" t="n">
        <f aca="false">SUM(E8+N8+Q8)</f>
        <v>788</v>
      </c>
      <c r="T8" s="94"/>
      <c r="U8" s="113" t="n">
        <f aca="false">SUM(M8-S8)</f>
        <v>367</v>
      </c>
      <c r="V8" s="95"/>
      <c r="W8" s="114" t="n">
        <f aca="false">S8/M8</f>
        <v>0.682251082251082</v>
      </c>
      <c r="X8" s="56"/>
      <c r="Y8" s="115" t="n">
        <f aca="false">W8</f>
        <v>0.682251082251082</v>
      </c>
      <c r="Z8" s="58"/>
      <c r="AA8" s="59"/>
      <c r="AB8" s="116" t="s">
        <v>40</v>
      </c>
      <c r="AC8" s="117" t="n">
        <v>49</v>
      </c>
      <c r="AD8" s="118"/>
      <c r="AE8" s="119"/>
      <c r="AF8" s="120"/>
      <c r="AG8" s="121"/>
      <c r="AH8" s="122"/>
      <c r="AI8" s="123"/>
      <c r="AJ8" s="118"/>
      <c r="AK8" s="119"/>
      <c r="AL8" s="120"/>
      <c r="AM8" s="121"/>
      <c r="AN8" s="124"/>
      <c r="AO8" s="121"/>
      <c r="AP8" s="118"/>
      <c r="AQ8" s="119"/>
      <c r="AR8" s="118"/>
      <c r="AS8" s="119"/>
      <c r="AT8" s="118"/>
      <c r="AU8" s="119"/>
      <c r="AV8" s="118"/>
      <c r="AW8" s="119"/>
      <c r="AX8" s="118"/>
      <c r="AY8" s="119"/>
      <c r="AZ8" s="118"/>
      <c r="BA8" s="119"/>
      <c r="BB8" s="118"/>
      <c r="BC8" s="119"/>
      <c r="BD8" s="118"/>
      <c r="BE8" s="119"/>
      <c r="BF8" s="118"/>
      <c r="BG8" s="125"/>
      <c r="BK8" s="126"/>
      <c r="BL8" s="85" t="s">
        <v>50</v>
      </c>
      <c r="BM8" s="102"/>
    </row>
    <row r="9" customFormat="false" ht="13.5" hidden="false" customHeight="false" outlineLevel="0" collapsed="false">
      <c r="A9" s="68" t="s">
        <v>51</v>
      </c>
      <c r="B9" s="127" t="s">
        <v>52</v>
      </c>
      <c r="C9" s="128" t="s">
        <v>39</v>
      </c>
      <c r="D9" s="129" t="n">
        <v>805</v>
      </c>
      <c r="E9" s="129" t="n">
        <v>759</v>
      </c>
      <c r="F9" s="130" t="n">
        <f aca="false">E9/M9</f>
        <v>0.657142857142857</v>
      </c>
      <c r="G9" s="131" t="n">
        <f aca="false">SUM(E9:E16)*54.5/1000</f>
        <v>382.372</v>
      </c>
      <c r="H9" s="132" t="n">
        <v>36</v>
      </c>
      <c r="I9" s="133" t="n">
        <v>3.5</v>
      </c>
      <c r="J9" s="127" t="n">
        <f aca="false">INT(H9*I9)</f>
        <v>126</v>
      </c>
      <c r="K9" s="127" t="n">
        <v>18</v>
      </c>
      <c r="L9" s="127" t="n">
        <f aca="false">INT((H9-K9)*I9)</f>
        <v>63</v>
      </c>
      <c r="M9" s="127" t="n">
        <f aca="false">INT((L9*1000)/54.5)</f>
        <v>1155</v>
      </c>
      <c r="N9" s="127" t="n">
        <f aca="false">SUM(AC9)</f>
        <v>74</v>
      </c>
      <c r="O9" s="134" t="n">
        <f aca="false">(E9+N9)/M9</f>
        <v>0.721212121212121</v>
      </c>
      <c r="P9" s="131" t="n">
        <f aca="false">SUM(N9:N16)*54.5/1000</f>
        <v>30.302</v>
      </c>
      <c r="Q9" s="127" t="n">
        <f aca="false">SUM(AE9:BG9)</f>
        <v>69.8</v>
      </c>
      <c r="R9" s="135" t="n">
        <f aca="false">SUM(Q9:Q16)*54.5/1000</f>
        <v>32.3512</v>
      </c>
      <c r="S9" s="51" t="n">
        <f aca="false">SUM(E9+N9+Q9)</f>
        <v>902.8</v>
      </c>
      <c r="T9" s="52" t="n">
        <f aca="false">SUM(S9:S16)*54.5/1000</f>
        <v>445.0252</v>
      </c>
      <c r="U9" s="136" t="n">
        <f aca="false">SUM(M9-S9)</f>
        <v>252.2</v>
      </c>
      <c r="V9" s="54" t="n">
        <f aca="false">SUM(U9:U16)*54.5/1000</f>
        <v>58.5548</v>
      </c>
      <c r="W9" s="137" t="n">
        <f aca="false">S9/M9</f>
        <v>0.781645021645022</v>
      </c>
      <c r="X9" s="138" t="n">
        <f aca="false">(G9+P9+R9)/'Building Capability'!$D$4</f>
        <v>0.882986507936508</v>
      </c>
      <c r="Y9" s="1" t="n">
        <f aca="false">W9</f>
        <v>0.781645021645022</v>
      </c>
      <c r="Z9" s="139" t="n">
        <f aca="false">(G9+P9+R9)/'Building Capability'!$F$4</f>
        <v>0.882986507936508</v>
      </c>
      <c r="AB9" s="60" t="s">
        <v>53</v>
      </c>
      <c r="AC9" s="61" t="n">
        <v>74</v>
      </c>
      <c r="AD9" s="140" t="s">
        <v>54</v>
      </c>
      <c r="AE9" s="141" t="n">
        <v>36</v>
      </c>
      <c r="AF9" s="62" t="s">
        <v>55</v>
      </c>
      <c r="AG9" s="63" t="n">
        <v>9</v>
      </c>
      <c r="AH9" s="98" t="s">
        <v>56</v>
      </c>
      <c r="AI9" s="99" t="n">
        <v>9.15</v>
      </c>
      <c r="AJ9" s="98" t="s">
        <v>56</v>
      </c>
      <c r="AK9" s="99" t="n">
        <v>9.15</v>
      </c>
      <c r="AL9" s="62" t="s">
        <v>57</v>
      </c>
      <c r="AM9" s="63" t="n">
        <v>2.5</v>
      </c>
      <c r="AN9" s="62" t="s">
        <v>58</v>
      </c>
      <c r="AO9" s="63" t="n">
        <v>4</v>
      </c>
      <c r="AP9" s="62"/>
      <c r="AQ9" s="63"/>
      <c r="AR9" s="62"/>
      <c r="AS9" s="63"/>
      <c r="AT9" s="62"/>
      <c r="AU9" s="63"/>
      <c r="AV9" s="62"/>
      <c r="AW9" s="63"/>
      <c r="AX9" s="62"/>
      <c r="AY9" s="63"/>
      <c r="AZ9" s="62"/>
      <c r="BA9" s="63"/>
      <c r="BB9" s="62"/>
      <c r="BC9" s="63"/>
      <c r="BD9" s="62"/>
      <c r="BE9" s="63"/>
      <c r="BF9" s="62"/>
      <c r="BG9" s="66"/>
      <c r="BK9" s="142"/>
      <c r="BL9" s="85" t="s">
        <v>59</v>
      </c>
      <c r="BM9" s="102"/>
    </row>
    <row r="10" customFormat="false" ht="13.5" hidden="false" customHeight="false" outlineLevel="0" collapsed="false">
      <c r="A10" s="143" t="s">
        <v>51</v>
      </c>
      <c r="B10" s="69" t="s">
        <v>60</v>
      </c>
      <c r="C10" s="70" t="s">
        <v>39</v>
      </c>
      <c r="D10" s="144" t="n">
        <v>913</v>
      </c>
      <c r="E10" s="144" t="n">
        <v>902</v>
      </c>
      <c r="F10" s="145" t="n">
        <f aca="false">E10/M10</f>
        <v>0.780952380952381</v>
      </c>
      <c r="G10" s="131"/>
      <c r="H10" s="73" t="n">
        <v>36</v>
      </c>
      <c r="I10" s="74" t="n">
        <v>3.5</v>
      </c>
      <c r="J10" s="69" t="n">
        <f aca="false">INT(H10*I10)</f>
        <v>126</v>
      </c>
      <c r="K10" s="69" t="n">
        <v>18</v>
      </c>
      <c r="L10" s="69" t="n">
        <f aca="false">INT((H10-K10)*I10)</f>
        <v>63</v>
      </c>
      <c r="M10" s="69" t="n">
        <f aca="false">INT((L10*1000)/54.5)</f>
        <v>1155</v>
      </c>
      <c r="N10" s="69" t="n">
        <f aca="false">SUM(AC10)</f>
        <v>64</v>
      </c>
      <c r="O10" s="48" t="n">
        <f aca="false">(E10+N10)/M10</f>
        <v>0.836363636363636</v>
      </c>
      <c r="P10" s="131"/>
      <c r="Q10" s="69" t="n">
        <f aca="false">SUM(AE10:BG10)</f>
        <v>155.8</v>
      </c>
      <c r="R10" s="135"/>
      <c r="S10" s="76" t="n">
        <f aca="false">SUM(E10+N10+Q10)</f>
        <v>1121.8</v>
      </c>
      <c r="T10" s="52"/>
      <c r="U10" s="77" t="n">
        <f aca="false">SUM(M10-S10)</f>
        <v>33.2</v>
      </c>
      <c r="V10" s="54"/>
      <c r="W10" s="78" t="n">
        <f aca="false">S10/M10</f>
        <v>0.971255411255411</v>
      </c>
      <c r="X10" s="138"/>
      <c r="Y10" s="1" t="n">
        <f aca="false">W10</f>
        <v>0.971255411255411</v>
      </c>
      <c r="Z10" s="139"/>
      <c r="AA10" s="146"/>
      <c r="AB10" s="147" t="s">
        <v>53</v>
      </c>
      <c r="AC10" s="80" t="n">
        <v>64</v>
      </c>
      <c r="AD10" s="96" t="s">
        <v>61</v>
      </c>
      <c r="AE10" s="97" t="n">
        <v>126</v>
      </c>
      <c r="AF10" s="81" t="s">
        <v>55</v>
      </c>
      <c r="AG10" s="99" t="n">
        <v>9</v>
      </c>
      <c r="AH10" s="148" t="s">
        <v>56</v>
      </c>
      <c r="AI10" s="82" t="n">
        <v>9.15</v>
      </c>
      <c r="AJ10" s="148" t="s">
        <v>56</v>
      </c>
      <c r="AK10" s="82" t="n">
        <v>9.15</v>
      </c>
      <c r="AL10" s="98" t="s">
        <v>57</v>
      </c>
      <c r="AM10" s="99" t="n">
        <v>2.5</v>
      </c>
      <c r="AN10" s="81"/>
      <c r="AO10" s="82"/>
      <c r="AP10" s="96"/>
      <c r="AQ10" s="97"/>
      <c r="AR10" s="81"/>
      <c r="AS10" s="82"/>
      <c r="AT10" s="81"/>
      <c r="AU10" s="82"/>
      <c r="AV10" s="81"/>
      <c r="AW10" s="82"/>
      <c r="AX10" s="81"/>
      <c r="AY10" s="82"/>
      <c r="AZ10" s="81"/>
      <c r="BA10" s="82"/>
      <c r="BB10" s="81"/>
      <c r="BC10" s="82"/>
      <c r="BD10" s="81"/>
      <c r="BE10" s="82"/>
      <c r="BF10" s="81"/>
      <c r="BG10" s="83"/>
    </row>
    <row r="11" customFormat="false" ht="13.5" hidden="false" customHeight="false" outlineLevel="0" collapsed="false">
      <c r="A11" s="143" t="s">
        <v>51</v>
      </c>
      <c r="B11" s="69" t="s">
        <v>62</v>
      </c>
      <c r="C11" s="70" t="s">
        <v>39</v>
      </c>
      <c r="D11" s="77" t="n">
        <v>852</v>
      </c>
      <c r="E11" s="77" t="n">
        <v>849</v>
      </c>
      <c r="F11" s="145" t="n">
        <f aca="false">E11/M11</f>
        <v>0.735064935064935</v>
      </c>
      <c r="G11" s="131"/>
      <c r="H11" s="73" t="n">
        <v>36</v>
      </c>
      <c r="I11" s="74" t="n">
        <v>3.5</v>
      </c>
      <c r="J11" s="69" t="n">
        <f aca="false">INT(H11*I11)</f>
        <v>126</v>
      </c>
      <c r="K11" s="69" t="n">
        <v>18</v>
      </c>
      <c r="L11" s="69" t="n">
        <f aca="false">INT((H11-K11)*I11)</f>
        <v>63</v>
      </c>
      <c r="M11" s="69" t="n">
        <f aca="false">INT((L11*1000)/54.5)</f>
        <v>1155</v>
      </c>
      <c r="N11" s="69" t="n">
        <f aca="false">SUM(AC11)</f>
        <v>30</v>
      </c>
      <c r="O11" s="48" t="n">
        <f aca="false">(E11+N11)/M11</f>
        <v>0.761038961038961</v>
      </c>
      <c r="P11" s="131"/>
      <c r="Q11" s="69" t="n">
        <f aca="false">SUM(AE11:BG11)</f>
        <v>87.2</v>
      </c>
      <c r="R11" s="135"/>
      <c r="S11" s="76" t="n">
        <f aca="false">SUM(E11+N11+Q11)</f>
        <v>966.2</v>
      </c>
      <c r="T11" s="52"/>
      <c r="U11" s="77" t="n">
        <f aca="false">SUM(M11-S11)</f>
        <v>188.8</v>
      </c>
      <c r="V11" s="54"/>
      <c r="W11" s="78" t="n">
        <f aca="false">S11/M11</f>
        <v>0.836536796536797</v>
      </c>
      <c r="X11" s="138"/>
      <c r="Y11" s="1" t="n">
        <f aca="false">W11</f>
        <v>0.836536796536797</v>
      </c>
      <c r="Z11" s="139"/>
      <c r="AA11" s="146"/>
      <c r="AB11" s="147" t="s">
        <v>53</v>
      </c>
      <c r="AC11" s="80" t="n">
        <v>30</v>
      </c>
      <c r="AD11" s="96" t="s">
        <v>61</v>
      </c>
      <c r="AE11" s="97" t="n">
        <v>69</v>
      </c>
      <c r="AF11" s="81" t="s">
        <v>63</v>
      </c>
      <c r="AG11" s="99" t="n">
        <v>9.2</v>
      </c>
      <c r="AH11" s="81"/>
      <c r="AI11" s="99"/>
      <c r="AJ11" s="81"/>
      <c r="AK11" s="82"/>
      <c r="AL11" s="98" t="s">
        <v>57</v>
      </c>
      <c r="AM11" s="99" t="n">
        <v>5</v>
      </c>
      <c r="AN11" s="87" t="s">
        <v>58</v>
      </c>
      <c r="AO11" s="88" t="n">
        <v>4</v>
      </c>
      <c r="AP11" s="81"/>
      <c r="AQ11" s="82"/>
      <c r="AR11" s="81"/>
      <c r="AS11" s="82"/>
      <c r="AT11" s="81"/>
      <c r="AU11" s="82"/>
      <c r="AV11" s="81"/>
      <c r="AW11" s="82"/>
      <c r="AX11" s="81"/>
      <c r="AY11" s="82"/>
      <c r="AZ11" s="81"/>
      <c r="BA11" s="82"/>
      <c r="BB11" s="81"/>
      <c r="BC11" s="82"/>
      <c r="BD11" s="81"/>
      <c r="BE11" s="82"/>
      <c r="BF11" s="81"/>
      <c r="BG11" s="83"/>
      <c r="BK11" s="84"/>
      <c r="BL11" s="84"/>
      <c r="BM11" s="84"/>
    </row>
    <row r="12" customFormat="false" ht="13.5" hidden="false" customHeight="false" outlineLevel="0" collapsed="false">
      <c r="A12" s="143" t="s">
        <v>51</v>
      </c>
      <c r="B12" s="69" t="s">
        <v>64</v>
      </c>
      <c r="C12" s="70" t="s">
        <v>39</v>
      </c>
      <c r="D12" s="77" t="n">
        <v>898</v>
      </c>
      <c r="E12" s="77" t="n">
        <v>895</v>
      </c>
      <c r="F12" s="48" t="n">
        <f aca="false">E12/M12</f>
        <v>0.774891774891775</v>
      </c>
      <c r="G12" s="131"/>
      <c r="H12" s="73" t="n">
        <v>36</v>
      </c>
      <c r="I12" s="74" t="n">
        <v>3.5</v>
      </c>
      <c r="J12" s="69" t="n">
        <f aca="false">INT(H12*I12)</f>
        <v>126</v>
      </c>
      <c r="K12" s="69" t="n">
        <v>18</v>
      </c>
      <c r="L12" s="69" t="n">
        <f aca="false">INT((H12-K12)*I12)</f>
        <v>63</v>
      </c>
      <c r="M12" s="69" t="n">
        <f aca="false">INT((L12*1000)/54.5)</f>
        <v>1155</v>
      </c>
      <c r="N12" s="69" t="n">
        <f aca="false">SUM(AC12)</f>
        <v>56</v>
      </c>
      <c r="O12" s="48" t="n">
        <f aca="false">(E12+N12)/M12</f>
        <v>0.823376623376623</v>
      </c>
      <c r="P12" s="131"/>
      <c r="Q12" s="69" t="n">
        <f aca="false">SUM(AE12:BG12)</f>
        <v>11.7</v>
      </c>
      <c r="R12" s="135"/>
      <c r="S12" s="76" t="n">
        <f aca="false">SUM(E12+N12+Q12)</f>
        <v>962.7</v>
      </c>
      <c r="T12" s="52"/>
      <c r="U12" s="77" t="n">
        <f aca="false">SUM(M12-S12)</f>
        <v>192.3</v>
      </c>
      <c r="V12" s="54"/>
      <c r="W12" s="78" t="n">
        <f aca="false">S12/M12</f>
        <v>0.833506493506494</v>
      </c>
      <c r="X12" s="138"/>
      <c r="Y12" s="1" t="n">
        <f aca="false">W12</f>
        <v>0.833506493506494</v>
      </c>
      <c r="Z12" s="139"/>
      <c r="AA12" s="146"/>
      <c r="AB12" s="147" t="s">
        <v>53</v>
      </c>
      <c r="AC12" s="80" t="n">
        <v>56</v>
      </c>
      <c r="AD12" s="81"/>
      <c r="AE12" s="82"/>
      <c r="AF12" s="81" t="s">
        <v>63</v>
      </c>
      <c r="AG12" s="82" t="n">
        <v>9.2</v>
      </c>
      <c r="AH12" s="81"/>
      <c r="AI12" s="82"/>
      <c r="AJ12" s="81"/>
      <c r="AK12" s="82"/>
      <c r="AL12" s="98" t="s">
        <v>57</v>
      </c>
      <c r="AM12" s="82" t="n">
        <v>2.5</v>
      </c>
      <c r="AN12" s="96"/>
      <c r="AO12" s="97"/>
      <c r="AP12" s="81"/>
      <c r="AQ12" s="82"/>
      <c r="AR12" s="81"/>
      <c r="AS12" s="82"/>
      <c r="AT12" s="81"/>
      <c r="AU12" s="82"/>
      <c r="AV12" s="81"/>
      <c r="AW12" s="82"/>
      <c r="AX12" s="81"/>
      <c r="AY12" s="82"/>
      <c r="AZ12" s="81"/>
      <c r="BA12" s="82"/>
      <c r="BB12" s="81"/>
      <c r="BC12" s="82"/>
      <c r="BD12" s="81"/>
      <c r="BE12" s="82"/>
      <c r="BF12" s="81"/>
      <c r="BG12" s="83"/>
      <c r="BK12" s="84"/>
      <c r="BL12" s="84"/>
      <c r="BM12" s="84"/>
    </row>
    <row r="13" customFormat="false" ht="13.15" hidden="false" customHeight="true" outlineLevel="0" collapsed="false">
      <c r="A13" s="143" t="s">
        <v>51</v>
      </c>
      <c r="B13" s="69" t="s">
        <v>65</v>
      </c>
      <c r="C13" s="70" t="s">
        <v>39</v>
      </c>
      <c r="D13" s="77" t="n">
        <v>884</v>
      </c>
      <c r="E13" s="77" t="n">
        <v>856</v>
      </c>
      <c r="F13" s="48" t="n">
        <f aca="false">E13/M13</f>
        <v>0.741125541125541</v>
      </c>
      <c r="G13" s="149" t="n">
        <f aca="false">G9/'Building Capability'!$D$4</f>
        <v>0.758674603174603</v>
      </c>
      <c r="H13" s="73" t="n">
        <v>36</v>
      </c>
      <c r="I13" s="74" t="n">
        <v>3.5</v>
      </c>
      <c r="J13" s="69" t="n">
        <f aca="false">INT(H13*I13)</f>
        <v>126</v>
      </c>
      <c r="K13" s="69" t="n">
        <v>18</v>
      </c>
      <c r="L13" s="69" t="n">
        <f aca="false">INT((H13-K13)*I13)</f>
        <v>63</v>
      </c>
      <c r="M13" s="69" t="n">
        <f aca="false">INT((L13*1000)/54.5)</f>
        <v>1155</v>
      </c>
      <c r="N13" s="69" t="n">
        <f aca="false">SUM(AC13)</f>
        <v>63</v>
      </c>
      <c r="O13" s="48" t="n">
        <f aca="false">(E13+N13)/M13</f>
        <v>0.795670995670996</v>
      </c>
      <c r="P13" s="150" t="n">
        <f aca="false">P9/'Building Capability'!$D$4</f>
        <v>0.0601230158730159</v>
      </c>
      <c r="Q13" s="69" t="n">
        <f aca="false">SUM(AE13:BG13)</f>
        <v>111.5</v>
      </c>
      <c r="R13" s="151" t="n">
        <f aca="false">R9/'Building Capability'!$D$4</f>
        <v>0.0641888888888889</v>
      </c>
      <c r="S13" s="76" t="n">
        <f aca="false">SUM(E13+N13+Q13)</f>
        <v>1030.5</v>
      </c>
      <c r="T13" s="94" t="n">
        <f aca="false">T9/'Building Capability'!$D$4</f>
        <v>0.882986507936508</v>
      </c>
      <c r="U13" s="77" t="n">
        <f aca="false">SUM(M13-S13)</f>
        <v>124.5</v>
      </c>
      <c r="V13" s="149" t="n">
        <f aca="false">V9/'Building Capability'!$D$4</f>
        <v>0.116180158730159</v>
      </c>
      <c r="W13" s="78" t="n">
        <f aca="false">S13/M13</f>
        <v>0.892207792207792</v>
      </c>
      <c r="X13" s="138"/>
      <c r="Y13" s="1" t="n">
        <f aca="false">W13</f>
        <v>0.892207792207792</v>
      </c>
      <c r="Z13" s="139"/>
      <c r="AA13" s="146"/>
      <c r="AB13" s="147" t="s">
        <v>53</v>
      </c>
      <c r="AC13" s="80" t="n">
        <v>63</v>
      </c>
      <c r="AD13" s="81"/>
      <c r="AE13" s="82"/>
      <c r="AF13" s="96" t="s">
        <v>61</v>
      </c>
      <c r="AG13" s="97" t="n">
        <v>73</v>
      </c>
      <c r="AH13" s="98" t="s">
        <v>54</v>
      </c>
      <c r="AI13" s="99" t="n">
        <v>36</v>
      </c>
      <c r="AJ13" s="81"/>
      <c r="AK13" s="82"/>
      <c r="AL13" s="98" t="s">
        <v>57</v>
      </c>
      <c r="AM13" s="82" t="n">
        <v>2.5</v>
      </c>
      <c r="AN13" s="96"/>
      <c r="AO13" s="97"/>
      <c r="AP13" s="81"/>
      <c r="AQ13" s="82"/>
      <c r="AR13" s="81"/>
      <c r="AS13" s="82"/>
      <c r="AT13" s="81"/>
      <c r="AU13" s="82"/>
      <c r="AV13" s="81"/>
      <c r="AW13" s="82"/>
      <c r="AX13" s="81"/>
      <c r="AY13" s="82"/>
      <c r="AZ13" s="81"/>
      <c r="BA13" s="82"/>
      <c r="BB13" s="81"/>
      <c r="BC13" s="82"/>
      <c r="BD13" s="81"/>
      <c r="BE13" s="82"/>
      <c r="BF13" s="81"/>
      <c r="BG13" s="83"/>
      <c r="BK13" s="84"/>
      <c r="BL13" s="84"/>
      <c r="BM13" s="84"/>
    </row>
    <row r="14" customFormat="false" ht="13.15" hidden="false" customHeight="true" outlineLevel="0" collapsed="false">
      <c r="A14" s="143" t="s">
        <v>51</v>
      </c>
      <c r="B14" s="69" t="s">
        <v>66</v>
      </c>
      <c r="C14" s="70" t="s">
        <v>39</v>
      </c>
      <c r="D14" s="77" t="n">
        <v>938</v>
      </c>
      <c r="E14" s="77" t="n">
        <v>935</v>
      </c>
      <c r="F14" s="48" t="n">
        <f aca="false">E14/M14</f>
        <v>0.80952380952381</v>
      </c>
      <c r="G14" s="149"/>
      <c r="H14" s="73" t="n">
        <v>36</v>
      </c>
      <c r="I14" s="74" t="n">
        <v>3.5</v>
      </c>
      <c r="J14" s="69" t="n">
        <f aca="false">INT(H14*I14)</f>
        <v>126</v>
      </c>
      <c r="K14" s="69" t="n">
        <v>18</v>
      </c>
      <c r="L14" s="69" t="n">
        <f aca="false">INT((H14-K14)*I14)</f>
        <v>63</v>
      </c>
      <c r="M14" s="69" t="n">
        <f aca="false">INT((L14*1000)/54.5)</f>
        <v>1155</v>
      </c>
      <c r="N14" s="69" t="n">
        <f aca="false">SUM(AC14)</f>
        <v>97</v>
      </c>
      <c r="O14" s="48" t="n">
        <f aca="false">(E14+N14)/M14</f>
        <v>0.893506493506493</v>
      </c>
      <c r="P14" s="150"/>
      <c r="Q14" s="69" t="n">
        <f aca="false">SUM(AE14:BG14)</f>
        <v>41.2</v>
      </c>
      <c r="R14" s="151"/>
      <c r="S14" s="76" t="n">
        <f aca="false">SUM(E14+N14+Q14)</f>
        <v>1073.2</v>
      </c>
      <c r="T14" s="94"/>
      <c r="U14" s="77" t="n">
        <f aca="false">SUM(M14-S14)</f>
        <v>81.8</v>
      </c>
      <c r="V14" s="149"/>
      <c r="W14" s="78" t="n">
        <f aca="false">S14/M14</f>
        <v>0.929177489177489</v>
      </c>
      <c r="X14" s="138"/>
      <c r="Z14" s="139"/>
      <c r="AA14" s="146"/>
      <c r="AB14" s="147" t="s">
        <v>53</v>
      </c>
      <c r="AC14" s="80" t="n">
        <v>97</v>
      </c>
      <c r="AD14" s="81" t="s">
        <v>63</v>
      </c>
      <c r="AE14" s="99" t="n">
        <v>9.2</v>
      </c>
      <c r="AF14" s="96" t="s">
        <v>61</v>
      </c>
      <c r="AG14" s="97" t="n">
        <v>32</v>
      </c>
      <c r="AH14" s="81"/>
      <c r="AI14" s="99"/>
      <c r="AJ14" s="81"/>
      <c r="AK14" s="82"/>
      <c r="AL14" s="81"/>
      <c r="AM14" s="82"/>
      <c r="AN14" s="96"/>
      <c r="AO14" s="97"/>
      <c r="AP14" s="81"/>
      <c r="AQ14" s="82"/>
      <c r="AR14" s="81"/>
      <c r="AS14" s="82"/>
      <c r="AT14" s="81"/>
      <c r="AU14" s="82"/>
      <c r="AV14" s="81"/>
      <c r="AW14" s="82"/>
      <c r="AX14" s="81"/>
      <c r="AY14" s="82"/>
      <c r="AZ14" s="81"/>
      <c r="BA14" s="82"/>
      <c r="BB14" s="81"/>
      <c r="BC14" s="82"/>
      <c r="BD14" s="81"/>
      <c r="BE14" s="82"/>
      <c r="BF14" s="81"/>
      <c r="BG14" s="83"/>
      <c r="BK14" s="84"/>
      <c r="BL14" s="84"/>
      <c r="BM14" s="84"/>
    </row>
    <row r="15" customFormat="false" ht="13.15" hidden="false" customHeight="true" outlineLevel="0" collapsed="false">
      <c r="A15" s="143" t="s">
        <v>51</v>
      </c>
      <c r="B15" s="69" t="s">
        <v>67</v>
      </c>
      <c r="C15" s="70" t="s">
        <v>39</v>
      </c>
      <c r="D15" s="77" t="n">
        <v>867</v>
      </c>
      <c r="E15" s="77" t="n">
        <v>886</v>
      </c>
      <c r="F15" s="48" t="n">
        <f aca="false">E15/M15</f>
        <v>0.767099567099567</v>
      </c>
      <c r="G15" s="149"/>
      <c r="H15" s="73" t="n">
        <v>36</v>
      </c>
      <c r="I15" s="74" t="n">
        <v>3.5</v>
      </c>
      <c r="J15" s="69" t="n">
        <f aca="false">INT(H15*I15)</f>
        <v>126</v>
      </c>
      <c r="K15" s="69" t="n">
        <v>18</v>
      </c>
      <c r="L15" s="69" t="n">
        <f aca="false">INT((H15-K15)*I15)</f>
        <v>63</v>
      </c>
      <c r="M15" s="69" t="n">
        <f aca="false">INT((L15*1000)/54.5)</f>
        <v>1155</v>
      </c>
      <c r="N15" s="69" t="n">
        <f aca="false">SUM(AC15)</f>
        <v>101</v>
      </c>
      <c r="O15" s="48" t="n">
        <f aca="false">(E15+N15)/M15</f>
        <v>0.854545454545455</v>
      </c>
      <c r="P15" s="150"/>
      <c r="Q15" s="69" t="n">
        <f aca="false">SUM(AE15:BG15)</f>
        <v>50.2</v>
      </c>
      <c r="R15" s="151"/>
      <c r="S15" s="76" t="n">
        <f aca="false">SUM(E15+N15+Q15)</f>
        <v>1037.2</v>
      </c>
      <c r="T15" s="94"/>
      <c r="U15" s="77" t="n">
        <f aca="false">SUM(M15-S15)</f>
        <v>117.8</v>
      </c>
      <c r="V15" s="149"/>
      <c r="W15" s="78" t="n">
        <f aca="false">S15/M15</f>
        <v>0.898008658008658</v>
      </c>
      <c r="X15" s="138"/>
      <c r="Y15" s="1" t="n">
        <f aca="false">W15</f>
        <v>0.898008658008658</v>
      </c>
      <c r="Z15" s="139"/>
      <c r="AA15" s="146"/>
      <c r="AB15" s="147" t="s">
        <v>53</v>
      </c>
      <c r="AC15" s="80" t="n">
        <v>101</v>
      </c>
      <c r="AD15" s="81" t="s">
        <v>63</v>
      </c>
      <c r="AE15" s="82" t="n">
        <v>9.2</v>
      </c>
      <c r="AF15" s="96" t="s">
        <v>61</v>
      </c>
      <c r="AG15" s="97" t="n">
        <v>41</v>
      </c>
      <c r="AH15" s="98"/>
      <c r="AI15" s="99"/>
      <c r="AJ15" s="81"/>
      <c r="AK15" s="82"/>
      <c r="AL15" s="81"/>
      <c r="AM15" s="82"/>
      <c r="AN15" s="96"/>
      <c r="AO15" s="97"/>
      <c r="AP15" s="81"/>
      <c r="AQ15" s="82"/>
      <c r="AR15" s="81"/>
      <c r="AS15" s="82"/>
      <c r="AT15" s="81"/>
      <c r="AU15" s="82"/>
      <c r="AV15" s="81"/>
      <c r="AW15" s="82"/>
      <c r="AX15" s="81"/>
      <c r="AY15" s="82"/>
      <c r="AZ15" s="81"/>
      <c r="BA15" s="82"/>
      <c r="BB15" s="81"/>
      <c r="BC15" s="82"/>
      <c r="BD15" s="81"/>
      <c r="BE15" s="82"/>
      <c r="BF15" s="81"/>
      <c r="BG15" s="83"/>
      <c r="BK15" s="84"/>
      <c r="BL15" s="84"/>
      <c r="BM15" s="84"/>
    </row>
    <row r="16" customFormat="false" ht="13.9" hidden="false" customHeight="true" outlineLevel="0" collapsed="false">
      <c r="A16" s="103" t="s">
        <v>51</v>
      </c>
      <c r="B16" s="104" t="s">
        <v>68</v>
      </c>
      <c r="C16" s="105" t="s">
        <v>39</v>
      </c>
      <c r="D16" s="113" t="n">
        <v>934</v>
      </c>
      <c r="E16" s="152" t="n">
        <v>934</v>
      </c>
      <c r="F16" s="110" t="n">
        <f aca="false">E16/M16</f>
        <v>0.808658008658009</v>
      </c>
      <c r="G16" s="149"/>
      <c r="H16" s="108" t="n">
        <v>36</v>
      </c>
      <c r="I16" s="109" t="n">
        <v>3.5</v>
      </c>
      <c r="J16" s="104" t="n">
        <f aca="false">INT(H16*I16)</f>
        <v>126</v>
      </c>
      <c r="K16" s="104" t="n">
        <v>18</v>
      </c>
      <c r="L16" s="104" t="n">
        <f aca="false">INT((H16-K16)*I16)</f>
        <v>63</v>
      </c>
      <c r="M16" s="104" t="n">
        <f aca="false">INT((L16*1000)/54.5)</f>
        <v>1155</v>
      </c>
      <c r="N16" s="104" t="n">
        <f aca="false">SUM(AC16)</f>
        <v>71</v>
      </c>
      <c r="O16" s="110" t="n">
        <f aca="false">(E16+N16)/M16</f>
        <v>0.87012987012987</v>
      </c>
      <c r="P16" s="150"/>
      <c r="Q16" s="104" t="n">
        <f aca="false">SUM(AE16:BG16)</f>
        <v>66.2</v>
      </c>
      <c r="R16" s="151"/>
      <c r="S16" s="112" t="n">
        <f aca="false">SUM(E16+N16+Q16)</f>
        <v>1071.2</v>
      </c>
      <c r="T16" s="94"/>
      <c r="U16" s="113" t="n">
        <f aca="false">SUM(M16-S16)</f>
        <v>83.8</v>
      </c>
      <c r="V16" s="149"/>
      <c r="W16" s="114" t="n">
        <f aca="false">S16/M16</f>
        <v>0.927445887445887</v>
      </c>
      <c r="X16" s="138"/>
      <c r="Y16" s="115" t="n">
        <f aca="false">W16</f>
        <v>0.927445887445887</v>
      </c>
      <c r="Z16" s="139"/>
      <c r="AA16" s="146"/>
      <c r="AB16" s="147" t="s">
        <v>53</v>
      </c>
      <c r="AC16" s="117" t="n">
        <v>71</v>
      </c>
      <c r="AD16" s="122" t="s">
        <v>63</v>
      </c>
      <c r="AE16" s="123" t="n">
        <v>9.2</v>
      </c>
      <c r="AF16" s="120" t="s">
        <v>61</v>
      </c>
      <c r="AG16" s="121" t="n">
        <v>57</v>
      </c>
      <c r="AH16" s="122"/>
      <c r="AI16" s="123"/>
      <c r="AJ16" s="118"/>
      <c r="AK16" s="119"/>
      <c r="AL16" s="118"/>
      <c r="AM16" s="119"/>
      <c r="AN16" s="120"/>
      <c r="AO16" s="121"/>
      <c r="AP16" s="118"/>
      <c r="AQ16" s="119"/>
      <c r="AR16" s="118"/>
      <c r="AS16" s="119"/>
      <c r="AT16" s="118"/>
      <c r="AU16" s="119"/>
      <c r="AV16" s="118"/>
      <c r="AW16" s="119"/>
      <c r="AX16" s="118"/>
      <c r="AY16" s="119"/>
      <c r="AZ16" s="118"/>
      <c r="BA16" s="119"/>
      <c r="BB16" s="118"/>
      <c r="BC16" s="119"/>
      <c r="BD16" s="118"/>
      <c r="BE16" s="119"/>
      <c r="BF16" s="118"/>
      <c r="BG16" s="125"/>
      <c r="BK16" s="84"/>
      <c r="BL16" s="84"/>
      <c r="BM16" s="84"/>
    </row>
    <row r="17" customFormat="false" ht="13.15" hidden="false" customHeight="false" outlineLevel="0" collapsed="false">
      <c r="A17" s="68" t="s">
        <v>69</v>
      </c>
      <c r="B17" s="127" t="s">
        <v>70</v>
      </c>
      <c r="C17" s="128" t="s">
        <v>39</v>
      </c>
      <c r="D17" s="136" t="n">
        <v>328</v>
      </c>
      <c r="E17" s="136" t="n">
        <v>331</v>
      </c>
      <c r="F17" s="153" t="n">
        <f aca="false">E17/M17</f>
        <v>0.286580086580087</v>
      </c>
      <c r="G17" s="45" t="n">
        <f aca="false">SUM(E17:E21)*54.5/1000</f>
        <v>114.123</v>
      </c>
      <c r="H17" s="132" t="n">
        <v>36</v>
      </c>
      <c r="I17" s="133" t="n">
        <v>3.5</v>
      </c>
      <c r="J17" s="136" t="n">
        <f aca="false">INT(H17*I17)</f>
        <v>126</v>
      </c>
      <c r="K17" s="127" t="n">
        <v>18</v>
      </c>
      <c r="L17" s="127" t="n">
        <f aca="false">INT((H17-K17)*I17)</f>
        <v>63</v>
      </c>
      <c r="M17" s="127" t="n">
        <f aca="false">INT((L17*1000)/54.5)</f>
        <v>1155</v>
      </c>
      <c r="N17" s="127" t="n">
        <f aca="false">SUM(AC17)</f>
        <v>0</v>
      </c>
      <c r="O17" s="154" t="n">
        <f aca="false">(E17+N17)/M17</f>
        <v>0.286580086580087</v>
      </c>
      <c r="P17" s="45" t="n">
        <f aca="false">SUM(N17:N21)*54.5/1000</f>
        <v>0</v>
      </c>
      <c r="Q17" s="155" t="n">
        <f aca="false">SUM(AE17:BG17)</f>
        <v>0</v>
      </c>
      <c r="R17" s="50" t="n">
        <f aca="false">SUM(Q17:Q21)*54.5/1000</f>
        <v>5.777</v>
      </c>
      <c r="S17" s="51" t="n">
        <f aca="false">SUM(E17+N17+Q17)</f>
        <v>331</v>
      </c>
      <c r="T17" s="52" t="n">
        <f aca="false">SUM(S17:S21)*54.5/1000</f>
        <v>119.9</v>
      </c>
      <c r="U17" s="136" t="n">
        <f aca="false">SUM(M17-S17)</f>
        <v>824</v>
      </c>
      <c r="V17" s="54" t="n">
        <f aca="false">SUM(U17:U21)*54.5/1000</f>
        <v>194.8375</v>
      </c>
      <c r="W17" s="156" t="n">
        <f aca="false">S17/M17</f>
        <v>0.286580086580087</v>
      </c>
      <c r="X17" s="56" t="n">
        <f aca="false">(G17+P17+R17)/'Building Capability'!$D$5</f>
        <v>0.380634920634921</v>
      </c>
      <c r="Y17" s="1" t="n">
        <f aca="false">W17</f>
        <v>0.286580086580087</v>
      </c>
      <c r="Z17" s="139" t="n">
        <f aca="false">(G17+P17+R17)/'Building Capability'!$F$5</f>
        <v>0.380634920634921</v>
      </c>
      <c r="AB17" s="60"/>
      <c r="AC17" s="61"/>
      <c r="AD17" s="140"/>
      <c r="AE17" s="141"/>
      <c r="AF17" s="62"/>
      <c r="AG17" s="63"/>
      <c r="AH17" s="62"/>
      <c r="AI17" s="63"/>
      <c r="AJ17" s="140"/>
      <c r="AK17" s="141"/>
      <c r="AL17" s="62"/>
      <c r="AM17" s="63"/>
      <c r="AN17" s="62"/>
      <c r="AO17" s="63"/>
      <c r="AP17" s="62"/>
      <c r="AQ17" s="63"/>
      <c r="AR17" s="62"/>
      <c r="AS17" s="63"/>
      <c r="AT17" s="62"/>
      <c r="AU17" s="63"/>
      <c r="AV17" s="62"/>
      <c r="AW17" s="63"/>
      <c r="AX17" s="62"/>
      <c r="AY17" s="63"/>
      <c r="AZ17" s="62"/>
      <c r="BA17" s="63"/>
      <c r="BB17" s="62"/>
      <c r="BC17" s="63"/>
      <c r="BD17" s="62"/>
      <c r="BE17" s="63"/>
      <c r="BF17" s="62"/>
      <c r="BG17" s="66"/>
    </row>
    <row r="18" customFormat="false" ht="13.15" hidden="false" customHeight="false" outlineLevel="0" collapsed="false">
      <c r="A18" s="143" t="s">
        <v>69</v>
      </c>
      <c r="B18" s="69" t="s">
        <v>71</v>
      </c>
      <c r="C18" s="70" t="s">
        <v>39</v>
      </c>
      <c r="D18" s="77" t="n">
        <v>378</v>
      </c>
      <c r="E18" s="77" t="n">
        <v>381</v>
      </c>
      <c r="F18" s="157" t="n">
        <f aca="false">E18/M18</f>
        <v>0.32987012987013</v>
      </c>
      <c r="G18" s="45"/>
      <c r="H18" s="73" t="n">
        <v>36</v>
      </c>
      <c r="I18" s="74" t="n">
        <v>3.5</v>
      </c>
      <c r="J18" s="77" t="n">
        <f aca="false">INT(H18*I18)</f>
        <v>126</v>
      </c>
      <c r="K18" s="69" t="n">
        <v>18</v>
      </c>
      <c r="L18" s="69" t="n">
        <f aca="false">INT((H18-K18)*I18)</f>
        <v>63</v>
      </c>
      <c r="M18" s="69" t="n">
        <f aca="false">INT((L18*1000)/54.5)</f>
        <v>1155</v>
      </c>
      <c r="N18" s="69" t="n">
        <f aca="false">SUM(AC18)</f>
        <v>0</v>
      </c>
      <c r="O18" s="48" t="n">
        <f aca="false">(E18+N18)/M18</f>
        <v>0.32987012987013</v>
      </c>
      <c r="P18" s="45"/>
      <c r="Q18" s="75" t="n">
        <f aca="false">SUM(AE18:BG18)</f>
        <v>9</v>
      </c>
      <c r="R18" s="50"/>
      <c r="S18" s="76" t="n">
        <f aca="false">SUM(E18+N18+Q18)</f>
        <v>390</v>
      </c>
      <c r="T18" s="52"/>
      <c r="U18" s="77" t="n">
        <f aca="false">SUM(M18-S18)</f>
        <v>765</v>
      </c>
      <c r="V18" s="54"/>
      <c r="W18" s="78" t="n">
        <f aca="false">S18/M18</f>
        <v>0.337662337662338</v>
      </c>
      <c r="X18" s="56"/>
      <c r="Y18" s="1" t="n">
        <f aca="false">W18</f>
        <v>0.337662337662338</v>
      </c>
      <c r="Z18" s="139"/>
      <c r="AB18" s="79"/>
      <c r="AC18" s="80"/>
      <c r="AD18" s="81" t="s">
        <v>72</v>
      </c>
      <c r="AE18" s="82" t="n">
        <v>9</v>
      </c>
      <c r="AF18" s="96"/>
      <c r="AG18" s="97"/>
      <c r="AH18" s="81"/>
      <c r="AI18" s="82"/>
      <c r="AJ18" s="81"/>
      <c r="AK18" s="82"/>
      <c r="AL18" s="81"/>
      <c r="AM18" s="82"/>
      <c r="AN18" s="81"/>
      <c r="AO18" s="82"/>
      <c r="AP18" s="81"/>
      <c r="AQ18" s="82"/>
      <c r="AR18" s="81"/>
      <c r="AS18" s="82"/>
      <c r="AT18" s="81"/>
      <c r="AU18" s="82"/>
      <c r="AV18" s="81"/>
      <c r="AW18" s="82"/>
      <c r="AX18" s="81"/>
      <c r="AY18" s="82"/>
      <c r="AZ18" s="81"/>
      <c r="BA18" s="82"/>
      <c r="BB18" s="81"/>
      <c r="BC18" s="82"/>
      <c r="BD18" s="81"/>
      <c r="BE18" s="82"/>
      <c r="BF18" s="81"/>
      <c r="BG18" s="83"/>
    </row>
    <row r="19" customFormat="false" ht="13.15" hidden="false" customHeight="false" outlineLevel="0" collapsed="false">
      <c r="A19" s="143" t="s">
        <v>69</v>
      </c>
      <c r="B19" s="69" t="s">
        <v>73</v>
      </c>
      <c r="C19" s="70" t="s">
        <v>39</v>
      </c>
      <c r="D19" s="77" t="n">
        <v>600</v>
      </c>
      <c r="E19" s="77" t="n">
        <v>606</v>
      </c>
      <c r="F19" s="157" t="n">
        <f aca="false">E19/M19</f>
        <v>0.524675324675325</v>
      </c>
      <c r="G19" s="45"/>
      <c r="H19" s="73" t="n">
        <v>36</v>
      </c>
      <c r="I19" s="74" t="n">
        <v>3.5</v>
      </c>
      <c r="J19" s="77" t="n">
        <f aca="false">INT(H19*I19)</f>
        <v>126</v>
      </c>
      <c r="K19" s="69" t="n">
        <v>18</v>
      </c>
      <c r="L19" s="69" t="n">
        <f aca="false">INT((H19-K19)*I19)</f>
        <v>63</v>
      </c>
      <c r="M19" s="69" t="n">
        <f aca="false">INT((L19*1000)/54.5)</f>
        <v>1155</v>
      </c>
      <c r="N19" s="69" t="n">
        <f aca="false">SUM(AC19)</f>
        <v>0</v>
      </c>
      <c r="O19" s="48" t="n">
        <f aca="false">(E19+N19)/M19</f>
        <v>0.524675324675325</v>
      </c>
      <c r="P19" s="45"/>
      <c r="Q19" s="75" t="n">
        <f aca="false">SUM(AE19:BG19)</f>
        <v>9</v>
      </c>
      <c r="R19" s="50"/>
      <c r="S19" s="76" t="n">
        <f aca="false">SUM(E19+N19+Q19)</f>
        <v>615</v>
      </c>
      <c r="T19" s="52"/>
      <c r="U19" s="77" t="n">
        <f aca="false">SUM(M19-S19)</f>
        <v>540</v>
      </c>
      <c r="V19" s="54"/>
      <c r="W19" s="78" t="n">
        <f aca="false">S19/M19</f>
        <v>0.532467532467532</v>
      </c>
      <c r="X19" s="56"/>
      <c r="Y19" s="1" t="n">
        <f aca="false">W19</f>
        <v>0.532467532467532</v>
      </c>
      <c r="Z19" s="139"/>
      <c r="AB19" s="79"/>
      <c r="AC19" s="80"/>
      <c r="AD19" s="81" t="s">
        <v>72</v>
      </c>
      <c r="AE19" s="82" t="n">
        <v>9</v>
      </c>
      <c r="AF19" s="81"/>
      <c r="AG19" s="82"/>
      <c r="AH19" s="81"/>
      <c r="AI19" s="82"/>
      <c r="AJ19" s="81"/>
      <c r="AK19" s="82"/>
      <c r="AL19" s="81"/>
      <c r="AM19" s="82"/>
      <c r="AN19" s="81"/>
      <c r="AO19" s="82"/>
      <c r="AP19" s="81"/>
      <c r="AQ19" s="82"/>
      <c r="AR19" s="81"/>
      <c r="AS19" s="82"/>
      <c r="AT19" s="81"/>
      <c r="AU19" s="82"/>
      <c r="AV19" s="81"/>
      <c r="AW19" s="82"/>
      <c r="AX19" s="81"/>
      <c r="AY19" s="82"/>
      <c r="AZ19" s="81"/>
      <c r="BA19" s="82"/>
      <c r="BB19" s="81"/>
      <c r="BC19" s="82"/>
      <c r="BD19" s="81"/>
      <c r="BE19" s="82"/>
      <c r="BF19" s="81"/>
      <c r="BG19" s="83"/>
    </row>
    <row r="20" customFormat="false" ht="13.5" hidden="false" customHeight="false" outlineLevel="0" collapsed="false">
      <c r="A20" s="143" t="s">
        <v>69</v>
      </c>
      <c r="B20" s="69" t="s">
        <v>74</v>
      </c>
      <c r="C20" s="70" t="s">
        <v>39</v>
      </c>
      <c r="D20" s="77" t="n">
        <v>476</v>
      </c>
      <c r="E20" s="77" t="n">
        <v>485</v>
      </c>
      <c r="F20" s="157" t="n">
        <f aca="false">E20/M20</f>
        <v>0.41991341991342</v>
      </c>
      <c r="G20" s="158" t="n">
        <f aca="false">G17/'Building Capability'!$D$5</f>
        <v>0.362295238095238</v>
      </c>
      <c r="H20" s="73" t="n">
        <v>36</v>
      </c>
      <c r="I20" s="74" t="n">
        <v>3.5</v>
      </c>
      <c r="J20" s="77" t="n">
        <f aca="false">INT(H20*I20)</f>
        <v>126</v>
      </c>
      <c r="K20" s="69" t="n">
        <v>18</v>
      </c>
      <c r="L20" s="69" t="n">
        <f aca="false">INT((H20-K20)*I20)</f>
        <v>63</v>
      </c>
      <c r="M20" s="69" t="n">
        <f aca="false">INT((L20*1000)/54.5)</f>
        <v>1155</v>
      </c>
      <c r="N20" s="69" t="n">
        <f aca="false">SUM(AC20)</f>
        <v>0</v>
      </c>
      <c r="O20" s="48" t="n">
        <f aca="false">(E20+N20)/M20</f>
        <v>0.41991341991342</v>
      </c>
      <c r="P20" s="92" t="n">
        <f aca="false">P17/'Building Capability'!$D$5</f>
        <v>0</v>
      </c>
      <c r="Q20" s="75" t="n">
        <f aca="false">SUM(AE20:BG20)</f>
        <v>44</v>
      </c>
      <c r="R20" s="159" t="n">
        <f aca="false">R17/'Building Capability'!$D$5</f>
        <v>0.0183396825396825</v>
      </c>
      <c r="S20" s="76" t="n">
        <f aca="false">SUM(E20+N20+Q20)</f>
        <v>529</v>
      </c>
      <c r="T20" s="94" t="n">
        <f aca="false">T17/'Building Capability'!$D$5</f>
        <v>0.380634920634921</v>
      </c>
      <c r="U20" s="77" t="n">
        <f aca="false">SUM(M20-S20)</f>
        <v>626</v>
      </c>
      <c r="V20" s="149" t="n">
        <f aca="false">V17/'Building Capability'!$D$5</f>
        <v>0.618531746031746</v>
      </c>
      <c r="W20" s="78" t="n">
        <f aca="false">S20/M20</f>
        <v>0.458008658008658</v>
      </c>
      <c r="X20" s="56"/>
      <c r="Y20" s="1" t="n">
        <f aca="false">W20</f>
        <v>0.458008658008658</v>
      </c>
      <c r="Z20" s="139"/>
      <c r="AB20" s="79"/>
      <c r="AC20" s="80"/>
      <c r="AD20" s="96" t="s">
        <v>75</v>
      </c>
      <c r="AE20" s="97" t="n">
        <v>44</v>
      </c>
      <c r="AF20" s="160"/>
      <c r="AG20" s="161"/>
      <c r="AH20" s="81"/>
      <c r="AI20" s="82"/>
      <c r="AJ20" s="81"/>
      <c r="AK20" s="82"/>
      <c r="AL20" s="81"/>
      <c r="AM20" s="82"/>
      <c r="AN20" s="81"/>
      <c r="AO20" s="82"/>
      <c r="AP20" s="81"/>
      <c r="AQ20" s="82"/>
      <c r="AR20" s="81"/>
      <c r="AS20" s="82"/>
      <c r="AT20" s="81"/>
      <c r="AU20" s="82"/>
      <c r="AV20" s="81"/>
      <c r="AW20" s="82"/>
      <c r="AX20" s="81"/>
      <c r="AY20" s="82"/>
      <c r="AZ20" s="81"/>
      <c r="BA20" s="82"/>
      <c r="BB20" s="81"/>
      <c r="BC20" s="82"/>
      <c r="BD20" s="81"/>
      <c r="BE20" s="82"/>
      <c r="BF20" s="81"/>
      <c r="BG20" s="83"/>
    </row>
    <row r="21" customFormat="false" ht="13.9" hidden="false" customHeight="true" outlineLevel="0" collapsed="false">
      <c r="A21" s="90" t="s">
        <v>69</v>
      </c>
      <c r="B21" s="35" t="s">
        <v>76</v>
      </c>
      <c r="C21" s="162" t="s">
        <v>39</v>
      </c>
      <c r="D21" s="36" t="n">
        <v>293</v>
      </c>
      <c r="E21" s="36" t="n">
        <v>291</v>
      </c>
      <c r="F21" s="163" t="n">
        <f aca="false">E21/M21</f>
        <v>0.251948051948052</v>
      </c>
      <c r="G21" s="158"/>
      <c r="H21" s="164" t="n">
        <v>36</v>
      </c>
      <c r="I21" s="165" t="n">
        <v>3.5</v>
      </c>
      <c r="J21" s="36" t="n">
        <f aca="false">INT(H21*I21)</f>
        <v>126</v>
      </c>
      <c r="K21" s="35" t="n">
        <v>18</v>
      </c>
      <c r="L21" s="35" t="n">
        <f aca="false">INT((H21-K21)*I21)</f>
        <v>63</v>
      </c>
      <c r="M21" s="35" t="n">
        <f aca="false">INT((L21*1000)/54.5)</f>
        <v>1155</v>
      </c>
      <c r="N21" s="35" t="n">
        <f aca="false">SUM(AC21)</f>
        <v>0</v>
      </c>
      <c r="O21" s="166" t="n">
        <f aca="false">(E21+N21)/M21</f>
        <v>0.251948051948052</v>
      </c>
      <c r="P21" s="92"/>
      <c r="Q21" s="167" t="n">
        <f aca="false">SUM(AE21:BG21)</f>
        <v>44</v>
      </c>
      <c r="R21" s="159"/>
      <c r="S21" s="112" t="n">
        <f aca="false">SUM(E21+N21+Q21)</f>
        <v>335</v>
      </c>
      <c r="T21" s="94"/>
      <c r="U21" s="36" t="n">
        <f aca="false">SUM(M21-S21)</f>
        <v>820</v>
      </c>
      <c r="V21" s="149"/>
      <c r="W21" s="168" t="n">
        <f aca="false">S21/M21</f>
        <v>0.29004329004329</v>
      </c>
      <c r="X21" s="56"/>
      <c r="Y21" s="115" t="n">
        <f aca="false">W21</f>
        <v>0.29004329004329</v>
      </c>
      <c r="Z21" s="139"/>
      <c r="AB21" s="116"/>
      <c r="AC21" s="117"/>
      <c r="AD21" s="120" t="s">
        <v>75</v>
      </c>
      <c r="AE21" s="121" t="n">
        <v>44</v>
      </c>
      <c r="AF21" s="81"/>
      <c r="AG21" s="119"/>
      <c r="AH21" s="81"/>
      <c r="AI21" s="119"/>
      <c r="AJ21" s="118"/>
      <c r="AK21" s="119"/>
      <c r="AL21" s="118"/>
      <c r="AM21" s="119"/>
      <c r="AN21" s="118"/>
      <c r="AO21" s="119"/>
      <c r="AP21" s="118"/>
      <c r="AQ21" s="119"/>
      <c r="AR21" s="118"/>
      <c r="AS21" s="119"/>
      <c r="AT21" s="118"/>
      <c r="AU21" s="119"/>
      <c r="AV21" s="118"/>
      <c r="AW21" s="119"/>
      <c r="AX21" s="118"/>
      <c r="AY21" s="119"/>
      <c r="AZ21" s="118"/>
      <c r="BA21" s="119"/>
      <c r="BB21" s="118"/>
      <c r="BC21" s="119"/>
      <c r="BD21" s="118"/>
      <c r="BE21" s="119"/>
      <c r="BF21" s="118"/>
      <c r="BG21" s="125"/>
    </row>
    <row r="22" customFormat="false" ht="13.5" hidden="false" customHeight="false" outlineLevel="0" collapsed="false">
      <c r="A22" s="40" t="s">
        <v>77</v>
      </c>
      <c r="B22" s="41" t="s">
        <v>78</v>
      </c>
      <c r="C22" s="42" t="s">
        <v>39</v>
      </c>
      <c r="D22" s="169" t="n">
        <v>881</v>
      </c>
      <c r="E22" s="169" t="n">
        <v>881</v>
      </c>
      <c r="F22" s="170" t="n">
        <f aca="false">E22/M22</f>
        <v>0.762770562770563</v>
      </c>
      <c r="G22" s="171" t="n">
        <f aca="false">SUM(E22:E27)*54.5/1000</f>
        <v>294.736</v>
      </c>
      <c r="H22" s="172" t="n">
        <v>36</v>
      </c>
      <c r="I22" s="47" t="n">
        <v>3.5</v>
      </c>
      <c r="J22" s="41" t="n">
        <f aca="false">INT(H22*I22)</f>
        <v>126</v>
      </c>
      <c r="K22" s="41" t="n">
        <v>18</v>
      </c>
      <c r="L22" s="41" t="n">
        <f aca="false">INT((H22-K22)*I22)</f>
        <v>63</v>
      </c>
      <c r="M22" s="41" t="n">
        <f aca="false">INT((L22*1000)/54.5)</f>
        <v>1155</v>
      </c>
      <c r="N22" s="41" t="n">
        <f aca="false">SUM(AC22)</f>
        <v>200</v>
      </c>
      <c r="O22" s="173" t="n">
        <f aca="false">(E22+N22)/M22</f>
        <v>0.935930735930736</v>
      </c>
      <c r="P22" s="171" t="n">
        <f aca="false">SUM(N22:N27)*54.5/1000</f>
        <v>64.6915</v>
      </c>
      <c r="Q22" s="41" t="n">
        <f aca="false">SUM(AE22:BG22)</f>
        <v>27</v>
      </c>
      <c r="R22" s="174" t="n">
        <f aca="false">SUM(Q22:Q27)*54.5/1000</f>
        <v>2.943</v>
      </c>
      <c r="S22" s="51" t="n">
        <f aca="false">SUM(E22+N22+Q22)</f>
        <v>1108</v>
      </c>
      <c r="T22" s="52" t="n">
        <f aca="false">SUM(S22:S27)*54.5/1000</f>
        <v>362.3705</v>
      </c>
      <c r="U22" s="53" t="n">
        <f aca="false">SUM(M22-S22)</f>
        <v>47</v>
      </c>
      <c r="V22" s="54" t="n">
        <f aca="false">SUM(U22:U27)*54.5/1000</f>
        <v>15.3145</v>
      </c>
      <c r="W22" s="55" t="n">
        <f aca="false">S22/M22</f>
        <v>0.959307359307359</v>
      </c>
      <c r="X22" s="56" t="n">
        <f aca="false">(G22+P22+R22)/'Building Capability'!$D$6</f>
        <v>0.958652116402116</v>
      </c>
      <c r="Y22" s="57" t="n">
        <f aca="false">W22</f>
        <v>0.959307359307359</v>
      </c>
      <c r="Z22" s="175" t="n">
        <f aca="false">(G22+P22+R22)/'Building Capability'!$F$6</f>
        <v>0.958652116402116</v>
      </c>
      <c r="AA22" s="175" t="e">
        <f aca="false">(G22+P22)/'Building Capability'!$G$6</f>
        <v>#DIV/0!</v>
      </c>
      <c r="AB22" s="60" t="s">
        <v>79</v>
      </c>
      <c r="AC22" s="61" t="n">
        <v>200</v>
      </c>
      <c r="AD22" s="62" t="s">
        <v>72</v>
      </c>
      <c r="AE22" s="63" t="n">
        <v>9</v>
      </c>
      <c r="AF22" s="62" t="s">
        <v>80</v>
      </c>
      <c r="AG22" s="63" t="n">
        <v>18</v>
      </c>
      <c r="AH22" s="62"/>
      <c r="AI22" s="63"/>
      <c r="AJ22" s="62"/>
      <c r="AK22" s="63"/>
      <c r="AL22" s="62"/>
      <c r="AM22" s="63"/>
      <c r="AN22" s="62"/>
      <c r="AO22" s="63"/>
      <c r="AP22" s="62"/>
      <c r="AQ22" s="63"/>
      <c r="AR22" s="81"/>
      <c r="AS22" s="63"/>
      <c r="AT22" s="62"/>
      <c r="AU22" s="63"/>
      <c r="AV22" s="62"/>
      <c r="AW22" s="63"/>
      <c r="AX22" s="62"/>
      <c r="AY22" s="63"/>
      <c r="AZ22" s="62"/>
      <c r="BA22" s="63"/>
      <c r="BB22" s="62"/>
      <c r="BC22" s="63"/>
      <c r="BD22" s="62"/>
      <c r="BE22" s="63"/>
      <c r="BF22" s="62"/>
      <c r="BG22" s="66"/>
    </row>
    <row r="23" customFormat="false" ht="13.15" hidden="false" customHeight="false" outlineLevel="0" collapsed="false">
      <c r="A23" s="143" t="s">
        <v>77</v>
      </c>
      <c r="B23" s="69" t="s">
        <v>81</v>
      </c>
      <c r="C23" s="70" t="s">
        <v>39</v>
      </c>
      <c r="D23" s="77" t="n">
        <v>953</v>
      </c>
      <c r="E23" s="77" t="n">
        <v>950</v>
      </c>
      <c r="F23" s="176" t="n">
        <f aca="false">E23/M23</f>
        <v>0.822510822510822</v>
      </c>
      <c r="G23" s="171"/>
      <c r="H23" s="177" t="n">
        <v>36</v>
      </c>
      <c r="I23" s="74" t="n">
        <v>3.5</v>
      </c>
      <c r="J23" s="69" t="n">
        <f aca="false">INT(H23*I23)</f>
        <v>126</v>
      </c>
      <c r="K23" s="69" t="n">
        <v>18</v>
      </c>
      <c r="L23" s="69" t="n">
        <f aca="false">INT((H23-K23)*I23)</f>
        <v>63</v>
      </c>
      <c r="M23" s="69" t="n">
        <f aca="false">INT((L23*1000)/54.5)</f>
        <v>1155</v>
      </c>
      <c r="N23" s="69" t="n">
        <f aca="false">SUM(AC23)</f>
        <v>177</v>
      </c>
      <c r="O23" s="48" t="n">
        <f aca="false">(E23+N23)/M23</f>
        <v>0.975757575757576</v>
      </c>
      <c r="P23" s="171"/>
      <c r="Q23" s="69" t="n">
        <f aca="false">SUM(AE23:BG23)</f>
        <v>0</v>
      </c>
      <c r="R23" s="174"/>
      <c r="S23" s="76" t="n">
        <f aca="false">SUM(E23+N23+Q23)</f>
        <v>1127</v>
      </c>
      <c r="T23" s="52"/>
      <c r="U23" s="77" t="n">
        <f aca="false">SUM(M23-S23)</f>
        <v>28</v>
      </c>
      <c r="V23" s="54"/>
      <c r="W23" s="178" t="n">
        <f aca="false">S23/M23</f>
        <v>0.975757575757576</v>
      </c>
      <c r="X23" s="56"/>
      <c r="Y23" s="1" t="n">
        <f aca="false">W23</f>
        <v>0.975757575757576</v>
      </c>
      <c r="Z23" s="175"/>
      <c r="AA23" s="175"/>
      <c r="AB23" s="79" t="s">
        <v>53</v>
      </c>
      <c r="AC23" s="80" t="n">
        <v>177</v>
      </c>
      <c r="AD23" s="81"/>
      <c r="AE23" s="82"/>
      <c r="AF23" s="81"/>
      <c r="AG23" s="99"/>
      <c r="AH23" s="81"/>
      <c r="AI23" s="82"/>
      <c r="AJ23" s="81"/>
      <c r="AK23" s="82"/>
      <c r="AL23" s="81"/>
      <c r="AM23" s="82"/>
      <c r="AN23" s="81"/>
      <c r="AO23" s="82"/>
      <c r="AP23" s="81"/>
      <c r="AQ23" s="82"/>
      <c r="AR23" s="81"/>
      <c r="AS23" s="82"/>
      <c r="AT23" s="81"/>
      <c r="AU23" s="82"/>
      <c r="AV23" s="81"/>
      <c r="AW23" s="82"/>
      <c r="AX23" s="81"/>
      <c r="AY23" s="82"/>
      <c r="AZ23" s="81"/>
      <c r="BA23" s="82"/>
      <c r="BB23" s="81"/>
      <c r="BC23" s="82"/>
      <c r="BD23" s="81"/>
      <c r="BE23" s="82"/>
      <c r="BF23" s="81"/>
      <c r="BG23" s="83"/>
    </row>
    <row r="24" customFormat="false" ht="12.6" hidden="false" customHeight="true" outlineLevel="0" collapsed="false">
      <c r="A24" s="143" t="s">
        <v>77</v>
      </c>
      <c r="B24" s="69" t="s">
        <v>82</v>
      </c>
      <c r="C24" s="70" t="s">
        <v>39</v>
      </c>
      <c r="D24" s="179" t="n">
        <v>859</v>
      </c>
      <c r="E24" s="179" t="n">
        <v>857</v>
      </c>
      <c r="F24" s="157" t="n">
        <f aca="false">E24/M24</f>
        <v>0.741991341991342</v>
      </c>
      <c r="G24" s="171"/>
      <c r="H24" s="177" t="n">
        <v>36</v>
      </c>
      <c r="I24" s="74" t="n">
        <v>3.5</v>
      </c>
      <c r="J24" s="69" t="n">
        <f aca="false">INT(H24*I24)</f>
        <v>126</v>
      </c>
      <c r="K24" s="69" t="n">
        <v>18</v>
      </c>
      <c r="L24" s="69" t="n">
        <f aca="false">INT((H24-K24)*I24)</f>
        <v>63</v>
      </c>
      <c r="M24" s="69" t="n">
        <f aca="false">INT((L24*1000)/54.5)</f>
        <v>1155</v>
      </c>
      <c r="N24" s="69" t="n">
        <f aca="false">SUM(AC24)</f>
        <v>194</v>
      </c>
      <c r="O24" s="48" t="n">
        <f aca="false">(E24+N24)/M24</f>
        <v>0.90995670995671</v>
      </c>
      <c r="P24" s="171"/>
      <c r="Q24" s="69" t="n">
        <f aca="false">SUM(AE24:BG24)</f>
        <v>27</v>
      </c>
      <c r="R24" s="174"/>
      <c r="S24" s="76" t="n">
        <f aca="false">SUM(E24+N24+Q24)</f>
        <v>1078</v>
      </c>
      <c r="T24" s="52"/>
      <c r="U24" s="77" t="n">
        <f aca="false">SUM(M24-S24)</f>
        <v>77</v>
      </c>
      <c r="V24" s="54"/>
      <c r="W24" s="78" t="n">
        <f aca="false">S24/M24</f>
        <v>0.933333333333333</v>
      </c>
      <c r="X24" s="56"/>
      <c r="Y24" s="1" t="n">
        <f aca="false">W24</f>
        <v>0.933333333333333</v>
      </c>
      <c r="Z24" s="175"/>
      <c r="AA24" s="175"/>
      <c r="AB24" s="79" t="s">
        <v>53</v>
      </c>
      <c r="AC24" s="80" t="n">
        <v>194</v>
      </c>
      <c r="AD24" s="98" t="s">
        <v>72</v>
      </c>
      <c r="AE24" s="99" t="n">
        <v>9</v>
      </c>
      <c r="AF24" s="98" t="s">
        <v>80</v>
      </c>
      <c r="AG24" s="99" t="n">
        <v>18</v>
      </c>
      <c r="AH24" s="98"/>
      <c r="AI24" s="99"/>
      <c r="AJ24" s="180"/>
      <c r="AK24" s="82"/>
      <c r="AL24" s="81"/>
      <c r="AM24" s="82"/>
      <c r="AN24" s="81"/>
      <c r="AO24" s="82"/>
      <c r="AP24" s="81"/>
      <c r="AQ24" s="82"/>
      <c r="AR24" s="81"/>
      <c r="AS24" s="82"/>
      <c r="AT24" s="81"/>
      <c r="AU24" s="82"/>
      <c r="AV24" s="81"/>
      <c r="AW24" s="82"/>
      <c r="AX24" s="81"/>
      <c r="AY24" s="82"/>
      <c r="AZ24" s="81"/>
      <c r="BA24" s="82"/>
      <c r="BB24" s="81"/>
      <c r="BC24" s="82"/>
      <c r="BD24" s="81"/>
      <c r="BE24" s="82"/>
      <c r="BF24" s="81"/>
      <c r="BG24" s="83"/>
    </row>
    <row r="25" customFormat="false" ht="13.5" hidden="false" customHeight="false" outlineLevel="0" collapsed="false">
      <c r="A25" s="90" t="s">
        <v>77</v>
      </c>
      <c r="B25" s="35" t="s">
        <v>83</v>
      </c>
      <c r="C25" s="70" t="s">
        <v>39</v>
      </c>
      <c r="D25" s="77" t="n">
        <v>871</v>
      </c>
      <c r="E25" s="77" t="n">
        <v>874</v>
      </c>
      <c r="F25" s="153" t="n">
        <f aca="false">E25/M25</f>
        <v>0.756709956709957</v>
      </c>
      <c r="G25" s="92" t="n">
        <f aca="false">G22/'Building Capability'!$D$6</f>
        <v>0.779724867724868</v>
      </c>
      <c r="H25" s="177" t="n">
        <v>36</v>
      </c>
      <c r="I25" s="165" t="n">
        <v>3.5</v>
      </c>
      <c r="J25" s="69" t="n">
        <f aca="false">INT(H25*I25)</f>
        <v>126</v>
      </c>
      <c r="K25" s="69" t="n">
        <v>18</v>
      </c>
      <c r="L25" s="69" t="n">
        <f aca="false">INT((H25-K25)*I25)</f>
        <v>63</v>
      </c>
      <c r="M25" s="69" t="n">
        <f aca="false">INT((L25*1000)/54.5)</f>
        <v>1155</v>
      </c>
      <c r="N25" s="69" t="n">
        <f aca="false">SUM(AC25)</f>
        <v>172</v>
      </c>
      <c r="O25" s="48" t="n">
        <f aca="false">(E25+N25)/M25</f>
        <v>0.905627705627706</v>
      </c>
      <c r="P25" s="150" t="n">
        <f aca="false">P22/'Building Capability'!$D$6</f>
        <v>0.171141534391534</v>
      </c>
      <c r="Q25" s="69" t="n">
        <f aca="false">SUM(AE25:BG25)</f>
        <v>0</v>
      </c>
      <c r="R25" s="151" t="n">
        <f aca="false">R22/'Building Capability'!$D$6</f>
        <v>0.00778571428571429</v>
      </c>
      <c r="S25" s="76" t="n">
        <f aca="false">SUM(E25+N25+Q25)</f>
        <v>1046</v>
      </c>
      <c r="T25" s="94" t="n">
        <f aca="false">T22/'Building Capability'!$D$6</f>
        <v>0.958652116402116</v>
      </c>
      <c r="U25" s="36" t="n">
        <f aca="false">SUM(M25-S25)</f>
        <v>109</v>
      </c>
      <c r="V25" s="181" t="n">
        <f aca="false">V22/'Building Capability'!$D$6</f>
        <v>0.0405145502645503</v>
      </c>
      <c r="W25" s="168" t="n">
        <f aca="false">S25/M25</f>
        <v>0.905627705627706</v>
      </c>
      <c r="X25" s="56"/>
      <c r="Y25" s="1" t="n">
        <f aca="false">W25</f>
        <v>0.905627705627706</v>
      </c>
      <c r="Z25" s="175"/>
      <c r="AA25" s="175"/>
      <c r="AB25" s="79" t="s">
        <v>53</v>
      </c>
      <c r="AC25" s="80" t="n">
        <v>172</v>
      </c>
      <c r="AD25" s="98"/>
      <c r="AE25" s="161"/>
      <c r="AF25" s="98"/>
      <c r="AG25" s="99"/>
      <c r="AH25" s="98"/>
      <c r="AI25" s="99"/>
      <c r="AJ25" s="81"/>
      <c r="AK25" s="82"/>
      <c r="AL25" s="81"/>
      <c r="AM25" s="82"/>
      <c r="AN25" s="81"/>
      <c r="AO25" s="82"/>
      <c r="AP25" s="81"/>
      <c r="AQ25" s="82"/>
      <c r="AR25" s="81"/>
      <c r="AS25" s="82"/>
      <c r="AT25" s="81"/>
      <c r="AU25" s="82"/>
      <c r="AV25" s="81"/>
      <c r="AW25" s="82"/>
      <c r="AX25" s="81"/>
      <c r="AY25" s="82"/>
      <c r="AZ25" s="81"/>
      <c r="BA25" s="82"/>
      <c r="BB25" s="81"/>
      <c r="BC25" s="82"/>
      <c r="BD25" s="81"/>
      <c r="BE25" s="82"/>
      <c r="BF25" s="81"/>
      <c r="BG25" s="83"/>
    </row>
    <row r="26" customFormat="false" ht="12.6" hidden="false" customHeight="true" outlineLevel="0" collapsed="false">
      <c r="A26" s="90" t="s">
        <v>77</v>
      </c>
      <c r="B26" s="35" t="s">
        <v>84</v>
      </c>
      <c r="C26" s="182" t="s">
        <v>39</v>
      </c>
      <c r="D26" s="183" t="n">
        <v>927</v>
      </c>
      <c r="E26" s="183" t="n">
        <v>928</v>
      </c>
      <c r="F26" s="184" t="n">
        <f aca="false">E26/M26</f>
        <v>0.803463203463203</v>
      </c>
      <c r="G26" s="92"/>
      <c r="H26" s="185" t="n">
        <v>36</v>
      </c>
      <c r="I26" s="165" t="n">
        <v>3.5</v>
      </c>
      <c r="J26" s="186" t="n">
        <f aca="false">INT(H26*I26)</f>
        <v>126</v>
      </c>
      <c r="K26" s="186" t="n">
        <v>18</v>
      </c>
      <c r="L26" s="186" t="n">
        <f aca="false">INT((H26-K26)*I26)</f>
        <v>63</v>
      </c>
      <c r="M26" s="186" t="n">
        <f aca="false">INT((L26*1000)/54.5)</f>
        <v>1155</v>
      </c>
      <c r="N26" s="35" t="n">
        <f aca="false">SUM(AC26)</f>
        <v>183</v>
      </c>
      <c r="O26" s="48" t="n">
        <f aca="false">(E26+N26)/M26</f>
        <v>0.961904761904762</v>
      </c>
      <c r="P26" s="150"/>
      <c r="Q26" s="35" t="n">
        <f aca="false">SUM(AE26:BG26)</f>
        <v>0</v>
      </c>
      <c r="R26" s="151"/>
      <c r="S26" s="76" t="n">
        <f aca="false">SUM(E26+N26+Q26)</f>
        <v>1111</v>
      </c>
      <c r="T26" s="94"/>
      <c r="U26" s="36" t="n">
        <f aca="false">SUM(M26-S26)</f>
        <v>44</v>
      </c>
      <c r="V26" s="181"/>
      <c r="W26" s="168" t="n">
        <f aca="false">S26/M26</f>
        <v>0.961904761904762</v>
      </c>
      <c r="X26" s="56"/>
      <c r="Z26" s="175"/>
      <c r="AA26" s="175"/>
      <c r="AB26" s="79" t="s">
        <v>53</v>
      </c>
      <c r="AC26" s="80" t="n">
        <v>183</v>
      </c>
      <c r="AD26" s="81"/>
      <c r="AE26" s="82"/>
      <c r="AF26" s="81"/>
      <c r="AG26" s="82"/>
      <c r="AH26" s="81"/>
      <c r="AI26" s="82"/>
      <c r="AJ26" s="81"/>
      <c r="AK26" s="82"/>
      <c r="AL26" s="81"/>
      <c r="AM26" s="82"/>
      <c r="AN26" s="81"/>
      <c r="AO26" s="82"/>
      <c r="AP26" s="81"/>
      <c r="AQ26" s="82"/>
      <c r="AR26" s="81"/>
      <c r="AS26" s="82"/>
      <c r="AT26" s="81"/>
      <c r="AU26" s="82"/>
      <c r="AV26" s="81"/>
      <c r="AW26" s="82"/>
      <c r="AX26" s="81"/>
      <c r="AY26" s="82"/>
      <c r="AZ26" s="81"/>
      <c r="BA26" s="82"/>
      <c r="BB26" s="81"/>
      <c r="BC26" s="82"/>
      <c r="BD26" s="81"/>
      <c r="BE26" s="82"/>
      <c r="BF26" s="81"/>
      <c r="BG26" s="83"/>
    </row>
    <row r="27" customFormat="false" ht="13.15" hidden="false" customHeight="false" outlineLevel="0" collapsed="false">
      <c r="A27" s="103" t="s">
        <v>77</v>
      </c>
      <c r="B27" s="104" t="s">
        <v>85</v>
      </c>
      <c r="C27" s="105" t="s">
        <v>39</v>
      </c>
      <c r="D27" s="113" t="n">
        <v>923</v>
      </c>
      <c r="E27" s="113" t="n">
        <v>918</v>
      </c>
      <c r="F27" s="187" t="n">
        <f aca="false">E27/M27</f>
        <v>0.794805194805195</v>
      </c>
      <c r="G27" s="92"/>
      <c r="H27" s="108" t="n">
        <v>36</v>
      </c>
      <c r="I27" s="109" t="n">
        <v>3.5</v>
      </c>
      <c r="J27" s="104" t="n">
        <f aca="false">INT(H27*I27)</f>
        <v>126</v>
      </c>
      <c r="K27" s="104" t="n">
        <v>18</v>
      </c>
      <c r="L27" s="104" t="n">
        <f aca="false">INT((H27-K27)*I27)</f>
        <v>63</v>
      </c>
      <c r="M27" s="104" t="n">
        <f aca="false">INT((L27*1000)/54.5)</f>
        <v>1155</v>
      </c>
      <c r="N27" s="104" t="n">
        <f aca="false">SUM(AC27)</f>
        <v>261</v>
      </c>
      <c r="O27" s="110" t="n">
        <f aca="false">(E27+N27)/M27</f>
        <v>1.02077922077922</v>
      </c>
      <c r="P27" s="150"/>
      <c r="Q27" s="104" t="n">
        <f aca="false">SUM(AE27:BG27)</f>
        <v>0</v>
      </c>
      <c r="R27" s="151"/>
      <c r="S27" s="112" t="n">
        <f aca="false">SUM(E27+N27+Q27)</f>
        <v>1179</v>
      </c>
      <c r="T27" s="94"/>
      <c r="U27" s="113" t="n">
        <f aca="false">SUM(M27-S27)</f>
        <v>-24</v>
      </c>
      <c r="V27" s="181"/>
      <c r="W27" s="114" t="n">
        <f aca="false">S27/M27</f>
        <v>1.02077922077922</v>
      </c>
      <c r="X27" s="56"/>
      <c r="Z27" s="175"/>
      <c r="AA27" s="175"/>
      <c r="AB27" s="116" t="s">
        <v>53</v>
      </c>
      <c r="AC27" s="117" t="n">
        <v>261</v>
      </c>
      <c r="AD27" s="122"/>
      <c r="AE27" s="123"/>
      <c r="AF27" s="118"/>
      <c r="AG27" s="123"/>
      <c r="AH27" s="122"/>
      <c r="AI27" s="123"/>
      <c r="AJ27" s="118"/>
      <c r="AK27" s="119"/>
      <c r="AL27" s="118"/>
      <c r="AM27" s="119"/>
      <c r="AN27" s="118"/>
      <c r="AO27" s="119"/>
      <c r="AP27" s="118"/>
      <c r="AQ27" s="119"/>
      <c r="AR27" s="118"/>
      <c r="AS27" s="119"/>
      <c r="AT27" s="118"/>
      <c r="AU27" s="119"/>
      <c r="AV27" s="118"/>
      <c r="AW27" s="119"/>
      <c r="AX27" s="118"/>
      <c r="AY27" s="119"/>
      <c r="AZ27" s="118"/>
      <c r="BA27" s="119"/>
      <c r="BB27" s="118"/>
      <c r="BC27" s="119"/>
      <c r="BD27" s="118"/>
      <c r="BE27" s="119"/>
      <c r="BF27" s="118"/>
      <c r="BG27" s="125"/>
    </row>
    <row r="28" s="191" customFormat="true" ht="13.15" hidden="false" customHeight="false" outlineLevel="0" collapsed="false">
      <c r="A28" s="68" t="s">
        <v>86</v>
      </c>
      <c r="B28" s="127" t="s">
        <v>87</v>
      </c>
      <c r="C28" s="128" t="s">
        <v>39</v>
      </c>
      <c r="D28" s="136" t="n">
        <v>376</v>
      </c>
      <c r="E28" s="136" t="n">
        <v>379</v>
      </c>
      <c r="F28" s="134" t="n">
        <f aca="false">E28/M28</f>
        <v>0.328138528138528</v>
      </c>
      <c r="G28" s="45" t="n">
        <f aca="false">SUM(E28:E31)*54.5/1000</f>
        <v>68.7245</v>
      </c>
      <c r="H28" s="132" t="n">
        <v>36</v>
      </c>
      <c r="I28" s="133" t="n">
        <v>3.5</v>
      </c>
      <c r="J28" s="127" t="n">
        <f aca="false">INT(H28*I28)</f>
        <v>126</v>
      </c>
      <c r="K28" s="127" t="n">
        <v>18</v>
      </c>
      <c r="L28" s="127" t="n">
        <f aca="false">INT((H28-K28)*I28)</f>
        <v>63</v>
      </c>
      <c r="M28" s="127" t="n">
        <f aca="false">INT((L28*1000)/54.5)</f>
        <v>1155</v>
      </c>
      <c r="N28" s="127" t="n">
        <f aca="false">SUM(AC28)</f>
        <v>0</v>
      </c>
      <c r="O28" s="154" t="n">
        <f aca="false">(E28+N28)/M28</f>
        <v>0.328138528138528</v>
      </c>
      <c r="P28" s="188" t="n">
        <f aca="false">SUM(N28:N31)*54.5/1000</f>
        <v>0</v>
      </c>
      <c r="Q28" s="155" t="n">
        <f aca="false">SUM(AE28:BG28)</f>
        <v>0</v>
      </c>
      <c r="R28" s="50" t="n">
        <f aca="false">SUM(Q28:Q31)*54.4/1000</f>
        <v>0.99552</v>
      </c>
      <c r="S28" s="51" t="n">
        <f aca="false">SUM(E28+N28+Q28)</f>
        <v>379</v>
      </c>
      <c r="T28" s="52" t="n">
        <f aca="false">SUM(S28:S31)*54.5/1000</f>
        <v>69.72185</v>
      </c>
      <c r="U28" s="136" t="n">
        <f aca="false">SUM(M28-S28)</f>
        <v>776</v>
      </c>
      <c r="V28" s="54" t="n">
        <f aca="false">SUM(U28:U31)*54.5/1000</f>
        <v>182.06815</v>
      </c>
      <c r="W28" s="189" t="n">
        <f aca="false">S28/M28</f>
        <v>0.328138528138528</v>
      </c>
      <c r="X28" s="190" t="n">
        <f aca="false">(G28+P28+R28)/'Building Capability'!$D$7</f>
        <v>0.276666746031746</v>
      </c>
      <c r="Y28" s="1" t="n">
        <f aca="false">W28</f>
        <v>0.328138528138528</v>
      </c>
      <c r="Z28" s="58" t="n">
        <f aca="false">(G28+P28+R28)/'Building Capability'!$F$7</f>
        <v>0.232400066666667</v>
      </c>
      <c r="AA28" s="1"/>
      <c r="AB28" s="79"/>
      <c r="AC28" s="80"/>
      <c r="AD28" s="81"/>
      <c r="AE28" s="82"/>
      <c r="AF28" s="81"/>
      <c r="AG28" s="82"/>
      <c r="AH28" s="81"/>
      <c r="AI28" s="82"/>
      <c r="AJ28" s="81"/>
      <c r="AK28" s="82"/>
      <c r="AL28" s="81"/>
      <c r="AM28" s="82"/>
      <c r="AN28" s="81"/>
      <c r="AO28" s="82"/>
      <c r="AP28" s="81"/>
      <c r="AQ28" s="82"/>
      <c r="AR28" s="81"/>
      <c r="AS28" s="82"/>
      <c r="AT28" s="81"/>
      <c r="AU28" s="82"/>
      <c r="AV28" s="81"/>
      <c r="AW28" s="82"/>
      <c r="AX28" s="81"/>
      <c r="AY28" s="82"/>
      <c r="AZ28" s="81"/>
      <c r="BA28" s="82"/>
      <c r="BB28" s="81"/>
      <c r="BC28" s="82"/>
      <c r="BD28" s="81"/>
      <c r="BE28" s="82"/>
      <c r="BF28" s="81"/>
      <c r="BG28" s="83"/>
    </row>
    <row r="29" customFormat="false" ht="13.15" hidden="false" customHeight="false" outlineLevel="0" collapsed="false">
      <c r="A29" s="143" t="s">
        <v>86</v>
      </c>
      <c r="B29" s="69" t="s">
        <v>88</v>
      </c>
      <c r="C29" s="70" t="s">
        <v>39</v>
      </c>
      <c r="D29" s="77" t="n">
        <v>299</v>
      </c>
      <c r="E29" s="77" t="n">
        <v>303</v>
      </c>
      <c r="F29" s="157" t="n">
        <f aca="false">E29/M29</f>
        <v>0.262337662337662</v>
      </c>
      <c r="G29" s="45"/>
      <c r="H29" s="73" t="n">
        <v>36</v>
      </c>
      <c r="I29" s="74" t="n">
        <v>3.5</v>
      </c>
      <c r="J29" s="69" t="n">
        <f aca="false">INT(H29*I29)</f>
        <v>126</v>
      </c>
      <c r="K29" s="69" t="n">
        <v>18</v>
      </c>
      <c r="L29" s="69" t="n">
        <f aca="false">INT((H29-K29)*I29)</f>
        <v>63</v>
      </c>
      <c r="M29" s="69" t="n">
        <f aca="false">INT((L29*1000)/54.5)</f>
        <v>1155</v>
      </c>
      <c r="N29" s="69" t="n">
        <f aca="false">SUM(AC29)</f>
        <v>0</v>
      </c>
      <c r="O29" s="48" t="n">
        <f aca="false">(E29+N29)/M29</f>
        <v>0.262337662337662</v>
      </c>
      <c r="P29" s="188"/>
      <c r="Q29" s="75" t="n">
        <f aca="false">SUM(AE29:BG29)</f>
        <v>9.15</v>
      </c>
      <c r="R29" s="50"/>
      <c r="S29" s="76" t="n">
        <f aca="false">SUM(E29+N29+Q29)</f>
        <v>312.15</v>
      </c>
      <c r="T29" s="52"/>
      <c r="U29" s="77" t="n">
        <f aca="false">SUM(M29-S29)</f>
        <v>842.85</v>
      </c>
      <c r="V29" s="54"/>
      <c r="W29" s="78" t="n">
        <f aca="false">S29/M29</f>
        <v>0.27025974025974</v>
      </c>
      <c r="X29" s="190"/>
      <c r="Y29" s="1" t="n">
        <f aca="false">W29</f>
        <v>0.27025974025974</v>
      </c>
      <c r="Z29" s="58"/>
      <c r="AB29" s="79"/>
      <c r="AC29" s="80"/>
      <c r="AD29" s="98" t="s">
        <v>89</v>
      </c>
      <c r="AE29" s="99" t="n">
        <v>9.15</v>
      </c>
      <c r="AF29" s="81"/>
      <c r="AG29" s="82"/>
      <c r="AH29" s="81"/>
      <c r="AI29" s="82"/>
      <c r="AJ29" s="81"/>
      <c r="AK29" s="82"/>
      <c r="AL29" s="81"/>
      <c r="AM29" s="82"/>
      <c r="AN29" s="81"/>
      <c r="AO29" s="82"/>
      <c r="AP29" s="81"/>
      <c r="AQ29" s="82"/>
      <c r="AR29" s="81"/>
      <c r="AS29" s="82"/>
      <c r="AT29" s="81"/>
      <c r="AU29" s="82"/>
      <c r="AV29" s="81"/>
      <c r="AW29" s="82"/>
      <c r="AX29" s="81"/>
      <c r="AY29" s="82"/>
      <c r="AZ29" s="81"/>
      <c r="BA29" s="82"/>
      <c r="BB29" s="81"/>
      <c r="BC29" s="82"/>
      <c r="BD29" s="81"/>
      <c r="BE29" s="82"/>
      <c r="BF29" s="81"/>
      <c r="BG29" s="83"/>
    </row>
    <row r="30" customFormat="false" ht="10.5" hidden="false" customHeight="true" outlineLevel="0" collapsed="false">
      <c r="A30" s="143" t="s">
        <v>86</v>
      </c>
      <c r="B30" s="69" t="s">
        <v>90</v>
      </c>
      <c r="C30" s="70" t="s">
        <v>39</v>
      </c>
      <c r="D30" s="77" t="n">
        <v>361</v>
      </c>
      <c r="E30" s="77" t="n">
        <v>360</v>
      </c>
      <c r="F30" s="157" t="n">
        <f aca="false">E30/M30</f>
        <v>0.311688311688312</v>
      </c>
      <c r="G30" s="158" t="n">
        <f aca="false">G28/'Building Capability'!$D$7</f>
        <v>0.27271626984127</v>
      </c>
      <c r="H30" s="73" t="n">
        <v>36</v>
      </c>
      <c r="I30" s="74" t="n">
        <v>3.5</v>
      </c>
      <c r="J30" s="69" t="n">
        <f aca="false">INT(H30*I30)</f>
        <v>126</v>
      </c>
      <c r="K30" s="69" t="n">
        <v>18</v>
      </c>
      <c r="L30" s="69" t="n">
        <f aca="false">INT((H30-K30)*I30)</f>
        <v>63</v>
      </c>
      <c r="M30" s="69" t="n">
        <f aca="false">INT((L30*1000)/54.5)</f>
        <v>1155</v>
      </c>
      <c r="N30" s="69" t="n">
        <f aca="false">SUM(AC30)</f>
        <v>0</v>
      </c>
      <c r="O30" s="48" t="n">
        <f aca="false">(E30+N30)/M30</f>
        <v>0.311688311688312</v>
      </c>
      <c r="P30" s="149" t="n">
        <f aca="false">P28/'Building Capability'!$D$7</f>
        <v>0</v>
      </c>
      <c r="Q30" s="75" t="n">
        <f aca="false">SUM(AE30:BG30)</f>
        <v>9.15</v>
      </c>
      <c r="R30" s="93" t="n">
        <f aca="false">R27/'Building Capability'!$D$7</f>
        <v>0</v>
      </c>
      <c r="S30" s="76" t="n">
        <f aca="false">SUM(E30+N30+Q30)</f>
        <v>369.15</v>
      </c>
      <c r="T30" s="94" t="n">
        <f aca="false">T28/'Building Capability'!$D$7</f>
        <v>0.276674007936508</v>
      </c>
      <c r="U30" s="77" t="n">
        <f aca="false">SUM(M30-S30)</f>
        <v>785.85</v>
      </c>
      <c r="V30" s="149" t="n">
        <f aca="false">V28/'Building Capability'!$D$7</f>
        <v>0.722492658730159</v>
      </c>
      <c r="W30" s="78" t="n">
        <f aca="false">S30/M30</f>
        <v>0.31961038961039</v>
      </c>
      <c r="X30" s="190"/>
      <c r="Y30" s="1" t="n">
        <f aca="false">W30</f>
        <v>0.31961038961039</v>
      </c>
      <c r="Z30" s="58"/>
      <c r="AA30" s="146"/>
      <c r="AB30" s="147"/>
      <c r="AC30" s="80"/>
      <c r="AD30" s="98" t="s">
        <v>91</v>
      </c>
      <c r="AE30" s="99" t="n">
        <v>9.15</v>
      </c>
      <c r="AF30" s="81"/>
      <c r="AG30" s="82"/>
      <c r="AH30" s="81"/>
      <c r="AI30" s="82"/>
      <c r="AJ30" s="81"/>
      <c r="AK30" s="82"/>
      <c r="AL30" s="81"/>
      <c r="AM30" s="82"/>
      <c r="AN30" s="81"/>
      <c r="AO30" s="82"/>
      <c r="AP30" s="81"/>
      <c r="AQ30" s="82"/>
      <c r="AR30" s="81"/>
      <c r="AS30" s="82"/>
      <c r="AT30" s="81"/>
      <c r="AU30" s="82"/>
      <c r="AV30" s="81"/>
      <c r="AW30" s="82"/>
      <c r="AX30" s="81"/>
      <c r="AY30" s="82"/>
      <c r="AZ30" s="81"/>
      <c r="BA30" s="82"/>
      <c r="BB30" s="81"/>
      <c r="BC30" s="82"/>
      <c r="BD30" s="81"/>
      <c r="BE30" s="82"/>
      <c r="BF30" s="81"/>
      <c r="BG30" s="83"/>
    </row>
    <row r="31" customFormat="false" ht="13.15" hidden="false" customHeight="false" outlineLevel="0" collapsed="false">
      <c r="A31" s="192" t="s">
        <v>86</v>
      </c>
      <c r="B31" s="193" t="s">
        <v>92</v>
      </c>
      <c r="C31" s="105" t="s">
        <v>39</v>
      </c>
      <c r="D31" s="113" t="n">
        <v>223</v>
      </c>
      <c r="E31" s="113" t="n">
        <v>219</v>
      </c>
      <c r="F31" s="194" t="n">
        <f aca="false">E31/M31</f>
        <v>0.18961038961039</v>
      </c>
      <c r="G31" s="158"/>
      <c r="H31" s="108" t="n">
        <v>36</v>
      </c>
      <c r="I31" s="109" t="n">
        <v>3.5</v>
      </c>
      <c r="J31" s="104" t="n">
        <f aca="false">INT(H31*I31)</f>
        <v>126</v>
      </c>
      <c r="K31" s="104" t="n">
        <v>18</v>
      </c>
      <c r="L31" s="104" t="n">
        <f aca="false">INT((H31-K31)*I31)</f>
        <v>63</v>
      </c>
      <c r="M31" s="104" t="n">
        <f aca="false">INT((L31*1000)/54.5)</f>
        <v>1155</v>
      </c>
      <c r="N31" s="104" t="n">
        <f aca="false">SUM(AC31)</f>
        <v>0</v>
      </c>
      <c r="O31" s="110" t="n">
        <f aca="false">(E31+N31)/M31</f>
        <v>0.18961038961039</v>
      </c>
      <c r="P31" s="149"/>
      <c r="Q31" s="111" t="n">
        <f aca="false">SUM(AE31:BG31)</f>
        <v>0</v>
      </c>
      <c r="R31" s="93"/>
      <c r="S31" s="112" t="n">
        <f aca="false">SUM(E31+N31+Q31)</f>
        <v>219</v>
      </c>
      <c r="T31" s="94"/>
      <c r="U31" s="113" t="n">
        <f aca="false">SUM(M31-S31)</f>
        <v>936</v>
      </c>
      <c r="V31" s="149"/>
      <c r="W31" s="195" t="n">
        <f aca="false">S31/M31</f>
        <v>0.18961038961039</v>
      </c>
      <c r="X31" s="190"/>
      <c r="Y31" s="115" t="n">
        <f aca="false">W31</f>
        <v>0.18961038961039</v>
      </c>
      <c r="Z31" s="58"/>
      <c r="AB31" s="116"/>
      <c r="AC31" s="117"/>
      <c r="AD31" s="118"/>
      <c r="AE31" s="123"/>
      <c r="AF31" s="118"/>
      <c r="AG31" s="119"/>
      <c r="AH31" s="118"/>
      <c r="AI31" s="119"/>
      <c r="AJ31" s="118"/>
      <c r="AK31" s="119"/>
      <c r="AL31" s="118"/>
      <c r="AM31" s="119"/>
      <c r="AN31" s="118"/>
      <c r="AO31" s="119"/>
      <c r="AP31" s="118"/>
      <c r="AQ31" s="119"/>
      <c r="AR31" s="118"/>
      <c r="AS31" s="119"/>
      <c r="AT31" s="118"/>
      <c r="AU31" s="119"/>
      <c r="AV31" s="118"/>
      <c r="AW31" s="119"/>
      <c r="AX31" s="118"/>
      <c r="AY31" s="119"/>
      <c r="AZ31" s="118"/>
      <c r="BA31" s="119"/>
      <c r="BB31" s="118"/>
      <c r="BC31" s="119"/>
      <c r="BD31" s="118"/>
      <c r="BE31" s="119"/>
      <c r="BF31" s="118"/>
      <c r="BG31" s="125"/>
    </row>
    <row r="32" customFormat="false" ht="13.5" hidden="false" customHeight="false" outlineLevel="0" collapsed="false">
      <c r="A32" s="40" t="s">
        <v>93</v>
      </c>
      <c r="B32" s="41" t="s">
        <v>94</v>
      </c>
      <c r="C32" s="42" t="s">
        <v>39</v>
      </c>
      <c r="D32" s="169" t="n">
        <v>666</v>
      </c>
      <c r="E32" s="169" t="n">
        <v>665</v>
      </c>
      <c r="F32" s="170" t="n">
        <f aca="false">E32/M32</f>
        <v>0.575757575757576</v>
      </c>
      <c r="G32" s="45" t="n">
        <f aca="false">SUM(E32:E38)*54.5/1000</f>
        <v>309.2875</v>
      </c>
      <c r="H32" s="46" t="n">
        <v>36</v>
      </c>
      <c r="I32" s="47" t="n">
        <v>3.5</v>
      </c>
      <c r="J32" s="53" t="n">
        <f aca="false">INT(H32*I32)</f>
        <v>126</v>
      </c>
      <c r="K32" s="41" t="n">
        <v>18</v>
      </c>
      <c r="L32" s="41" t="n">
        <f aca="false">INT((H32-K32)*I32)</f>
        <v>63</v>
      </c>
      <c r="M32" s="41" t="n">
        <f aca="false">INT((L32*1000)/54.5)</f>
        <v>1155</v>
      </c>
      <c r="N32" s="41" t="n">
        <f aca="false">SUM(AC32)</f>
        <v>134</v>
      </c>
      <c r="O32" s="173" t="n">
        <f aca="false">(E32+N32)/M32</f>
        <v>0.691774891774892</v>
      </c>
      <c r="P32" s="45" t="n">
        <f aca="false">SUM(N32:N38)*54.5/1000</f>
        <v>98.8085</v>
      </c>
      <c r="Q32" s="49" t="n">
        <f aca="false">SUM(AE32:BG32)</f>
        <v>171.9</v>
      </c>
      <c r="R32" s="50" t="n">
        <f aca="false">SUM(Q32:Q38)*54.5/1000</f>
        <v>21.0152</v>
      </c>
      <c r="S32" s="51" t="n">
        <f aca="false">SUM(E32+N32+Q32)</f>
        <v>970.9</v>
      </c>
      <c r="T32" s="52" t="n">
        <f aca="false">SUM(S32:S38)*54.5/1000</f>
        <v>429.1112</v>
      </c>
      <c r="U32" s="53" t="n">
        <f aca="false">SUM(M32-S32)</f>
        <v>184.1</v>
      </c>
      <c r="V32" s="54" t="n">
        <f aca="false">SUM(U32:U38)*54.5/1000</f>
        <v>35.6103</v>
      </c>
      <c r="W32" s="196" t="n">
        <f aca="false">S32/M32</f>
        <v>0.84060606060606</v>
      </c>
      <c r="X32" s="197" t="n">
        <f aca="false">(G32+P32+R32)/'Building Capability'!$D$8</f>
        <v>0.922819784946237</v>
      </c>
      <c r="Y32" s="57" t="n">
        <f aca="false">W32</f>
        <v>0.84060606060606</v>
      </c>
      <c r="Z32" s="58" t="n">
        <f aca="false">(G32+P32+R32)/'Building Capability'!$F$8</f>
        <v>0.922819784946237</v>
      </c>
      <c r="AA32" s="58" t="e">
        <f aca="false">(G32+P32)/'Building Capability'!$G$8</f>
        <v>#DIV/0!</v>
      </c>
      <c r="AB32" s="60" t="s">
        <v>53</v>
      </c>
      <c r="AC32" s="61" t="n">
        <v>134</v>
      </c>
      <c r="AD32" s="148" t="s">
        <v>72</v>
      </c>
      <c r="AE32" s="198" t="n">
        <v>9</v>
      </c>
      <c r="AF32" s="148" t="s">
        <v>95</v>
      </c>
      <c r="AG32" s="199" t="n">
        <v>18</v>
      </c>
      <c r="AH32" s="148" t="s">
        <v>63</v>
      </c>
      <c r="AI32" s="198" t="n">
        <v>13.9</v>
      </c>
      <c r="AJ32" s="148" t="s">
        <v>96</v>
      </c>
      <c r="AK32" s="199" t="n">
        <v>62</v>
      </c>
      <c r="AL32" s="148" t="s">
        <v>97</v>
      </c>
      <c r="AM32" s="200" t="n">
        <v>7</v>
      </c>
      <c r="AN32" s="148"/>
      <c r="AO32" s="200" t="n">
        <v>62</v>
      </c>
      <c r="AP32" s="201"/>
      <c r="AQ32" s="202"/>
      <c r="AR32" s="81"/>
      <c r="AS32" s="63"/>
      <c r="AT32" s="62"/>
      <c r="AU32" s="63"/>
      <c r="AV32" s="62"/>
      <c r="AW32" s="63"/>
      <c r="AX32" s="62"/>
      <c r="AY32" s="63"/>
      <c r="AZ32" s="62"/>
      <c r="BA32" s="63"/>
      <c r="BB32" s="62"/>
      <c r="BC32" s="63"/>
      <c r="BD32" s="62"/>
      <c r="BE32" s="63"/>
      <c r="BF32" s="62"/>
      <c r="BG32" s="66"/>
    </row>
    <row r="33" customFormat="false" ht="13.5" hidden="false" customHeight="false" outlineLevel="0" collapsed="false">
      <c r="A33" s="143" t="s">
        <v>93</v>
      </c>
      <c r="B33" s="69" t="s">
        <v>98</v>
      </c>
      <c r="C33" s="70" t="s">
        <v>39</v>
      </c>
      <c r="D33" s="144" t="n">
        <v>829</v>
      </c>
      <c r="E33" s="144" t="n">
        <v>828</v>
      </c>
      <c r="F33" s="157" t="n">
        <f aca="false">E33/M33</f>
        <v>0.716883116883117</v>
      </c>
      <c r="G33" s="45"/>
      <c r="H33" s="73" t="n">
        <v>36</v>
      </c>
      <c r="I33" s="74" t="n">
        <v>3.5</v>
      </c>
      <c r="J33" s="77" t="n">
        <f aca="false">INT(H33*I33)</f>
        <v>126</v>
      </c>
      <c r="K33" s="69" t="n">
        <v>18</v>
      </c>
      <c r="L33" s="69" t="n">
        <f aca="false">INT((H33-K33)*I33)</f>
        <v>63</v>
      </c>
      <c r="M33" s="69" t="n">
        <f aca="false">INT((L33*1000)/54.5)</f>
        <v>1155</v>
      </c>
      <c r="N33" s="69" t="n">
        <f aca="false">SUM(AC33)</f>
        <v>147</v>
      </c>
      <c r="O33" s="48" t="n">
        <f aca="false">(E33+N33)/M33</f>
        <v>0.844155844155844</v>
      </c>
      <c r="P33" s="45"/>
      <c r="Q33" s="75" t="n">
        <f aca="false">SUM(AE33:BG33)</f>
        <v>113.9</v>
      </c>
      <c r="R33" s="50"/>
      <c r="S33" s="76" t="n">
        <f aca="false">SUM(E33+N33+Q33)</f>
        <v>1088.9</v>
      </c>
      <c r="T33" s="52"/>
      <c r="U33" s="77" t="n">
        <f aca="false">SUM(M33-S33)</f>
        <v>66.0999999999999</v>
      </c>
      <c r="V33" s="54"/>
      <c r="W33" s="203" t="n">
        <f aca="false">S33/M33</f>
        <v>0.942770562770563</v>
      </c>
      <c r="X33" s="197"/>
      <c r="Y33" s="1" t="n">
        <f aca="false">W33</f>
        <v>0.942770562770563</v>
      </c>
      <c r="Z33" s="58"/>
      <c r="AA33" s="58"/>
      <c r="AB33" s="79" t="s">
        <v>53</v>
      </c>
      <c r="AC33" s="80" t="n">
        <v>147</v>
      </c>
      <c r="AD33" s="148" t="s">
        <v>99</v>
      </c>
      <c r="AE33" s="198" t="s">
        <v>99</v>
      </c>
      <c r="AF33" s="148"/>
      <c r="AG33" s="204"/>
      <c r="AH33" s="148" t="s">
        <v>63</v>
      </c>
      <c r="AI33" s="198" t="n">
        <v>13.9</v>
      </c>
      <c r="AJ33" s="148" t="s">
        <v>96</v>
      </c>
      <c r="AK33" s="199" t="n">
        <v>31</v>
      </c>
      <c r="AL33" s="148" t="s">
        <v>97</v>
      </c>
      <c r="AM33" s="200" t="n">
        <v>7</v>
      </c>
      <c r="AN33" s="148"/>
      <c r="AO33" s="200" t="n">
        <v>62</v>
      </c>
      <c r="AP33" s="148"/>
      <c r="AQ33" s="198"/>
      <c r="AR33" s="81"/>
      <c r="AS33" s="82"/>
      <c r="AT33" s="81"/>
      <c r="AU33" s="82"/>
      <c r="AV33" s="81"/>
      <c r="AW33" s="82"/>
      <c r="AX33" s="81"/>
      <c r="AY33" s="82"/>
      <c r="AZ33" s="81"/>
      <c r="BA33" s="82"/>
      <c r="BB33" s="81"/>
      <c r="BC33" s="82"/>
      <c r="BD33" s="81"/>
      <c r="BE33" s="82"/>
      <c r="BF33" s="81"/>
      <c r="BG33" s="83"/>
    </row>
    <row r="34" customFormat="false" ht="12.6" hidden="false" customHeight="true" outlineLevel="0" collapsed="false">
      <c r="A34" s="143" t="s">
        <v>93</v>
      </c>
      <c r="B34" s="69" t="s">
        <v>100</v>
      </c>
      <c r="C34" s="70" t="s">
        <v>39</v>
      </c>
      <c r="D34" s="144" t="n">
        <v>758</v>
      </c>
      <c r="E34" s="144" t="n">
        <v>758</v>
      </c>
      <c r="F34" s="157" t="n">
        <f aca="false">E34/M34</f>
        <v>0.656277056277056</v>
      </c>
      <c r="G34" s="45"/>
      <c r="H34" s="73" t="n">
        <v>36</v>
      </c>
      <c r="I34" s="74" t="n">
        <v>3.5</v>
      </c>
      <c r="J34" s="77" t="n">
        <f aca="false">INT(H34*I34)</f>
        <v>126</v>
      </c>
      <c r="K34" s="69" t="n">
        <v>18</v>
      </c>
      <c r="L34" s="69" t="n">
        <f aca="false">INT((H34-K34)*I34)</f>
        <v>63</v>
      </c>
      <c r="M34" s="69" t="n">
        <f aca="false">INT((L34*1000)/54.5)</f>
        <v>1155</v>
      </c>
      <c r="N34" s="69" t="n">
        <f aca="false">SUM(AC34)</f>
        <v>228</v>
      </c>
      <c r="O34" s="48" t="n">
        <f aca="false">(E34+N34)/M34</f>
        <v>0.853679653679654</v>
      </c>
      <c r="P34" s="45"/>
      <c r="Q34" s="75" t="n">
        <f aca="false">SUM(AE34:BG34)</f>
        <v>78.9</v>
      </c>
      <c r="R34" s="50"/>
      <c r="S34" s="76" t="n">
        <f aca="false">SUM(E34+N34+Q34)</f>
        <v>1064.9</v>
      </c>
      <c r="T34" s="52"/>
      <c r="U34" s="77" t="n">
        <f aca="false">SUM(M34-S34)</f>
        <v>90.0999999999999</v>
      </c>
      <c r="V34" s="54"/>
      <c r="W34" s="203" t="n">
        <f aca="false">S34/M34</f>
        <v>0.921991341991342</v>
      </c>
      <c r="X34" s="197"/>
      <c r="Y34" s="1" t="n">
        <f aca="false">W34</f>
        <v>0.921991341991342</v>
      </c>
      <c r="Z34" s="58"/>
      <c r="AA34" s="58"/>
      <c r="AB34" s="79" t="s">
        <v>53</v>
      </c>
      <c r="AC34" s="80" t="n">
        <v>228</v>
      </c>
      <c r="AD34" s="148" t="s">
        <v>101</v>
      </c>
      <c r="AE34" s="198" t="n">
        <v>9</v>
      </c>
      <c r="AF34" s="148" t="s">
        <v>95</v>
      </c>
      <c r="AG34" s="204" t="n">
        <v>18</v>
      </c>
      <c r="AH34" s="148" t="s">
        <v>63</v>
      </c>
      <c r="AI34" s="198" t="n">
        <v>13.9</v>
      </c>
      <c r="AJ34" s="148" t="s">
        <v>96</v>
      </c>
      <c r="AK34" s="199" t="n">
        <v>31</v>
      </c>
      <c r="AL34" s="148" t="s">
        <v>97</v>
      </c>
      <c r="AM34" s="200" t="n">
        <v>7</v>
      </c>
      <c r="AN34" s="148"/>
      <c r="AO34" s="200"/>
      <c r="AP34" s="205"/>
      <c r="AQ34" s="206"/>
      <c r="AR34" s="81"/>
      <c r="AS34" s="82"/>
      <c r="AT34" s="81"/>
      <c r="AU34" s="82"/>
      <c r="AV34" s="81"/>
      <c r="AW34" s="82"/>
      <c r="AX34" s="81"/>
      <c r="AY34" s="82"/>
      <c r="AZ34" s="81"/>
      <c r="BA34" s="82"/>
      <c r="BB34" s="81"/>
      <c r="BC34" s="82"/>
      <c r="BD34" s="81"/>
      <c r="BE34" s="82"/>
      <c r="BF34" s="81"/>
      <c r="BG34" s="83"/>
    </row>
    <row r="35" customFormat="false" ht="15" hidden="false" customHeight="true" outlineLevel="0" collapsed="false">
      <c r="A35" s="90" t="s">
        <v>93</v>
      </c>
      <c r="B35" s="35" t="s">
        <v>102</v>
      </c>
      <c r="C35" s="162" t="s">
        <v>39</v>
      </c>
      <c r="D35" s="36" t="n">
        <v>760</v>
      </c>
      <c r="E35" s="36" t="n">
        <v>758</v>
      </c>
      <c r="F35" s="207" t="n">
        <f aca="false">E35/M35</f>
        <v>0.656277056277056</v>
      </c>
      <c r="G35" s="92" t="n">
        <f aca="false">G32/'Building Capability'!$D$8</f>
        <v>0.665134408602151</v>
      </c>
      <c r="H35" s="164" t="n">
        <v>36</v>
      </c>
      <c r="I35" s="165" t="n">
        <v>3.5</v>
      </c>
      <c r="J35" s="36" t="n">
        <f aca="false">INT(H35*I35)</f>
        <v>126</v>
      </c>
      <c r="K35" s="35" t="n">
        <v>18</v>
      </c>
      <c r="L35" s="35" t="n">
        <f aca="false">INT((H35-K35)*I35)</f>
        <v>63</v>
      </c>
      <c r="M35" s="35" t="n">
        <f aca="false">INT((L35*1000)/54.5)</f>
        <v>1155</v>
      </c>
      <c r="N35" s="69" t="n">
        <f aca="false">SUM(AC35)</f>
        <v>232</v>
      </c>
      <c r="O35" s="166" t="n">
        <f aca="false">(E35+N35)/M35</f>
        <v>0.857142857142857</v>
      </c>
      <c r="P35" s="92" t="n">
        <f aca="false">P32/'Building Capability'!$D$8</f>
        <v>0.212491397849462</v>
      </c>
      <c r="Q35" s="167" t="n">
        <f aca="false">SUM(AE35:BG35)</f>
        <v>20.9</v>
      </c>
      <c r="R35" s="208" t="n">
        <f aca="false">R32/'Building Capability'!$D$8</f>
        <v>0.0451939784946237</v>
      </c>
      <c r="S35" s="76" t="n">
        <f aca="false">SUM(E35+N35+Q35)</f>
        <v>1010.9</v>
      </c>
      <c r="T35" s="209" t="n">
        <f aca="false">T32/'Building Capability'!$D$8</f>
        <v>0.922819784946237</v>
      </c>
      <c r="U35" s="77" t="n">
        <f aca="false">SUM(M35-S35)</f>
        <v>144.1</v>
      </c>
      <c r="V35" s="149" t="n">
        <f aca="false">V32/'Building Capability'!$D$8</f>
        <v>0.0765812903225806</v>
      </c>
      <c r="W35" s="203" t="n">
        <f aca="false">S35/M35</f>
        <v>0.875238095238095</v>
      </c>
      <c r="X35" s="197"/>
      <c r="Y35" s="1" t="n">
        <f aca="false">W35</f>
        <v>0.875238095238095</v>
      </c>
      <c r="Z35" s="58"/>
      <c r="AA35" s="58"/>
      <c r="AB35" s="79" t="s">
        <v>53</v>
      </c>
      <c r="AC35" s="80" t="n">
        <v>232</v>
      </c>
      <c r="AD35" s="148"/>
      <c r="AE35" s="198"/>
      <c r="AF35" s="148"/>
      <c r="AG35" s="199"/>
      <c r="AH35" s="148" t="s">
        <v>63</v>
      </c>
      <c r="AI35" s="198" t="n">
        <v>13.9</v>
      </c>
      <c r="AJ35" s="148" t="s">
        <v>99</v>
      </c>
      <c r="AK35" s="199" t="s">
        <v>99</v>
      </c>
      <c r="AL35" s="210" t="s">
        <v>97</v>
      </c>
      <c r="AM35" s="211" t="n">
        <v>7</v>
      </c>
      <c r="AN35" s="210"/>
      <c r="AO35" s="211"/>
      <c r="AP35" s="205"/>
      <c r="AQ35" s="206"/>
      <c r="AR35" s="81"/>
      <c r="AS35" s="82"/>
      <c r="AT35" s="81"/>
      <c r="AU35" s="82"/>
      <c r="AV35" s="81"/>
      <c r="AW35" s="82"/>
      <c r="AX35" s="81"/>
      <c r="AY35" s="82"/>
      <c r="AZ35" s="81"/>
      <c r="BA35" s="82"/>
      <c r="BB35" s="81"/>
      <c r="BC35" s="82"/>
      <c r="BD35" s="81"/>
      <c r="BE35" s="82"/>
      <c r="BF35" s="81"/>
      <c r="BG35" s="83"/>
    </row>
    <row r="36" customFormat="false" ht="13.15" hidden="false" customHeight="false" outlineLevel="0" collapsed="false">
      <c r="A36" s="143" t="s">
        <v>93</v>
      </c>
      <c r="B36" s="69" t="s">
        <v>103</v>
      </c>
      <c r="C36" s="70" t="s">
        <v>39</v>
      </c>
      <c r="D36" s="77" t="n">
        <v>760</v>
      </c>
      <c r="E36" s="77" t="n">
        <v>761</v>
      </c>
      <c r="F36" s="72" t="n">
        <f aca="false">E36/M36</f>
        <v>0.658874458874459</v>
      </c>
      <c r="G36" s="92"/>
      <c r="H36" s="73" t="n">
        <v>36</v>
      </c>
      <c r="I36" s="74" t="n">
        <v>3.5</v>
      </c>
      <c r="J36" s="77" t="n">
        <f aca="false">INT(H36*I36)</f>
        <v>126</v>
      </c>
      <c r="K36" s="69" t="n">
        <v>18</v>
      </c>
      <c r="L36" s="69" t="n">
        <f aca="false">INT((H36-K36)*I36)</f>
        <v>63</v>
      </c>
      <c r="M36" s="69" t="n">
        <f aca="false">INT((L36*1000)/54.5)</f>
        <v>1155</v>
      </c>
      <c r="N36" s="69" t="n">
        <f aca="false">SUM(AC36)</f>
        <v>180</v>
      </c>
      <c r="O36" s="48" t="n">
        <f aca="false">(E36+N36)/M36</f>
        <v>0.814718614718615</v>
      </c>
      <c r="P36" s="92"/>
      <c r="Q36" s="75" t="n">
        <f aca="false">SUM(AE36:BG36)</f>
        <v>0</v>
      </c>
      <c r="R36" s="208"/>
      <c r="S36" s="76" t="n">
        <f aca="false">SUM(E36+N36+Q36)</f>
        <v>941</v>
      </c>
      <c r="T36" s="209"/>
      <c r="U36" s="77" t="n">
        <f aca="false">SUM(M36-S36)</f>
        <v>214</v>
      </c>
      <c r="V36" s="149"/>
      <c r="W36" s="212" t="n">
        <f aca="false">S36/M36</f>
        <v>0.814718614718615</v>
      </c>
      <c r="X36" s="197"/>
      <c r="Y36" s="115" t="n">
        <f aca="false">W36</f>
        <v>0.814718614718615</v>
      </c>
      <c r="Z36" s="58"/>
      <c r="AA36" s="58"/>
      <c r="AB36" s="79" t="s">
        <v>53</v>
      </c>
      <c r="AC36" s="80" t="n">
        <v>180</v>
      </c>
      <c r="AD36" s="213"/>
      <c r="AE36" s="214"/>
      <c r="AF36" s="148"/>
      <c r="AG36" s="204"/>
      <c r="AH36" s="148"/>
      <c r="AI36" s="204"/>
      <c r="AJ36" s="148"/>
      <c r="AK36" s="204"/>
      <c r="AL36" s="210"/>
      <c r="AM36" s="204"/>
      <c r="AN36" s="210"/>
      <c r="AO36" s="204"/>
      <c r="AP36" s="81"/>
      <c r="AQ36" s="82"/>
      <c r="AR36" s="81"/>
      <c r="AS36" s="82"/>
      <c r="AT36" s="81"/>
      <c r="AU36" s="82"/>
      <c r="AV36" s="81"/>
      <c r="AW36" s="82"/>
      <c r="AX36" s="81"/>
      <c r="AY36" s="82"/>
      <c r="AZ36" s="81"/>
      <c r="BA36" s="82"/>
      <c r="BB36" s="81"/>
      <c r="BC36" s="82"/>
      <c r="BD36" s="81"/>
      <c r="BE36" s="82"/>
      <c r="BF36" s="81"/>
      <c r="BG36" s="83"/>
    </row>
    <row r="37" customFormat="false" ht="13.5" hidden="false" customHeight="true" outlineLevel="0" collapsed="false">
      <c r="A37" s="68" t="s">
        <v>93</v>
      </c>
      <c r="B37" s="127" t="s">
        <v>104</v>
      </c>
      <c r="C37" s="128" t="s">
        <v>105</v>
      </c>
      <c r="D37" s="215" t="n">
        <v>981</v>
      </c>
      <c r="E37" s="215" t="n">
        <v>983</v>
      </c>
      <c r="F37" s="134" t="n">
        <f aca="false">E37/M37</f>
        <v>0.714389534883721</v>
      </c>
      <c r="G37" s="92"/>
      <c r="H37" s="216" t="n">
        <v>51</v>
      </c>
      <c r="I37" s="217" t="n">
        <v>3</v>
      </c>
      <c r="J37" s="218" t="n">
        <f aca="false">INT(H37*I37)</f>
        <v>153</v>
      </c>
      <c r="K37" s="216" t="n">
        <v>26</v>
      </c>
      <c r="L37" s="219" t="n">
        <f aca="false">INT((H37-K37)*I37)</f>
        <v>75</v>
      </c>
      <c r="M37" s="220" t="n">
        <f aca="false">INT((L37*1000)/54.5)</f>
        <v>1376</v>
      </c>
      <c r="N37" s="220" t="n">
        <f aca="false">SUM(AC37)</f>
        <v>429</v>
      </c>
      <c r="O37" s="221" t="n">
        <f aca="false">(E37+N37)/M37</f>
        <v>1.02616279069767</v>
      </c>
      <c r="P37" s="92"/>
      <c r="Q37" s="222" t="n">
        <f aca="false">SUM(AE37:BG37)</f>
        <v>0</v>
      </c>
      <c r="R37" s="208"/>
      <c r="S37" s="223" t="n">
        <f aca="false">SUM(E37+N37+Q37)</f>
        <v>1412</v>
      </c>
      <c r="T37" s="209"/>
      <c r="U37" s="224" t="n">
        <f aca="false">SUM(M37-S37)</f>
        <v>-36</v>
      </c>
      <c r="V37" s="149"/>
      <c r="W37" s="203" t="n">
        <f aca="false">S37/M37</f>
        <v>1.02616279069767</v>
      </c>
      <c r="X37" s="197"/>
      <c r="Z37" s="58"/>
      <c r="AA37" s="225"/>
      <c r="AB37" s="79" t="s">
        <v>53</v>
      </c>
      <c r="AC37" s="80" t="n">
        <v>429</v>
      </c>
      <c r="AD37" s="98"/>
      <c r="AE37" s="99"/>
      <c r="AF37" s="148"/>
      <c r="AG37" s="199"/>
      <c r="AH37" s="210" t="s">
        <v>99</v>
      </c>
      <c r="AI37" s="204" t="s">
        <v>99</v>
      </c>
      <c r="AJ37" s="210" t="s">
        <v>99</v>
      </c>
      <c r="AK37" s="204" t="s">
        <v>99</v>
      </c>
      <c r="AL37" s="210"/>
      <c r="AM37" s="200"/>
      <c r="AN37" s="210"/>
      <c r="AO37" s="200"/>
      <c r="AP37" s="81"/>
      <c r="AQ37" s="82"/>
      <c r="AR37" s="81"/>
      <c r="AS37" s="82"/>
      <c r="AT37" s="81"/>
      <c r="AU37" s="82"/>
      <c r="AV37" s="81"/>
      <c r="AW37" s="82"/>
      <c r="AX37" s="81"/>
      <c r="AY37" s="82"/>
      <c r="AZ37" s="81"/>
      <c r="BA37" s="82"/>
      <c r="BB37" s="81"/>
      <c r="BC37" s="82"/>
      <c r="BD37" s="81"/>
      <c r="BE37" s="82"/>
      <c r="BF37" s="81"/>
      <c r="BG37" s="83"/>
    </row>
    <row r="38" customFormat="false" ht="13.15" hidden="false" customHeight="false" outlineLevel="0" collapsed="false">
      <c r="A38" s="226" t="s">
        <v>93</v>
      </c>
      <c r="B38" s="227" t="s">
        <v>106</v>
      </c>
      <c r="C38" s="228" t="s">
        <v>105</v>
      </c>
      <c r="D38" s="229" t="n">
        <v>921</v>
      </c>
      <c r="E38" s="229" t="n">
        <v>922</v>
      </c>
      <c r="F38" s="230" t="n">
        <f aca="false">E38/M38</f>
        <v>0.670058139534884</v>
      </c>
      <c r="G38" s="92"/>
      <c r="H38" s="231" t="n">
        <v>51</v>
      </c>
      <c r="I38" s="232" t="n">
        <v>3</v>
      </c>
      <c r="J38" s="233" t="n">
        <f aca="false">INT(H38*I38)</f>
        <v>153</v>
      </c>
      <c r="K38" s="231" t="n">
        <v>26</v>
      </c>
      <c r="L38" s="219" t="n">
        <f aca="false">INT((H38-K38)*I38)</f>
        <v>75</v>
      </c>
      <c r="M38" s="231" t="n">
        <f aca="false">INT((L38*1000)/54.5)</f>
        <v>1376</v>
      </c>
      <c r="N38" s="231" t="n">
        <f aca="false">SUM(AC38)</f>
        <v>463</v>
      </c>
      <c r="O38" s="110" t="n">
        <f aca="false">(E38+N38)/M38</f>
        <v>1.00654069767442</v>
      </c>
      <c r="P38" s="92"/>
      <c r="Q38" s="222" t="n">
        <f aca="false">SUM(AE38:BG38)</f>
        <v>0</v>
      </c>
      <c r="R38" s="208"/>
      <c r="S38" s="223" t="n">
        <f aca="false">SUM(E38+N38+Q38)</f>
        <v>1385</v>
      </c>
      <c r="T38" s="209"/>
      <c r="U38" s="224" t="n">
        <f aca="false">SUM(M38-S38)</f>
        <v>-9</v>
      </c>
      <c r="V38" s="149"/>
      <c r="W38" s="234" t="n">
        <f aca="false">S38/M38</f>
        <v>1.00654069767442</v>
      </c>
      <c r="X38" s="197"/>
      <c r="Z38" s="58"/>
      <c r="AA38" s="225"/>
      <c r="AB38" s="79" t="s">
        <v>53</v>
      </c>
      <c r="AC38" s="80" t="n">
        <v>463</v>
      </c>
      <c r="AD38" s="118"/>
      <c r="AE38" s="119"/>
      <c r="AF38" s="148"/>
      <c r="AG38" s="199"/>
      <c r="AH38" s="210" t="s">
        <v>99</v>
      </c>
      <c r="AI38" s="204" t="s">
        <v>99</v>
      </c>
      <c r="AJ38" s="210" t="s">
        <v>99</v>
      </c>
      <c r="AK38" s="204" t="s">
        <v>99</v>
      </c>
      <c r="AL38" s="210"/>
      <c r="AM38" s="200"/>
      <c r="AN38" s="210"/>
      <c r="AO38" s="200"/>
      <c r="AP38" s="81"/>
      <c r="AQ38" s="82"/>
      <c r="AR38" s="81"/>
      <c r="AS38" s="82"/>
      <c r="AT38" s="81"/>
      <c r="AU38" s="82"/>
      <c r="AV38" s="81"/>
      <c r="AW38" s="82"/>
      <c r="AX38" s="81"/>
      <c r="AY38" s="82"/>
      <c r="AZ38" s="81"/>
      <c r="BA38" s="82"/>
      <c r="BB38" s="81"/>
      <c r="BC38" s="82"/>
      <c r="BD38" s="81"/>
      <c r="BE38" s="82"/>
      <c r="BF38" s="81"/>
      <c r="BG38" s="83"/>
    </row>
    <row r="39" customFormat="false" ht="13.5" hidden="false" customHeight="false" outlineLevel="0" collapsed="false">
      <c r="A39" s="40" t="s">
        <v>107</v>
      </c>
      <c r="B39" s="41" t="s">
        <v>108</v>
      </c>
      <c r="C39" s="42" t="s">
        <v>109</v>
      </c>
      <c r="D39" s="53" t="n">
        <v>726</v>
      </c>
      <c r="E39" s="53" t="n">
        <v>663</v>
      </c>
      <c r="F39" s="170" t="n">
        <f aca="false">E39/M39</f>
        <v>0.574025974025974</v>
      </c>
      <c r="G39" s="171" t="n">
        <f aca="false">SUM(E39:E46)*54.5/1000</f>
        <v>282.5825</v>
      </c>
      <c r="H39" s="46" t="n">
        <v>44</v>
      </c>
      <c r="I39" s="47" t="n">
        <v>3</v>
      </c>
      <c r="J39" s="41" t="n">
        <f aca="false">INT(H39*I39)</f>
        <v>132</v>
      </c>
      <c r="K39" s="41" t="n">
        <v>23</v>
      </c>
      <c r="L39" s="41" t="n">
        <f aca="false">INT((H39-K39)*I39)</f>
        <v>63</v>
      </c>
      <c r="M39" s="41" t="n">
        <f aca="false">INT((L39*1000)/54.5)</f>
        <v>1155</v>
      </c>
      <c r="N39" s="41" t="n">
        <f aca="false">SUM(AC39)</f>
        <v>20</v>
      </c>
      <c r="O39" s="173" t="n">
        <f aca="false">(E39+N39)/M39</f>
        <v>0.591341991341991</v>
      </c>
      <c r="P39" s="171" t="n">
        <f aca="false">SUM(N39:N46)*54.5/1000</f>
        <v>67.3075</v>
      </c>
      <c r="Q39" s="235" t="n">
        <f aca="false">SUM(AE39:BG39)</f>
        <v>84.7</v>
      </c>
      <c r="R39" s="50" t="n">
        <f aca="false">SUM(Q39:Q46)*54.5/1000</f>
        <v>11.6194</v>
      </c>
      <c r="S39" s="51" t="n">
        <f aca="false">SUM(E39+N39+Q39)</f>
        <v>767.7</v>
      </c>
      <c r="T39" s="52" t="n">
        <f aca="false">SUM(S39:S46)*54.5/1000</f>
        <v>361.5094</v>
      </c>
      <c r="U39" s="53" t="n">
        <f aca="false">SUM(M39-S39)</f>
        <v>387.3</v>
      </c>
      <c r="V39" s="54" t="n">
        <f aca="false">SUM(U39:U46)*54.5/1000</f>
        <v>100.1056</v>
      </c>
      <c r="W39" s="236" t="n">
        <f aca="false">S39/M39</f>
        <v>0.664675324675325</v>
      </c>
      <c r="X39" s="197" t="n">
        <f aca="false">(G39+P39+R39)/'Building Capability'!$D$9</f>
        <v>0.782487878787879</v>
      </c>
      <c r="Y39" s="57" t="n">
        <f aca="false">W39</f>
        <v>0.664675324675325</v>
      </c>
      <c r="Z39" s="175" t="n">
        <f aca="false">(G39+P39+R39)/'Building Capability'!$F$9</f>
        <v>0.782487878787879</v>
      </c>
      <c r="AA39" s="237" t="e">
        <f aca="false">((G39+P39)+SUM('inverter loading'!#ref!:'inverter loading'!#ref!))/'Building Capability'!$G$9</f>
        <v>#VALUE!</v>
      </c>
      <c r="AB39" s="60" t="s">
        <v>53</v>
      </c>
      <c r="AC39" s="238" t="n">
        <v>20</v>
      </c>
      <c r="AD39" s="239" t="s">
        <v>110</v>
      </c>
      <c r="AE39" s="240" t="n">
        <v>20</v>
      </c>
      <c r="AF39" s="201" t="s">
        <v>111</v>
      </c>
      <c r="AG39" s="202" t="n">
        <v>10</v>
      </c>
      <c r="AH39" s="201" t="s">
        <v>63</v>
      </c>
      <c r="AI39" s="202" t="n">
        <v>50</v>
      </c>
      <c r="AJ39" s="241" t="s">
        <v>112</v>
      </c>
      <c r="AK39" s="202" t="n">
        <v>4.7</v>
      </c>
      <c r="AL39" s="241"/>
      <c r="AM39" s="202"/>
      <c r="AN39" s="242"/>
      <c r="AO39" s="243"/>
      <c r="AP39" s="201"/>
      <c r="AQ39" s="202"/>
      <c r="AR39" s="242"/>
      <c r="AS39" s="244"/>
      <c r="AT39" s="242"/>
      <c r="AU39" s="244"/>
      <c r="AV39" s="242"/>
      <c r="AW39" s="244"/>
      <c r="AX39" s="242" t="s">
        <v>99</v>
      </c>
      <c r="AY39" s="63"/>
      <c r="AZ39" s="62"/>
      <c r="BA39" s="63"/>
      <c r="BB39" s="62"/>
      <c r="BC39" s="63"/>
      <c r="BD39" s="62"/>
      <c r="BE39" s="63"/>
      <c r="BF39" s="62"/>
      <c r="BG39" s="66"/>
    </row>
    <row r="40" customFormat="false" ht="14.85" hidden="false" customHeight="true" outlineLevel="0" collapsed="false">
      <c r="A40" s="143" t="s">
        <v>107</v>
      </c>
      <c r="B40" s="69" t="s">
        <v>113</v>
      </c>
      <c r="C40" s="70" t="s">
        <v>109</v>
      </c>
      <c r="D40" s="77" t="n">
        <v>737</v>
      </c>
      <c r="E40" s="77" t="n">
        <v>704</v>
      </c>
      <c r="F40" s="157" t="n">
        <f aca="false">E40/M40</f>
        <v>0.60952380952381</v>
      </c>
      <c r="G40" s="171"/>
      <c r="H40" s="73" t="n">
        <v>44</v>
      </c>
      <c r="I40" s="74" t="n">
        <v>3</v>
      </c>
      <c r="J40" s="69" t="n">
        <f aca="false">INT(H40*I40)</f>
        <v>132</v>
      </c>
      <c r="K40" s="69" t="n">
        <v>23</v>
      </c>
      <c r="L40" s="69" t="n">
        <f aca="false">INT((H40-K40)*I40)</f>
        <v>63</v>
      </c>
      <c r="M40" s="69" t="n">
        <f aca="false">INT((L40*1000)/54.5)</f>
        <v>1155</v>
      </c>
      <c r="N40" s="69" t="n">
        <f aca="false">SUM(AC40)</f>
        <v>56</v>
      </c>
      <c r="O40" s="48" t="n">
        <f aca="false">(E40+N40)/M40</f>
        <v>0.658008658008658</v>
      </c>
      <c r="P40" s="171"/>
      <c r="Q40" s="75" t="n">
        <f aca="false">SUM(AE40:BG40)</f>
        <v>33.7</v>
      </c>
      <c r="R40" s="50"/>
      <c r="S40" s="76" t="n">
        <f aca="false">SUM(E40+N40+Q40)</f>
        <v>793.7</v>
      </c>
      <c r="T40" s="52"/>
      <c r="U40" s="77" t="n">
        <f aca="false">SUM(M40-S40)</f>
        <v>361.3</v>
      </c>
      <c r="V40" s="54"/>
      <c r="W40" s="203" t="n">
        <f aca="false">S40/M40</f>
        <v>0.687186147186147</v>
      </c>
      <c r="X40" s="197"/>
      <c r="Y40" s="1" t="n">
        <f aca="false">W40</f>
        <v>0.687186147186147</v>
      </c>
      <c r="Z40" s="175"/>
      <c r="AA40" s="237"/>
      <c r="AB40" s="79" t="s">
        <v>53</v>
      </c>
      <c r="AC40" s="245" t="n">
        <v>56</v>
      </c>
      <c r="AD40" s="213" t="s">
        <v>110</v>
      </c>
      <c r="AE40" s="214" t="n">
        <v>19</v>
      </c>
      <c r="AF40" s="148" t="s">
        <v>114</v>
      </c>
      <c r="AG40" s="198" t="n">
        <v>10</v>
      </c>
      <c r="AH40" s="148"/>
      <c r="AI40" s="198"/>
      <c r="AJ40" s="210" t="s">
        <v>112</v>
      </c>
      <c r="AK40" s="200" t="n">
        <v>4.7</v>
      </c>
      <c r="AL40" s="210"/>
      <c r="AM40" s="200"/>
      <c r="AN40" s="210"/>
      <c r="AO40" s="200"/>
      <c r="AP40" s="148"/>
      <c r="AQ40" s="198"/>
      <c r="AR40" s="210"/>
      <c r="AS40" s="204"/>
      <c r="AT40" s="210"/>
      <c r="AU40" s="204"/>
      <c r="AV40" s="210"/>
      <c r="AW40" s="204"/>
      <c r="AX40" s="210" t="s">
        <v>99</v>
      </c>
      <c r="AY40" s="82"/>
      <c r="AZ40" s="81"/>
      <c r="BA40" s="82"/>
      <c r="BB40" s="81"/>
      <c r="BC40" s="82"/>
      <c r="BD40" s="81"/>
      <c r="BE40" s="82"/>
      <c r="BF40" s="81"/>
      <c r="BG40" s="83"/>
    </row>
    <row r="41" customFormat="false" ht="14.85" hidden="false" customHeight="true" outlineLevel="0" collapsed="false">
      <c r="A41" s="143" t="s">
        <v>107</v>
      </c>
      <c r="B41" s="69" t="s">
        <v>115</v>
      </c>
      <c r="C41" s="70" t="s">
        <v>109</v>
      </c>
      <c r="D41" s="77" t="n">
        <v>770</v>
      </c>
      <c r="E41" s="77" t="n">
        <v>751</v>
      </c>
      <c r="F41" s="72" t="n">
        <f aca="false">E41/M41</f>
        <v>0.65021645021645</v>
      </c>
      <c r="G41" s="171"/>
      <c r="H41" s="73" t="n">
        <v>44</v>
      </c>
      <c r="I41" s="74" t="n">
        <v>3</v>
      </c>
      <c r="J41" s="69" t="n">
        <f aca="false">INT(H41*I41)</f>
        <v>132</v>
      </c>
      <c r="K41" s="69" t="n">
        <v>23</v>
      </c>
      <c r="L41" s="69" t="n">
        <f aca="false">INT((H41-K41)*I41)</f>
        <v>63</v>
      </c>
      <c r="M41" s="69" t="n">
        <f aca="false">INT((L41*1000)/54.5)</f>
        <v>1155</v>
      </c>
      <c r="N41" s="69" t="n">
        <f aca="false">SUM(AC41)</f>
        <v>151</v>
      </c>
      <c r="O41" s="48" t="n">
        <f aca="false">(E41+N41)/M41</f>
        <v>0.780952380952381</v>
      </c>
      <c r="P41" s="171"/>
      <c r="Q41" s="75" t="n">
        <f aca="false">SUM(AE41:BG41)</f>
        <v>14.7</v>
      </c>
      <c r="R41" s="50"/>
      <c r="S41" s="76" t="n">
        <f aca="false">SUM(E41+N41+Q41)</f>
        <v>916.7</v>
      </c>
      <c r="T41" s="52"/>
      <c r="U41" s="77" t="n">
        <f aca="false">SUM(M41-S41)</f>
        <v>238.3</v>
      </c>
      <c r="V41" s="54"/>
      <c r="W41" s="203" t="n">
        <f aca="false">S41/M41</f>
        <v>0.793679653679654</v>
      </c>
      <c r="X41" s="197"/>
      <c r="Y41" s="1" t="n">
        <f aca="false">W41</f>
        <v>0.793679653679654</v>
      </c>
      <c r="Z41" s="175"/>
      <c r="AA41" s="237"/>
      <c r="AB41" s="79" t="s">
        <v>53</v>
      </c>
      <c r="AC41" s="245" t="n">
        <v>151</v>
      </c>
      <c r="AD41" s="210"/>
      <c r="AE41" s="200"/>
      <c r="AF41" s="210" t="s">
        <v>114</v>
      </c>
      <c r="AG41" s="211" t="n">
        <v>10</v>
      </c>
      <c r="AH41" s="210"/>
      <c r="AI41" s="211"/>
      <c r="AJ41" s="210" t="s">
        <v>112</v>
      </c>
      <c r="AK41" s="200" t="n">
        <v>4.7</v>
      </c>
      <c r="AL41" s="210"/>
      <c r="AM41" s="200"/>
      <c r="AN41" s="210"/>
      <c r="AO41" s="200"/>
      <c r="AP41" s="148"/>
      <c r="AQ41" s="198"/>
      <c r="AR41" s="210"/>
      <c r="AS41" s="204"/>
      <c r="AT41" s="210"/>
      <c r="AU41" s="204"/>
      <c r="AV41" s="210"/>
      <c r="AW41" s="204"/>
      <c r="AX41" s="210" t="s">
        <v>99</v>
      </c>
      <c r="AY41" s="82"/>
      <c r="AZ41" s="81"/>
      <c r="BA41" s="82"/>
      <c r="BB41" s="81"/>
      <c r="BC41" s="82"/>
      <c r="BD41" s="81"/>
      <c r="BE41" s="82"/>
      <c r="BF41" s="81"/>
      <c r="BG41" s="83"/>
    </row>
    <row r="42" customFormat="false" ht="14.1" hidden="false" customHeight="true" outlineLevel="0" collapsed="false">
      <c r="A42" s="143" t="s">
        <v>107</v>
      </c>
      <c r="B42" s="69" t="s">
        <v>116</v>
      </c>
      <c r="C42" s="70" t="s">
        <v>109</v>
      </c>
      <c r="D42" s="77" t="n">
        <v>761</v>
      </c>
      <c r="E42" s="77" t="n">
        <v>740</v>
      </c>
      <c r="F42" s="157" t="n">
        <f aca="false">E42/M42</f>
        <v>0.640692640692641</v>
      </c>
      <c r="G42" s="246" t="n">
        <f aca="false">G39/'Building Capability'!$D$9</f>
        <v>0.611650432900433</v>
      </c>
      <c r="H42" s="73" t="n">
        <v>44</v>
      </c>
      <c r="I42" s="74" t="n">
        <v>3</v>
      </c>
      <c r="J42" s="69" t="n">
        <f aca="false">INT(H42*I42)</f>
        <v>132</v>
      </c>
      <c r="K42" s="69" t="n">
        <v>23</v>
      </c>
      <c r="L42" s="69" t="n">
        <f aca="false">INT((H42-K42)*I42)</f>
        <v>63</v>
      </c>
      <c r="M42" s="69" t="n">
        <f aca="false">INT((L42*1000)/54.5)</f>
        <v>1155</v>
      </c>
      <c r="N42" s="69" t="n">
        <f aca="false">SUM(AC42)</f>
        <v>159</v>
      </c>
      <c r="O42" s="48" t="n">
        <f aca="false">(E42+N42)/M42</f>
        <v>0.778354978354978</v>
      </c>
      <c r="P42" s="247" t="n">
        <f aca="false">P39/'Building Capability'!$D$9</f>
        <v>0.145687229437229</v>
      </c>
      <c r="Q42" s="75" t="n">
        <f aca="false">SUM(AE42:BG42)</f>
        <v>14.7</v>
      </c>
      <c r="R42" s="248" t="n">
        <f aca="false">R39/'Building Capability'!$D$9</f>
        <v>0.0251502164502164</v>
      </c>
      <c r="S42" s="249" t="n">
        <f aca="false">SUM(E42+N42+Q42)</f>
        <v>913.7</v>
      </c>
      <c r="T42" s="94" t="n">
        <f aca="false">T39/'Building Capability'!$D$9</f>
        <v>0.782487878787879</v>
      </c>
      <c r="U42" s="77" t="n">
        <f aca="false">SUM(M42-S42)</f>
        <v>241.3</v>
      </c>
      <c r="V42" s="93" t="n">
        <f aca="false">V39/'Building Capability'!$D$9</f>
        <v>0.216678787878788</v>
      </c>
      <c r="W42" s="203" t="n">
        <f aca="false">S42/M42</f>
        <v>0.791082251082251</v>
      </c>
      <c r="X42" s="197"/>
      <c r="Y42" s="1" t="n">
        <f aca="false">W42</f>
        <v>0.791082251082251</v>
      </c>
      <c r="Z42" s="175"/>
      <c r="AA42" s="237"/>
      <c r="AB42" s="79" t="s">
        <v>53</v>
      </c>
      <c r="AC42" s="245" t="n">
        <v>159</v>
      </c>
      <c r="AD42" s="148" t="s">
        <v>114</v>
      </c>
      <c r="AE42" s="198" t="n">
        <v>10</v>
      </c>
      <c r="AF42" s="148"/>
      <c r="AG42" s="198"/>
      <c r="AH42" s="210"/>
      <c r="AI42" s="211"/>
      <c r="AJ42" s="210" t="s">
        <v>112</v>
      </c>
      <c r="AK42" s="200" t="n">
        <v>4.7</v>
      </c>
      <c r="AL42" s="210"/>
      <c r="AM42" s="200"/>
      <c r="AN42" s="210"/>
      <c r="AO42" s="200"/>
      <c r="AP42" s="148"/>
      <c r="AQ42" s="198"/>
      <c r="AR42" s="210"/>
      <c r="AS42" s="204"/>
      <c r="AT42" s="210"/>
      <c r="AU42" s="204"/>
      <c r="AV42" s="210"/>
      <c r="AW42" s="204"/>
      <c r="AX42" s="210" t="s">
        <v>99</v>
      </c>
      <c r="AY42" s="82"/>
      <c r="AZ42" s="81"/>
      <c r="BA42" s="82"/>
      <c r="BB42" s="81"/>
      <c r="BC42" s="82"/>
      <c r="BD42" s="81"/>
      <c r="BE42" s="82"/>
      <c r="BF42" s="81"/>
      <c r="BG42" s="83"/>
    </row>
    <row r="43" customFormat="false" ht="12" hidden="false" customHeight="true" outlineLevel="0" collapsed="false">
      <c r="A43" s="143" t="s">
        <v>107</v>
      </c>
      <c r="B43" s="69" t="s">
        <v>117</v>
      </c>
      <c r="C43" s="70" t="s">
        <v>109</v>
      </c>
      <c r="D43" s="77" t="n">
        <v>800</v>
      </c>
      <c r="E43" s="77" t="n">
        <v>774</v>
      </c>
      <c r="F43" s="157" t="n">
        <f aca="false">E43/M43</f>
        <v>0.67012987012987</v>
      </c>
      <c r="G43" s="246"/>
      <c r="H43" s="73" t="n">
        <v>44</v>
      </c>
      <c r="I43" s="74" t="n">
        <v>3</v>
      </c>
      <c r="J43" s="69" t="n">
        <f aca="false">INT(H43*I43)</f>
        <v>132</v>
      </c>
      <c r="K43" s="69" t="n">
        <v>23</v>
      </c>
      <c r="L43" s="69" t="n">
        <f aca="false">INT((H43-K43)*I43)</f>
        <v>63</v>
      </c>
      <c r="M43" s="69" t="n">
        <f aca="false">INT((L43*1000)/54.5)</f>
        <v>1155</v>
      </c>
      <c r="N43" s="69" t="n">
        <f aca="false">SUM(AC43)</f>
        <v>104</v>
      </c>
      <c r="O43" s="48" t="n">
        <f aca="false">(E43+N43)/M43</f>
        <v>0.76017316017316</v>
      </c>
      <c r="P43" s="247"/>
      <c r="Q43" s="75" t="n">
        <f aca="false">SUM(AE43:BG43)</f>
        <v>32.7</v>
      </c>
      <c r="R43" s="248"/>
      <c r="S43" s="249" t="n">
        <f aca="false">SUM(E43+N43+Q43)</f>
        <v>910.7</v>
      </c>
      <c r="T43" s="94"/>
      <c r="U43" s="77" t="n">
        <f aca="false">SUM(M43-S43)</f>
        <v>244.3</v>
      </c>
      <c r="V43" s="93"/>
      <c r="W43" s="203" t="n">
        <f aca="false">S43/M43</f>
        <v>0.788484848484849</v>
      </c>
      <c r="X43" s="197"/>
      <c r="Y43" s="1" t="n">
        <f aca="false">W43</f>
        <v>0.788484848484849</v>
      </c>
      <c r="Z43" s="175"/>
      <c r="AA43" s="237"/>
      <c r="AB43" s="79" t="s">
        <v>53</v>
      </c>
      <c r="AC43" s="245" t="n">
        <v>104</v>
      </c>
      <c r="AD43" s="148" t="s">
        <v>114</v>
      </c>
      <c r="AE43" s="198" t="n">
        <v>10</v>
      </c>
      <c r="AF43" s="148" t="s">
        <v>72</v>
      </c>
      <c r="AG43" s="198" t="n">
        <v>18</v>
      </c>
      <c r="AH43" s="210"/>
      <c r="AI43" s="211"/>
      <c r="AJ43" s="210" t="s">
        <v>112</v>
      </c>
      <c r="AK43" s="200" t="n">
        <v>4.7</v>
      </c>
      <c r="AL43" s="210"/>
      <c r="AM43" s="200"/>
      <c r="AN43" s="210"/>
      <c r="AO43" s="200"/>
      <c r="AP43" s="148"/>
      <c r="AQ43" s="198"/>
      <c r="AR43" s="210"/>
      <c r="AS43" s="204"/>
      <c r="AT43" s="210"/>
      <c r="AU43" s="204"/>
      <c r="AV43" s="210"/>
      <c r="AW43" s="204"/>
      <c r="AX43" s="210" t="s">
        <v>99</v>
      </c>
      <c r="AY43" s="82"/>
      <c r="AZ43" s="81"/>
      <c r="BA43" s="82"/>
      <c r="BB43" s="81"/>
      <c r="BC43" s="82"/>
      <c r="BD43" s="81"/>
      <c r="BE43" s="82"/>
      <c r="BF43" s="81"/>
      <c r="BG43" s="83"/>
    </row>
    <row r="44" customFormat="false" ht="14.85" hidden="false" customHeight="true" outlineLevel="0" collapsed="false">
      <c r="A44" s="143" t="s">
        <v>107</v>
      </c>
      <c r="B44" s="69" t="s">
        <v>118</v>
      </c>
      <c r="C44" s="70" t="s">
        <v>109</v>
      </c>
      <c r="D44" s="77" t="n">
        <v>847</v>
      </c>
      <c r="E44" s="77" t="n">
        <v>790</v>
      </c>
      <c r="F44" s="157" t="n">
        <f aca="false">E44/M44</f>
        <v>0.683982683982684</v>
      </c>
      <c r="G44" s="246"/>
      <c r="H44" s="73" t="n">
        <v>44</v>
      </c>
      <c r="I44" s="74" t="n">
        <v>3</v>
      </c>
      <c r="J44" s="69" t="n">
        <f aca="false">INT(H44*I44)</f>
        <v>132</v>
      </c>
      <c r="K44" s="69" t="n">
        <v>23</v>
      </c>
      <c r="L44" s="69" t="n">
        <f aca="false">INT((H44-K44)*I44)</f>
        <v>63</v>
      </c>
      <c r="M44" s="69" t="n">
        <f aca="false">INT((L44*1000)/54.5)</f>
        <v>1155</v>
      </c>
      <c r="N44" s="69" t="n">
        <f aca="false">SUM(AC44)</f>
        <v>187</v>
      </c>
      <c r="O44" s="48" t="n">
        <f aca="false">(E44+N44)/M44</f>
        <v>0.845887445887446</v>
      </c>
      <c r="P44" s="247"/>
      <c r="Q44" s="75" t="n">
        <f aca="false">SUM(AE44:BG44)</f>
        <v>32.7</v>
      </c>
      <c r="R44" s="248"/>
      <c r="S44" s="249" t="n">
        <f aca="false">SUM(E44+N44+Q44)</f>
        <v>1009.7</v>
      </c>
      <c r="T44" s="94"/>
      <c r="U44" s="77" t="n">
        <f aca="false">SUM(M44-S44)</f>
        <v>145.3</v>
      </c>
      <c r="V44" s="93"/>
      <c r="W44" s="203" t="n">
        <f aca="false">S44/M44</f>
        <v>0.874199134199134</v>
      </c>
      <c r="X44" s="197"/>
      <c r="Y44" s="115" t="n">
        <f aca="false">W44</f>
        <v>0.874199134199134</v>
      </c>
      <c r="Z44" s="175"/>
      <c r="AA44" s="237"/>
      <c r="AB44" s="79" t="s">
        <v>53</v>
      </c>
      <c r="AC44" s="245" t="n">
        <v>187</v>
      </c>
      <c r="AD44" s="148" t="s">
        <v>114</v>
      </c>
      <c r="AE44" s="198" t="n">
        <v>10</v>
      </c>
      <c r="AF44" s="148" t="s">
        <v>72</v>
      </c>
      <c r="AG44" s="198" t="n">
        <v>18</v>
      </c>
      <c r="AH44" s="210"/>
      <c r="AI44" s="211"/>
      <c r="AJ44" s="210" t="s">
        <v>112</v>
      </c>
      <c r="AK44" s="200" t="n">
        <v>4.7</v>
      </c>
      <c r="AL44" s="210"/>
      <c r="AM44" s="200"/>
      <c r="AN44" s="210"/>
      <c r="AO44" s="200"/>
      <c r="AP44" s="148"/>
      <c r="AQ44" s="198"/>
      <c r="AR44" s="210"/>
      <c r="AS44" s="204"/>
      <c r="AT44" s="210"/>
      <c r="AU44" s="204"/>
      <c r="AV44" s="210"/>
      <c r="AW44" s="204"/>
      <c r="AX44" s="210" t="s">
        <v>99</v>
      </c>
      <c r="AY44" s="82"/>
      <c r="AZ44" s="81"/>
      <c r="BA44" s="82"/>
      <c r="BB44" s="81"/>
      <c r="BC44" s="82"/>
      <c r="BD44" s="81"/>
      <c r="BE44" s="82"/>
      <c r="BF44" s="81"/>
      <c r="BG44" s="83"/>
    </row>
    <row r="45" customFormat="false" ht="13.35" hidden="false" customHeight="true" outlineLevel="0" collapsed="false">
      <c r="A45" s="250" t="s">
        <v>107</v>
      </c>
      <c r="B45" s="251" t="s">
        <v>119</v>
      </c>
      <c r="C45" s="252" t="s">
        <v>105</v>
      </c>
      <c r="D45" s="127" t="n">
        <v>384</v>
      </c>
      <c r="E45" s="127" t="n">
        <v>381</v>
      </c>
      <c r="F45" s="153" t="n">
        <f aca="false">E45/M45</f>
        <v>0.494805194805195</v>
      </c>
      <c r="G45" s="246"/>
      <c r="H45" s="253" t="n">
        <v>29</v>
      </c>
      <c r="I45" s="254" t="n">
        <v>3</v>
      </c>
      <c r="J45" s="253" t="n">
        <f aca="false">INT(H45*I45)</f>
        <v>87</v>
      </c>
      <c r="K45" s="253" t="n">
        <v>15</v>
      </c>
      <c r="L45" s="69" t="n">
        <f aca="false">INT((H45-K45)*I45)</f>
        <v>42</v>
      </c>
      <c r="M45" s="127" t="n">
        <f aca="false">INT((L45*1000)/54.5)</f>
        <v>770</v>
      </c>
      <c r="N45" s="127" t="n">
        <f aca="false">SUM(AC45)</f>
        <v>279</v>
      </c>
      <c r="O45" s="154" t="n">
        <f aca="false">(E45+N45)/M45</f>
        <v>0.857142857142857</v>
      </c>
      <c r="P45" s="247"/>
      <c r="Q45" s="255" t="n">
        <f aca="false">SUM(AE45:BG45)</f>
        <v>0</v>
      </c>
      <c r="R45" s="248"/>
      <c r="S45" s="256" t="n">
        <f aca="false">SUM(E45+N45+Q45)</f>
        <v>660</v>
      </c>
      <c r="T45" s="94"/>
      <c r="U45" s="136" t="n">
        <f aca="false">SUM(M45-S45)</f>
        <v>110</v>
      </c>
      <c r="V45" s="93"/>
      <c r="W45" s="236" t="n">
        <f aca="false">S45/M45</f>
        <v>0.857142857142857</v>
      </c>
      <c r="X45" s="197"/>
      <c r="Y45" s="115" t="n">
        <f aca="false">W45</f>
        <v>0.857142857142857</v>
      </c>
      <c r="Z45" s="175"/>
      <c r="AA45" s="257"/>
      <c r="AB45" s="79" t="s">
        <v>120</v>
      </c>
      <c r="AC45" s="258" t="n">
        <v>279</v>
      </c>
      <c r="AD45" s="213"/>
      <c r="AE45" s="259"/>
      <c r="AF45" s="213"/>
      <c r="AG45" s="214"/>
      <c r="AH45" s="210"/>
      <c r="AI45" s="204"/>
      <c r="AJ45" s="148" t="s">
        <v>99</v>
      </c>
      <c r="AK45" s="199" t="s">
        <v>99</v>
      </c>
      <c r="AL45" s="210" t="s">
        <v>99</v>
      </c>
      <c r="AM45" s="204" t="s">
        <v>99</v>
      </c>
      <c r="AN45" s="210" t="s">
        <v>99</v>
      </c>
      <c r="AO45" s="204" t="s">
        <v>99</v>
      </c>
      <c r="AP45" s="210"/>
      <c r="AQ45" s="204"/>
      <c r="AR45" s="210" t="s">
        <v>99</v>
      </c>
      <c r="AS45" s="204" t="s">
        <v>99</v>
      </c>
      <c r="AT45" s="210" t="s">
        <v>99</v>
      </c>
      <c r="AU45" s="204" t="s">
        <v>99</v>
      </c>
      <c r="AV45" s="210" t="s">
        <v>99</v>
      </c>
      <c r="AW45" s="204" t="s">
        <v>99</v>
      </c>
      <c r="AX45" s="210" t="s">
        <v>99</v>
      </c>
      <c r="AY45" s="204" t="s">
        <v>99</v>
      </c>
      <c r="AZ45" s="210" t="s">
        <v>99</v>
      </c>
      <c r="BA45" s="204" t="s">
        <v>99</v>
      </c>
      <c r="BB45" s="210" t="s">
        <v>99</v>
      </c>
      <c r="BC45" s="204" t="s">
        <v>99</v>
      </c>
      <c r="BD45" s="210" t="s">
        <v>99</v>
      </c>
      <c r="BE45" s="204" t="s">
        <v>99</v>
      </c>
      <c r="BF45" s="210" t="s">
        <v>99</v>
      </c>
      <c r="BG45" s="260" t="s">
        <v>99</v>
      </c>
    </row>
    <row r="46" customFormat="false" ht="13.35" hidden="false" customHeight="true" outlineLevel="0" collapsed="false">
      <c r="A46" s="261" t="s">
        <v>107</v>
      </c>
      <c r="B46" s="262" t="s">
        <v>121</v>
      </c>
      <c r="C46" s="263" t="s">
        <v>105</v>
      </c>
      <c r="D46" s="104" t="n">
        <v>390</v>
      </c>
      <c r="E46" s="104" t="n">
        <v>382</v>
      </c>
      <c r="F46" s="194" t="n">
        <f aca="false">E46/M46</f>
        <v>0.496103896103896</v>
      </c>
      <c r="G46" s="246"/>
      <c r="H46" s="264" t="n">
        <v>29</v>
      </c>
      <c r="I46" s="265" t="n">
        <v>3</v>
      </c>
      <c r="J46" s="264" t="n">
        <f aca="false">INT(H46*I46)</f>
        <v>87</v>
      </c>
      <c r="K46" s="264" t="n">
        <v>15</v>
      </c>
      <c r="L46" s="104" t="n">
        <f aca="false">INT((H46-K46)*I46)</f>
        <v>42</v>
      </c>
      <c r="M46" s="104" t="n">
        <f aca="false">INT((L46*1000)/54.5)</f>
        <v>770</v>
      </c>
      <c r="N46" s="104" t="n">
        <f aca="false">SUM(AC46)</f>
        <v>279</v>
      </c>
      <c r="O46" s="110" t="n">
        <f aca="false">(E46+N46)/M46</f>
        <v>0.858441558441558</v>
      </c>
      <c r="P46" s="247"/>
      <c r="Q46" s="111" t="n">
        <f aca="false">SUM(AE46:BG46)</f>
        <v>0</v>
      </c>
      <c r="R46" s="248"/>
      <c r="S46" s="266" t="n">
        <f aca="false">SUM(E46+N46+Q46)</f>
        <v>661</v>
      </c>
      <c r="T46" s="94"/>
      <c r="U46" s="113" t="n">
        <f aca="false">SUM(M46-S46)</f>
        <v>109</v>
      </c>
      <c r="V46" s="93"/>
      <c r="W46" s="212" t="n">
        <f aca="false">S46/M46</f>
        <v>0.858441558441558</v>
      </c>
      <c r="X46" s="197"/>
      <c r="Y46" s="115" t="n">
        <f aca="false">W46</f>
        <v>0.858441558441558</v>
      </c>
      <c r="Z46" s="175"/>
      <c r="AA46" s="257"/>
      <c r="AB46" s="116" t="s">
        <v>120</v>
      </c>
      <c r="AC46" s="267" t="n">
        <v>279</v>
      </c>
      <c r="AD46" s="268"/>
      <c r="AE46" s="269"/>
      <c r="AF46" s="268"/>
      <c r="AG46" s="270"/>
      <c r="AH46" s="271"/>
      <c r="AI46" s="272"/>
      <c r="AJ46" s="273" t="s">
        <v>99</v>
      </c>
      <c r="AK46" s="274" t="s">
        <v>99</v>
      </c>
      <c r="AL46" s="271" t="s">
        <v>99</v>
      </c>
      <c r="AM46" s="272" t="s">
        <v>99</v>
      </c>
      <c r="AN46" s="271" t="s">
        <v>99</v>
      </c>
      <c r="AO46" s="272" t="s">
        <v>99</v>
      </c>
      <c r="AP46" s="271" t="s">
        <v>99</v>
      </c>
      <c r="AQ46" s="272" t="s">
        <v>99</v>
      </c>
      <c r="AR46" s="271" t="s">
        <v>99</v>
      </c>
      <c r="AS46" s="272" t="s">
        <v>99</v>
      </c>
      <c r="AT46" s="271" t="s">
        <v>99</v>
      </c>
      <c r="AU46" s="272" t="s">
        <v>99</v>
      </c>
      <c r="AV46" s="271" t="s">
        <v>99</v>
      </c>
      <c r="AW46" s="272" t="s">
        <v>99</v>
      </c>
      <c r="AX46" s="271" t="s">
        <v>99</v>
      </c>
      <c r="AY46" s="272" t="s">
        <v>99</v>
      </c>
      <c r="AZ46" s="271" t="s">
        <v>99</v>
      </c>
      <c r="BA46" s="272" t="s">
        <v>99</v>
      </c>
      <c r="BB46" s="271" t="s">
        <v>99</v>
      </c>
      <c r="BC46" s="272" t="s">
        <v>99</v>
      </c>
      <c r="BD46" s="271" t="s">
        <v>99</v>
      </c>
      <c r="BE46" s="272" t="s">
        <v>99</v>
      </c>
      <c r="BF46" s="271" t="s">
        <v>99</v>
      </c>
      <c r="BG46" s="275" t="s">
        <v>99</v>
      </c>
    </row>
    <row r="47" customFormat="false" ht="13.15" hidden="false" customHeight="false" outlineLevel="0" collapsed="false">
      <c r="A47" s="68" t="s">
        <v>122</v>
      </c>
      <c r="B47" s="127" t="s">
        <v>123</v>
      </c>
      <c r="C47" s="128" t="s">
        <v>39</v>
      </c>
      <c r="D47" s="136" t="n">
        <v>243</v>
      </c>
      <c r="E47" s="136" t="n">
        <v>239</v>
      </c>
      <c r="F47" s="153" t="n">
        <f aca="false">E47/M47</f>
        <v>0.31038961038961</v>
      </c>
      <c r="G47" s="131" t="n">
        <f aca="false">SUM(E47:E55)*54.5/1000</f>
        <v>120.663</v>
      </c>
      <c r="H47" s="132" t="n">
        <v>24</v>
      </c>
      <c r="I47" s="133" t="n">
        <v>3.5</v>
      </c>
      <c r="J47" s="127" t="n">
        <f aca="false">INT(H47*I47)</f>
        <v>84</v>
      </c>
      <c r="K47" s="127" t="n">
        <v>12</v>
      </c>
      <c r="L47" s="127" t="n">
        <f aca="false">INT((H47-K47)*I47)</f>
        <v>42</v>
      </c>
      <c r="M47" s="127" t="n">
        <f aca="false">INT((L47*1000)/54.5)</f>
        <v>770</v>
      </c>
      <c r="N47" s="127" t="n">
        <f aca="false">SUM(AC47)</f>
        <v>0</v>
      </c>
      <c r="O47" s="154" t="n">
        <f aca="false">(E47+N47)/M47</f>
        <v>0.31038961038961</v>
      </c>
      <c r="P47" s="131" t="n">
        <f aca="false">SUM(N47:N55)*54.5/1000</f>
        <v>0</v>
      </c>
      <c r="Q47" s="155" t="n">
        <f aca="false">SUM(AE47:BG47)</f>
        <v>0</v>
      </c>
      <c r="R47" s="135" t="n">
        <f aca="false">SUM(Q47:Q55)*54.5/1000</f>
        <v>0</v>
      </c>
      <c r="S47" s="276" t="n">
        <f aca="false">SUM(E47+N47+Q47)</f>
        <v>239</v>
      </c>
      <c r="T47" s="52" t="n">
        <f aca="false">SUM(S47:S55)*54.5/1000</f>
        <v>120.663</v>
      </c>
      <c r="U47" s="53" t="n">
        <f aca="false">SUM(M47-S47)</f>
        <v>531</v>
      </c>
      <c r="V47" s="54" t="n">
        <f aca="false">SUM(U47:U55)*54.5/1000</f>
        <v>277.078</v>
      </c>
      <c r="W47" s="55" t="n">
        <f aca="false">S47/M47</f>
        <v>0.31038961038961</v>
      </c>
      <c r="X47" s="277" t="n">
        <f aca="false">(G47+P47+R47)/'Building Capability'!$D$10</f>
        <v>0.303173366834171</v>
      </c>
      <c r="Y47" s="57" t="n">
        <f aca="false">W47</f>
        <v>0.31038961038961</v>
      </c>
      <c r="Z47" s="278" t="n">
        <f aca="false">(G47+P47+R47)/'Building Capability'!$F$10</f>
        <v>0.249819875776397</v>
      </c>
      <c r="AB47" s="79"/>
      <c r="AC47" s="80"/>
      <c r="AD47" s="81"/>
      <c r="AE47" s="82"/>
      <c r="AF47" s="81"/>
      <c r="AG47" s="82"/>
      <c r="AH47" s="81"/>
      <c r="AI47" s="82"/>
      <c r="AJ47" s="81"/>
      <c r="AK47" s="82"/>
      <c r="AL47" s="81"/>
      <c r="AM47" s="82"/>
      <c r="AN47" s="81"/>
      <c r="AO47" s="82"/>
      <c r="AP47" s="81"/>
      <c r="AQ47" s="82"/>
      <c r="AR47" s="81"/>
      <c r="AS47" s="82"/>
      <c r="AT47" s="81"/>
      <c r="AU47" s="82"/>
      <c r="AV47" s="81"/>
      <c r="AW47" s="82"/>
      <c r="AX47" s="81"/>
      <c r="AY47" s="82"/>
      <c r="AZ47" s="81"/>
      <c r="BA47" s="82"/>
      <c r="BB47" s="81"/>
      <c r="BC47" s="82"/>
      <c r="BD47" s="81"/>
      <c r="BE47" s="82"/>
      <c r="BF47" s="81"/>
      <c r="BG47" s="83"/>
    </row>
    <row r="48" customFormat="false" ht="13.15" hidden="false" customHeight="false" outlineLevel="0" collapsed="false">
      <c r="A48" s="143" t="s">
        <v>122</v>
      </c>
      <c r="B48" s="69" t="s">
        <v>124</v>
      </c>
      <c r="C48" s="70" t="s">
        <v>39</v>
      </c>
      <c r="D48" s="77" t="n">
        <v>351</v>
      </c>
      <c r="E48" s="77" t="n">
        <v>331</v>
      </c>
      <c r="F48" s="157" t="n">
        <f aca="false">E48/M48</f>
        <v>0.346960167714885</v>
      </c>
      <c r="G48" s="131"/>
      <c r="H48" s="73" t="n">
        <v>30</v>
      </c>
      <c r="I48" s="74" t="n">
        <v>3.5</v>
      </c>
      <c r="J48" s="69" t="n">
        <f aca="false">INT(H48*I48)</f>
        <v>105</v>
      </c>
      <c r="K48" s="69" t="n">
        <v>15</v>
      </c>
      <c r="L48" s="69" t="n">
        <f aca="false">INT((H48-K48)*I48)</f>
        <v>52</v>
      </c>
      <c r="M48" s="69" t="n">
        <f aca="false">INT((L48*1000)/54.5)</f>
        <v>954</v>
      </c>
      <c r="N48" s="69" t="n">
        <f aca="false">SUM(AC48)</f>
        <v>0</v>
      </c>
      <c r="O48" s="48" t="n">
        <f aca="false">(E48+N48)/M48</f>
        <v>0.346960167714885</v>
      </c>
      <c r="P48" s="131"/>
      <c r="Q48" s="75" t="n">
        <f aca="false">SUM(AE48:BG48)</f>
        <v>0</v>
      </c>
      <c r="R48" s="135"/>
      <c r="S48" s="76" t="n">
        <f aca="false">SUM(E48+N48+Q48)</f>
        <v>331</v>
      </c>
      <c r="T48" s="52"/>
      <c r="U48" s="77" t="n">
        <f aca="false">SUM(M48-S48)</f>
        <v>623</v>
      </c>
      <c r="V48" s="54"/>
      <c r="W48" s="78" t="n">
        <f aca="false">S48/M48</f>
        <v>0.346960167714885</v>
      </c>
      <c r="X48" s="277"/>
      <c r="Y48" s="1" t="n">
        <f aca="false">W48</f>
        <v>0.346960167714885</v>
      </c>
      <c r="Z48" s="278"/>
      <c r="AA48" s="146"/>
      <c r="AB48" s="147"/>
      <c r="AC48" s="80"/>
      <c r="AD48" s="81"/>
      <c r="AE48" s="82"/>
      <c r="AF48" s="81"/>
      <c r="AG48" s="82"/>
      <c r="AH48" s="81"/>
      <c r="AI48" s="82"/>
      <c r="AJ48" s="81"/>
      <c r="AK48" s="82"/>
      <c r="AL48" s="81"/>
      <c r="AM48" s="82"/>
      <c r="AN48" s="81"/>
      <c r="AO48" s="82"/>
      <c r="AP48" s="81"/>
      <c r="AQ48" s="82"/>
      <c r="AR48" s="81"/>
      <c r="AS48" s="82"/>
      <c r="AT48" s="81"/>
      <c r="AU48" s="82"/>
      <c r="AV48" s="81"/>
      <c r="AW48" s="82"/>
      <c r="AX48" s="81"/>
      <c r="AY48" s="82"/>
      <c r="AZ48" s="81"/>
      <c r="BA48" s="82"/>
      <c r="BB48" s="81"/>
      <c r="BC48" s="82"/>
      <c r="BD48" s="81"/>
      <c r="BE48" s="82"/>
      <c r="BF48" s="81"/>
      <c r="BG48" s="83"/>
    </row>
    <row r="49" customFormat="false" ht="13.15" hidden="false" customHeight="false" outlineLevel="0" collapsed="false">
      <c r="A49" s="143" t="s">
        <v>122</v>
      </c>
      <c r="B49" s="69" t="s">
        <v>125</v>
      </c>
      <c r="C49" s="70" t="s">
        <v>39</v>
      </c>
      <c r="D49" s="77" t="n">
        <v>101</v>
      </c>
      <c r="E49" s="77" t="n">
        <v>100</v>
      </c>
      <c r="F49" s="157" t="n">
        <f aca="false">E49/M49</f>
        <v>0.25974025974026</v>
      </c>
      <c r="G49" s="131"/>
      <c r="H49" s="73" t="n">
        <v>12</v>
      </c>
      <c r="I49" s="74" t="n">
        <v>3.5</v>
      </c>
      <c r="J49" s="69" t="n">
        <f aca="false">INT(H49*I49)</f>
        <v>42</v>
      </c>
      <c r="K49" s="69" t="n">
        <v>6</v>
      </c>
      <c r="L49" s="69" t="n">
        <f aca="false">INT((H49-K49)*I49)</f>
        <v>21</v>
      </c>
      <c r="M49" s="69" t="n">
        <f aca="false">INT((L49*1000)/54.5)</f>
        <v>385</v>
      </c>
      <c r="N49" s="69" t="n">
        <f aca="false">SUM(AC49)</f>
        <v>0</v>
      </c>
      <c r="O49" s="48" t="n">
        <f aca="false">(E49+N49)/M49</f>
        <v>0.25974025974026</v>
      </c>
      <c r="P49" s="131"/>
      <c r="Q49" s="75" t="n">
        <f aca="false">SUM(AE49:BG49)</f>
        <v>0</v>
      </c>
      <c r="R49" s="135"/>
      <c r="S49" s="76" t="n">
        <f aca="false">SUM(E49+N49+Q49)</f>
        <v>100</v>
      </c>
      <c r="T49" s="52"/>
      <c r="U49" s="77" t="n">
        <f aca="false">SUM(M49-S49)</f>
        <v>285</v>
      </c>
      <c r="V49" s="54"/>
      <c r="W49" s="78" t="n">
        <f aca="false">S49/M49</f>
        <v>0.25974025974026</v>
      </c>
      <c r="X49" s="277"/>
      <c r="Y49" s="1" t="n">
        <f aca="false">W49</f>
        <v>0.25974025974026</v>
      </c>
      <c r="Z49" s="278"/>
      <c r="AB49" s="79"/>
      <c r="AC49" s="80"/>
      <c r="AD49" s="81"/>
      <c r="AE49" s="82"/>
      <c r="AF49" s="81"/>
      <c r="AG49" s="82"/>
      <c r="AH49" s="81"/>
      <c r="AI49" s="82"/>
      <c r="AJ49" s="81"/>
      <c r="AK49" s="82"/>
      <c r="AL49" s="81"/>
      <c r="AM49" s="82"/>
      <c r="AN49" s="81"/>
      <c r="AO49" s="82"/>
      <c r="AP49" s="81"/>
      <c r="AQ49" s="82"/>
      <c r="AR49" s="81"/>
      <c r="AS49" s="82"/>
      <c r="AT49" s="81"/>
      <c r="AU49" s="82"/>
      <c r="AV49" s="81"/>
      <c r="AW49" s="82"/>
      <c r="AX49" s="81"/>
      <c r="AY49" s="82"/>
      <c r="AZ49" s="81"/>
      <c r="BA49" s="82"/>
      <c r="BB49" s="81"/>
      <c r="BC49" s="82"/>
      <c r="BD49" s="81"/>
      <c r="BE49" s="82"/>
      <c r="BF49" s="81"/>
      <c r="BG49" s="83"/>
    </row>
    <row r="50" customFormat="false" ht="13.15" hidden="false" customHeight="false" outlineLevel="0" collapsed="false">
      <c r="A50" s="143" t="s">
        <v>122</v>
      </c>
      <c r="B50" s="69" t="s">
        <v>126</v>
      </c>
      <c r="C50" s="70" t="s">
        <v>39</v>
      </c>
      <c r="D50" s="77" t="n">
        <v>485</v>
      </c>
      <c r="E50" s="77" t="n">
        <v>485</v>
      </c>
      <c r="F50" s="157" t="n">
        <f aca="false">E50/M50</f>
        <v>0.41991341991342</v>
      </c>
      <c r="G50" s="131"/>
      <c r="H50" s="73" t="n">
        <v>36</v>
      </c>
      <c r="I50" s="74" t="n">
        <v>3.5</v>
      </c>
      <c r="J50" s="69" t="n">
        <f aca="false">INT(H50*I50)</f>
        <v>126</v>
      </c>
      <c r="K50" s="69" t="n">
        <v>18</v>
      </c>
      <c r="L50" s="69" t="n">
        <f aca="false">INT((H50-K50)*I50)</f>
        <v>63</v>
      </c>
      <c r="M50" s="69" t="n">
        <f aca="false">INT((L50*1000)/54.5)</f>
        <v>1155</v>
      </c>
      <c r="N50" s="69" t="n">
        <f aca="false">SUM(AC50)</f>
        <v>0</v>
      </c>
      <c r="O50" s="48" t="n">
        <f aca="false">(E50+N50)/M50</f>
        <v>0.41991341991342</v>
      </c>
      <c r="P50" s="131"/>
      <c r="Q50" s="75" t="n">
        <f aca="false">SUM(AE50:BG50)</f>
        <v>0</v>
      </c>
      <c r="R50" s="135"/>
      <c r="S50" s="76" t="n">
        <f aca="false">SUM(E50+N50+Q50)</f>
        <v>485</v>
      </c>
      <c r="T50" s="52"/>
      <c r="U50" s="77" t="n">
        <f aca="false">SUM(M50-S50)</f>
        <v>670</v>
      </c>
      <c r="V50" s="54"/>
      <c r="W50" s="78" t="n">
        <f aca="false">S50/M50</f>
        <v>0.41991341991342</v>
      </c>
      <c r="X50" s="277"/>
      <c r="Y50" s="1" t="n">
        <f aca="false">W50</f>
        <v>0.41991341991342</v>
      </c>
      <c r="Z50" s="278"/>
      <c r="AB50" s="79"/>
      <c r="AC50" s="80"/>
      <c r="AD50" s="98"/>
      <c r="AE50" s="99"/>
      <c r="AF50" s="98"/>
      <c r="AG50" s="99"/>
      <c r="AH50" s="81"/>
      <c r="AI50" s="82"/>
      <c r="AJ50" s="81"/>
      <c r="AK50" s="82"/>
      <c r="AL50" s="81"/>
      <c r="AM50" s="82"/>
      <c r="AN50" s="81"/>
      <c r="AO50" s="82"/>
      <c r="AP50" s="81"/>
      <c r="AQ50" s="82"/>
      <c r="AR50" s="81"/>
      <c r="AS50" s="82"/>
      <c r="AT50" s="81"/>
      <c r="AU50" s="82"/>
      <c r="AV50" s="81"/>
      <c r="AW50" s="82"/>
      <c r="AX50" s="81"/>
      <c r="AY50" s="82"/>
      <c r="AZ50" s="81"/>
      <c r="BA50" s="82"/>
      <c r="BB50" s="81"/>
      <c r="BC50" s="82"/>
      <c r="BD50" s="81"/>
      <c r="BE50" s="82"/>
      <c r="BF50" s="81"/>
      <c r="BG50" s="83"/>
    </row>
    <row r="51" customFormat="false" ht="13.15" hidden="false" customHeight="false" outlineLevel="0" collapsed="false">
      <c r="A51" s="143" t="s">
        <v>122</v>
      </c>
      <c r="B51" s="69" t="s">
        <v>127</v>
      </c>
      <c r="C51" s="70" t="s">
        <v>39</v>
      </c>
      <c r="D51" s="77" t="n">
        <v>244</v>
      </c>
      <c r="E51" s="77" t="n">
        <v>238</v>
      </c>
      <c r="F51" s="157" t="n">
        <f aca="false">E51/M51</f>
        <v>0.206060606060606</v>
      </c>
      <c r="G51" s="131"/>
      <c r="H51" s="73" t="n">
        <v>36</v>
      </c>
      <c r="I51" s="74" t="n">
        <v>3.5</v>
      </c>
      <c r="J51" s="69" t="n">
        <f aca="false">INT(H51*I51)</f>
        <v>126</v>
      </c>
      <c r="K51" s="69" t="n">
        <v>18</v>
      </c>
      <c r="L51" s="69" t="n">
        <f aca="false">INT((H51-K51)*I51)</f>
        <v>63</v>
      </c>
      <c r="M51" s="69" t="n">
        <f aca="false">INT((L51*1000)/54.5)</f>
        <v>1155</v>
      </c>
      <c r="N51" s="69" t="n">
        <f aca="false">SUM(AC51)</f>
        <v>0</v>
      </c>
      <c r="O51" s="48" t="n">
        <f aca="false">(E51+N51)/M51</f>
        <v>0.206060606060606</v>
      </c>
      <c r="P51" s="131"/>
      <c r="Q51" s="75" t="n">
        <f aca="false">SUM(AE51:BG51)</f>
        <v>0</v>
      </c>
      <c r="R51" s="135"/>
      <c r="S51" s="76" t="n">
        <f aca="false">SUM(E51+N51+Q51)</f>
        <v>238</v>
      </c>
      <c r="T51" s="52"/>
      <c r="U51" s="77" t="n">
        <f aca="false">SUM(M51-S51)</f>
        <v>917</v>
      </c>
      <c r="V51" s="54"/>
      <c r="W51" s="78" t="n">
        <f aca="false">S51/M51</f>
        <v>0.206060606060606</v>
      </c>
      <c r="X51" s="277"/>
      <c r="Y51" s="1" t="n">
        <f aca="false">W51</f>
        <v>0.206060606060606</v>
      </c>
      <c r="Z51" s="278"/>
      <c r="AB51" s="79"/>
      <c r="AC51" s="80"/>
      <c r="AD51" s="81"/>
      <c r="AE51" s="82"/>
      <c r="AF51" s="81"/>
      <c r="AG51" s="82"/>
      <c r="AH51" s="81"/>
      <c r="AI51" s="82"/>
      <c r="AJ51" s="81"/>
      <c r="AK51" s="82"/>
      <c r="AL51" s="81"/>
      <c r="AM51" s="82"/>
      <c r="AN51" s="81"/>
      <c r="AO51" s="82"/>
      <c r="AP51" s="81"/>
      <c r="AQ51" s="82"/>
      <c r="AR51" s="81"/>
      <c r="AS51" s="82"/>
      <c r="AT51" s="81"/>
      <c r="AU51" s="82"/>
      <c r="AV51" s="81"/>
      <c r="AW51" s="82"/>
      <c r="AX51" s="81"/>
      <c r="AY51" s="82"/>
      <c r="AZ51" s="81"/>
      <c r="BA51" s="82"/>
      <c r="BB51" s="81"/>
      <c r="BC51" s="82"/>
      <c r="BD51" s="81"/>
      <c r="BE51" s="82"/>
      <c r="BF51" s="81"/>
      <c r="BG51" s="83"/>
    </row>
    <row r="52" customFormat="false" ht="13.15" hidden="false" customHeight="false" outlineLevel="0" collapsed="false">
      <c r="A52" s="143" t="s">
        <v>122</v>
      </c>
      <c r="B52" s="69" t="s">
        <v>128</v>
      </c>
      <c r="C52" s="70" t="s">
        <v>39</v>
      </c>
      <c r="D52" s="77" t="n">
        <v>416</v>
      </c>
      <c r="E52" s="77" t="n">
        <v>428</v>
      </c>
      <c r="F52" s="72" t="n">
        <f aca="false">E52/M52</f>
        <v>0.448637316561845</v>
      </c>
      <c r="G52" s="279" t="n">
        <f aca="false">G47/'Building Capability'!$D$10</f>
        <v>0.303173366834171</v>
      </c>
      <c r="H52" s="73" t="n">
        <v>30</v>
      </c>
      <c r="I52" s="74" t="n">
        <v>3.5</v>
      </c>
      <c r="J52" s="69" t="n">
        <f aca="false">INT(H52*I52)</f>
        <v>105</v>
      </c>
      <c r="K52" s="69" t="n">
        <v>15</v>
      </c>
      <c r="L52" s="69" t="n">
        <f aca="false">INT((H52-K52)*I52)</f>
        <v>52</v>
      </c>
      <c r="M52" s="69" t="n">
        <f aca="false">INT((L52*1000)/54.5)</f>
        <v>954</v>
      </c>
      <c r="N52" s="69" t="n">
        <f aca="false">SUM(AC52)</f>
        <v>0</v>
      </c>
      <c r="O52" s="48" t="n">
        <f aca="false">(E52+N52)/M52</f>
        <v>0.448637316561845</v>
      </c>
      <c r="P52" s="280" t="n">
        <f aca="false">P47/'Building Capability'!$D$10</f>
        <v>0</v>
      </c>
      <c r="Q52" s="75" t="n">
        <f aca="false">SUM(AE52:BG52)</f>
        <v>0</v>
      </c>
      <c r="R52" s="281" t="n">
        <f aca="false">R47/'Building Capability'!$D$10</f>
        <v>0</v>
      </c>
      <c r="S52" s="76" t="n">
        <f aca="false">SUM(E52+N52+Q52)</f>
        <v>428</v>
      </c>
      <c r="T52" s="94" t="n">
        <f aca="false">T47/'Building Capability'!$D$10</f>
        <v>0.303173366834171</v>
      </c>
      <c r="U52" s="77" t="n">
        <f aca="false">SUM(M52-S52)</f>
        <v>526</v>
      </c>
      <c r="V52" s="282" t="n">
        <f aca="false">V47/'Building Capability'!$D$10</f>
        <v>0.696175879396985</v>
      </c>
      <c r="W52" s="78" t="n">
        <f aca="false">S52/M52</f>
        <v>0.448637316561845</v>
      </c>
      <c r="X52" s="277"/>
      <c r="Y52" s="1" t="n">
        <f aca="false">W52</f>
        <v>0.448637316561845</v>
      </c>
      <c r="Z52" s="278"/>
      <c r="AB52" s="79"/>
      <c r="AC52" s="80"/>
      <c r="AD52" s="81"/>
      <c r="AE52" s="82"/>
      <c r="AF52" s="81"/>
      <c r="AG52" s="82"/>
      <c r="AH52" s="81"/>
      <c r="AI52" s="82"/>
      <c r="AJ52" s="81"/>
      <c r="AK52" s="82"/>
      <c r="AL52" s="81"/>
      <c r="AM52" s="82"/>
      <c r="AN52" s="81"/>
      <c r="AO52" s="82"/>
      <c r="AP52" s="81"/>
      <c r="AQ52" s="82"/>
      <c r="AR52" s="81"/>
      <c r="AS52" s="82"/>
      <c r="AT52" s="81"/>
      <c r="AU52" s="82"/>
      <c r="AV52" s="81"/>
      <c r="AW52" s="82"/>
      <c r="AX52" s="81"/>
      <c r="AY52" s="82"/>
      <c r="AZ52" s="81"/>
      <c r="BA52" s="82"/>
      <c r="BB52" s="81"/>
      <c r="BC52" s="82"/>
      <c r="BD52" s="81"/>
      <c r="BE52" s="82"/>
      <c r="BF52" s="81"/>
      <c r="BG52" s="83"/>
    </row>
    <row r="53" customFormat="false" ht="13.15" hidden="false" customHeight="false" outlineLevel="0" collapsed="false">
      <c r="A53" s="143" t="s">
        <v>122</v>
      </c>
      <c r="B53" s="69" t="s">
        <v>129</v>
      </c>
      <c r="C53" s="70" t="s">
        <v>39</v>
      </c>
      <c r="D53" s="77" t="n">
        <v>155</v>
      </c>
      <c r="E53" s="77" t="n">
        <v>155</v>
      </c>
      <c r="F53" s="72" t="n">
        <f aca="false">E53/M53</f>
        <v>0.201298701298701</v>
      </c>
      <c r="G53" s="279"/>
      <c r="H53" s="73" t="n">
        <v>24</v>
      </c>
      <c r="I53" s="74" t="n">
        <v>3.5</v>
      </c>
      <c r="J53" s="69" t="n">
        <f aca="false">INT(H53*I53)</f>
        <v>84</v>
      </c>
      <c r="K53" s="69" t="n">
        <v>12</v>
      </c>
      <c r="L53" s="69" t="n">
        <f aca="false">INT((H53-K53)*I53)</f>
        <v>42</v>
      </c>
      <c r="M53" s="69" t="n">
        <f aca="false">INT((L53*1000)/54.5)</f>
        <v>770</v>
      </c>
      <c r="N53" s="69" t="n">
        <f aca="false">SUM(AC53)</f>
        <v>0</v>
      </c>
      <c r="O53" s="48" t="n">
        <f aca="false">(E53+N53)/M53</f>
        <v>0.201298701298701</v>
      </c>
      <c r="P53" s="280"/>
      <c r="Q53" s="75" t="n">
        <f aca="false">SUM(AE53:BG53)</f>
        <v>0</v>
      </c>
      <c r="R53" s="281"/>
      <c r="S53" s="76" t="n">
        <f aca="false">SUM(E53+N53+Q53)</f>
        <v>155</v>
      </c>
      <c r="T53" s="94"/>
      <c r="U53" s="77" t="n">
        <f aca="false">SUM(M53-S53)</f>
        <v>615</v>
      </c>
      <c r="V53" s="282"/>
      <c r="W53" s="78" t="n">
        <f aca="false">S53/M53</f>
        <v>0.201298701298701</v>
      </c>
      <c r="X53" s="277"/>
      <c r="Y53" s="1" t="n">
        <f aca="false">W53</f>
        <v>0.201298701298701</v>
      </c>
      <c r="Z53" s="278"/>
      <c r="AB53" s="79"/>
      <c r="AC53" s="80"/>
      <c r="AD53" s="81"/>
      <c r="AE53" s="82"/>
      <c r="AF53" s="81"/>
      <c r="AG53" s="82"/>
      <c r="AH53" s="81"/>
      <c r="AI53" s="82"/>
      <c r="AJ53" s="81"/>
      <c r="AK53" s="82"/>
      <c r="AL53" s="81"/>
      <c r="AM53" s="82"/>
      <c r="AN53" s="81"/>
      <c r="AO53" s="82"/>
      <c r="AP53" s="81"/>
      <c r="AQ53" s="82"/>
      <c r="AR53" s="81"/>
      <c r="AS53" s="82"/>
      <c r="AT53" s="81"/>
      <c r="AU53" s="82"/>
      <c r="AV53" s="81"/>
      <c r="AW53" s="82"/>
      <c r="AX53" s="81"/>
      <c r="AY53" s="82"/>
      <c r="AZ53" s="81"/>
      <c r="BA53" s="82"/>
      <c r="BB53" s="81"/>
      <c r="BC53" s="82"/>
      <c r="BD53" s="81"/>
      <c r="BE53" s="82"/>
      <c r="BF53" s="81"/>
      <c r="BG53" s="83"/>
    </row>
    <row r="54" customFormat="false" ht="13.15" hidden="false" customHeight="false" outlineLevel="0" collapsed="false">
      <c r="A54" s="143" t="s">
        <v>122</v>
      </c>
      <c r="B54" s="69" t="s">
        <v>130</v>
      </c>
      <c r="C54" s="70" t="s">
        <v>39</v>
      </c>
      <c r="D54" s="77" t="n">
        <v>138</v>
      </c>
      <c r="E54" s="77" t="n">
        <v>137</v>
      </c>
      <c r="F54" s="157" t="n">
        <f aca="false">E54/M54</f>
        <v>0.177922077922078</v>
      </c>
      <c r="G54" s="279"/>
      <c r="H54" s="73" t="n">
        <v>24</v>
      </c>
      <c r="I54" s="74" t="n">
        <v>3.5</v>
      </c>
      <c r="J54" s="69" t="n">
        <f aca="false">INT(H54*I54)</f>
        <v>84</v>
      </c>
      <c r="K54" s="69" t="n">
        <v>12</v>
      </c>
      <c r="L54" s="69" t="n">
        <f aca="false">INT((H54-K54)*I54)</f>
        <v>42</v>
      </c>
      <c r="M54" s="69" t="n">
        <f aca="false">INT((L54*1000)/54.5)</f>
        <v>770</v>
      </c>
      <c r="N54" s="69" t="n">
        <f aca="false">SUM(AC54)</f>
        <v>0</v>
      </c>
      <c r="O54" s="48" t="n">
        <f aca="false">(E54+N54)/M54</f>
        <v>0.177922077922078</v>
      </c>
      <c r="P54" s="280"/>
      <c r="Q54" s="75" t="n">
        <f aca="false">SUM(AE54:BG54)</f>
        <v>0</v>
      </c>
      <c r="R54" s="281"/>
      <c r="S54" s="76" t="n">
        <f aca="false">SUM(E54+N54+Q54)</f>
        <v>137</v>
      </c>
      <c r="T54" s="94"/>
      <c r="U54" s="77" t="n">
        <f aca="false">SUM(M54-S54)</f>
        <v>633</v>
      </c>
      <c r="V54" s="282"/>
      <c r="W54" s="78" t="n">
        <f aca="false">S54/M54</f>
        <v>0.177922077922078</v>
      </c>
      <c r="X54" s="277"/>
      <c r="Y54" s="1" t="n">
        <f aca="false">W54</f>
        <v>0.177922077922078</v>
      </c>
      <c r="Z54" s="278"/>
      <c r="AB54" s="79"/>
      <c r="AC54" s="80"/>
      <c r="AD54" s="81"/>
      <c r="AE54" s="82"/>
      <c r="AF54" s="81"/>
      <c r="AG54" s="82"/>
      <c r="AH54" s="81"/>
      <c r="AI54" s="82"/>
      <c r="AJ54" s="81"/>
      <c r="AK54" s="82"/>
      <c r="AL54" s="81"/>
      <c r="AM54" s="82"/>
      <c r="AN54" s="81"/>
      <c r="AO54" s="82"/>
      <c r="AP54" s="81"/>
      <c r="AQ54" s="82"/>
      <c r="AR54" s="81"/>
      <c r="AS54" s="82"/>
      <c r="AT54" s="81"/>
      <c r="AU54" s="82"/>
      <c r="AV54" s="81"/>
      <c r="AW54" s="82"/>
      <c r="AX54" s="81"/>
      <c r="AY54" s="82"/>
      <c r="AZ54" s="81"/>
      <c r="BA54" s="82"/>
      <c r="BB54" s="81"/>
      <c r="BC54" s="82"/>
      <c r="BD54" s="81"/>
      <c r="BE54" s="82"/>
      <c r="BF54" s="81"/>
      <c r="BG54" s="83"/>
    </row>
    <row r="55" customFormat="false" ht="13.15" hidden="false" customHeight="false" outlineLevel="0" collapsed="false">
      <c r="A55" s="90" t="s">
        <v>122</v>
      </c>
      <c r="B55" s="35" t="s">
        <v>131</v>
      </c>
      <c r="C55" s="162" t="s">
        <v>39</v>
      </c>
      <c r="D55" s="36" t="n">
        <v>102</v>
      </c>
      <c r="E55" s="36" t="n">
        <v>101</v>
      </c>
      <c r="F55" s="207" t="n">
        <f aca="false">E55/M55</f>
        <v>0.262337662337662</v>
      </c>
      <c r="G55" s="279"/>
      <c r="H55" s="164" t="n">
        <v>12</v>
      </c>
      <c r="I55" s="165" t="n">
        <v>3.5</v>
      </c>
      <c r="J55" s="35" t="n">
        <f aca="false">INT(H55*I55)</f>
        <v>42</v>
      </c>
      <c r="K55" s="35" t="n">
        <v>6</v>
      </c>
      <c r="L55" s="35" t="n">
        <f aca="false">INT((H55-K55)*I55)</f>
        <v>21</v>
      </c>
      <c r="M55" s="35" t="n">
        <f aca="false">INT((L55*1000)/54.5)</f>
        <v>385</v>
      </c>
      <c r="N55" s="35" t="n">
        <f aca="false">SUM(AC55)</f>
        <v>0</v>
      </c>
      <c r="O55" s="166" t="n">
        <f aca="false">(E55+N55)/M55</f>
        <v>0.262337662337662</v>
      </c>
      <c r="P55" s="280"/>
      <c r="Q55" s="167" t="n">
        <f aca="false">SUM(AE55:BG55)</f>
        <v>0</v>
      </c>
      <c r="R55" s="281"/>
      <c r="S55" s="283" t="n">
        <f aca="false">SUM(E55+N55+Q55)</f>
        <v>101</v>
      </c>
      <c r="T55" s="94"/>
      <c r="U55" s="113" t="n">
        <f aca="false">SUM(M55-S55)</f>
        <v>284</v>
      </c>
      <c r="V55" s="282"/>
      <c r="W55" s="168" t="n">
        <f aca="false">S55/M55</f>
        <v>0.262337662337662</v>
      </c>
      <c r="X55" s="277"/>
      <c r="Y55" s="1" t="n">
        <f aca="false">W55</f>
        <v>0.262337662337662</v>
      </c>
      <c r="Z55" s="278"/>
      <c r="AB55" s="79"/>
      <c r="AC55" s="80"/>
      <c r="AD55" s="81"/>
      <c r="AE55" s="82"/>
      <c r="AF55" s="81"/>
      <c r="AG55" s="82"/>
      <c r="AH55" s="81"/>
      <c r="AI55" s="82"/>
      <c r="AJ55" s="81"/>
      <c r="AK55" s="82"/>
      <c r="AL55" s="81"/>
      <c r="AM55" s="82"/>
      <c r="AN55" s="81"/>
      <c r="AO55" s="82"/>
      <c r="AP55" s="81"/>
      <c r="AQ55" s="82"/>
      <c r="AR55" s="81"/>
      <c r="AS55" s="82"/>
      <c r="AT55" s="81"/>
      <c r="AU55" s="82"/>
      <c r="AV55" s="81"/>
      <c r="AW55" s="82"/>
      <c r="AX55" s="81"/>
      <c r="AY55" s="82"/>
      <c r="AZ55" s="81"/>
      <c r="BA55" s="82"/>
      <c r="BB55" s="81"/>
      <c r="BC55" s="82"/>
      <c r="BD55" s="81"/>
      <c r="BE55" s="82"/>
      <c r="BF55" s="81"/>
      <c r="BG55" s="83"/>
    </row>
    <row r="56" customFormat="false" ht="13.15" hidden="false" customHeight="false" outlineLevel="0" collapsed="false">
      <c r="A56" s="40" t="s">
        <v>132</v>
      </c>
      <c r="B56" s="284" t="s">
        <v>133</v>
      </c>
      <c r="C56" s="285" t="s">
        <v>109</v>
      </c>
      <c r="D56" s="53" t="n">
        <v>860</v>
      </c>
      <c r="E56" s="53" t="n">
        <v>863</v>
      </c>
      <c r="F56" s="170" t="n">
        <f aca="false">E56/M56</f>
        <v>0.747186147186147</v>
      </c>
      <c r="G56" s="171" t="n">
        <f aca="false">SUM(E56:E63)*54.5/1000</f>
        <v>330.3245</v>
      </c>
      <c r="H56" s="46" t="n">
        <v>44</v>
      </c>
      <c r="I56" s="47" t="n">
        <v>3</v>
      </c>
      <c r="J56" s="41" t="n">
        <f aca="false">INT(H56*I56)</f>
        <v>132</v>
      </c>
      <c r="K56" s="284" t="n">
        <f aca="false">((H56-2)/2)+2</f>
        <v>23</v>
      </c>
      <c r="L56" s="41" t="n">
        <f aca="false">INT((H56-K56)*I56)</f>
        <v>63</v>
      </c>
      <c r="M56" s="41" t="n">
        <f aca="false">INT((L56*1000)/54.5)</f>
        <v>1155</v>
      </c>
      <c r="N56" s="41" t="n">
        <f aca="false">SUM(AC56)</f>
        <v>61</v>
      </c>
      <c r="O56" s="173" t="n">
        <f aca="false">(E56+N56)/M56</f>
        <v>0.8</v>
      </c>
      <c r="P56" s="171" t="n">
        <f aca="false">SUM(N56:N63)*54.5/1000</f>
        <v>53.955</v>
      </c>
      <c r="Q56" s="49" t="n">
        <f aca="false">SUM(AE56:BG56)</f>
        <v>35.2</v>
      </c>
      <c r="R56" s="171" t="n">
        <f aca="false">SUM(Q56:Q63)*54.5/1000</f>
        <v>8.03875</v>
      </c>
      <c r="S56" s="53" t="n">
        <f aca="false">SUM(E56+N56+Q56)</f>
        <v>959.2</v>
      </c>
      <c r="T56" s="45" t="n">
        <f aca="false">SUM(S56:S63)*54.5/1000</f>
        <v>392.31825</v>
      </c>
      <c r="U56" s="53" t="n">
        <f aca="false">SUM(M56-S56)</f>
        <v>195.8</v>
      </c>
      <c r="V56" s="45" t="n">
        <f aca="false">(SUM(U56:U63)*54.5/1000)-20</f>
        <v>78.3616</v>
      </c>
      <c r="W56" s="196" t="n">
        <f aca="false">S56/M56</f>
        <v>0.83047619047619</v>
      </c>
      <c r="X56" s="286" t="n">
        <f aca="false">(G56+P56+R56)/'Building Capability'!$F$11</f>
        <v>0.852865760869565</v>
      </c>
      <c r="Y56" s="287" t="n">
        <f aca="false">W56</f>
        <v>0.83047619047619</v>
      </c>
      <c r="Z56" s="288" t="n">
        <f aca="false">(G56+P56+R56)/'Building Capability'!$F$11</f>
        <v>0.852865760869565</v>
      </c>
      <c r="AA56" s="289" t="e">
        <f aca="false">((G56+P56)+SUM('inverter loading'!#ref!:'inverter loading'!#ref!))/'Building Capability'!$G$11</f>
        <v>#VALUE!</v>
      </c>
      <c r="AB56" s="290" t="s">
        <v>53</v>
      </c>
      <c r="AC56" s="61" t="n">
        <v>61</v>
      </c>
      <c r="AD56" s="62" t="s">
        <v>63</v>
      </c>
      <c r="AE56" s="63" t="n">
        <v>9.2</v>
      </c>
      <c r="AF56" s="62" t="s">
        <v>134</v>
      </c>
      <c r="AG56" s="63" t="n">
        <v>17</v>
      </c>
      <c r="AH56" s="291" t="s">
        <v>135</v>
      </c>
      <c r="AI56" s="63" t="n">
        <v>9</v>
      </c>
      <c r="AJ56" s="291"/>
      <c r="AK56" s="63"/>
      <c r="AL56" s="62"/>
      <c r="AM56" s="63"/>
      <c r="AN56" s="62"/>
      <c r="AO56" s="63"/>
      <c r="AP56" s="62"/>
      <c r="AQ56" s="63"/>
      <c r="AR56" s="62"/>
      <c r="AS56" s="63"/>
      <c r="AT56" s="62"/>
      <c r="AU56" s="63"/>
      <c r="AV56" s="62"/>
      <c r="AW56" s="63"/>
      <c r="AX56" s="62"/>
      <c r="AY56" s="63"/>
      <c r="AZ56" s="62"/>
      <c r="BA56" s="63"/>
      <c r="BB56" s="62"/>
      <c r="BC56" s="63"/>
      <c r="BD56" s="62"/>
      <c r="BE56" s="63"/>
      <c r="BF56" s="62"/>
      <c r="BG56" s="66"/>
    </row>
    <row r="57" customFormat="false" ht="13.15" hidden="false" customHeight="false" outlineLevel="0" collapsed="false">
      <c r="A57" s="143" t="s">
        <v>132</v>
      </c>
      <c r="B57" s="69" t="s">
        <v>136</v>
      </c>
      <c r="C57" s="70" t="s">
        <v>109</v>
      </c>
      <c r="D57" s="77" t="n">
        <v>789</v>
      </c>
      <c r="E57" s="77" t="n">
        <v>784</v>
      </c>
      <c r="F57" s="157" t="n">
        <f aca="false">E57/M57</f>
        <v>0.678787878787879</v>
      </c>
      <c r="G57" s="171"/>
      <c r="H57" s="73" t="n">
        <v>44</v>
      </c>
      <c r="I57" s="74" t="n">
        <v>3</v>
      </c>
      <c r="J57" s="69" t="n">
        <f aca="false">INT(H57*I57)</f>
        <v>132</v>
      </c>
      <c r="K57" s="69" t="n">
        <f aca="false">((H57-2)/2)+2</f>
        <v>23</v>
      </c>
      <c r="L57" s="69" t="n">
        <f aca="false">INT((H57-K57)*I57)</f>
        <v>63</v>
      </c>
      <c r="M57" s="69" t="n">
        <f aca="false">INT((L57*1000)/54.5)</f>
        <v>1155</v>
      </c>
      <c r="N57" s="69" t="n">
        <f aca="false">SUM(AC57)</f>
        <v>91</v>
      </c>
      <c r="O57" s="48" t="n">
        <f aca="false">(E57+N57)/M57</f>
        <v>0.757575757575758</v>
      </c>
      <c r="P57" s="171"/>
      <c r="Q57" s="75" t="n">
        <f aca="false">SUM(AE57:BG57)</f>
        <v>26.2</v>
      </c>
      <c r="R57" s="171"/>
      <c r="S57" s="77" t="n">
        <f aca="false">SUM(E57+N57+Q57)</f>
        <v>901.2</v>
      </c>
      <c r="T57" s="45"/>
      <c r="U57" s="77" t="n">
        <f aca="false">SUM(M57-S57)</f>
        <v>253.8</v>
      </c>
      <c r="V57" s="45"/>
      <c r="W57" s="203" t="n">
        <f aca="false">S57/M57</f>
        <v>0.78025974025974</v>
      </c>
      <c r="X57" s="286"/>
      <c r="Y57" s="1" t="n">
        <f aca="false">W57</f>
        <v>0.78025974025974</v>
      </c>
      <c r="Z57" s="288"/>
      <c r="AA57" s="289"/>
      <c r="AB57" s="147" t="s">
        <v>53</v>
      </c>
      <c r="AC57" s="80" t="n">
        <v>91</v>
      </c>
      <c r="AD57" s="81" t="s">
        <v>63</v>
      </c>
      <c r="AE57" s="82" t="n">
        <v>9.2</v>
      </c>
      <c r="AF57" s="81" t="s">
        <v>134</v>
      </c>
      <c r="AG57" s="82" t="n">
        <v>17</v>
      </c>
      <c r="AH57" s="81"/>
      <c r="AI57" s="82"/>
      <c r="AJ57" s="81"/>
      <c r="AK57" s="82"/>
      <c r="AL57" s="81"/>
      <c r="AM57" s="82"/>
      <c r="AN57" s="81"/>
      <c r="AO57" s="82"/>
      <c r="AP57" s="81"/>
      <c r="AQ57" s="82"/>
      <c r="AR57" s="81"/>
      <c r="AS57" s="82"/>
      <c r="AT57" s="81"/>
      <c r="AU57" s="82"/>
      <c r="AV57" s="81"/>
      <c r="AW57" s="82"/>
      <c r="AX57" s="81"/>
      <c r="AY57" s="82"/>
      <c r="AZ57" s="81"/>
      <c r="BA57" s="82"/>
      <c r="BB57" s="81"/>
      <c r="BC57" s="82"/>
      <c r="BD57" s="81"/>
      <c r="BE57" s="82"/>
      <c r="BF57" s="81"/>
      <c r="BG57" s="83"/>
    </row>
    <row r="58" customFormat="false" ht="13.15" hidden="false" customHeight="false" outlineLevel="0" collapsed="false">
      <c r="A58" s="143" t="s">
        <v>132</v>
      </c>
      <c r="B58" s="69" t="s">
        <v>137</v>
      </c>
      <c r="C58" s="128" t="s">
        <v>109</v>
      </c>
      <c r="D58" s="77" t="n">
        <v>949</v>
      </c>
      <c r="E58" s="77" t="n">
        <v>943</v>
      </c>
      <c r="F58" s="176" t="n">
        <f aca="false">E58/M58</f>
        <v>0.816450216450216</v>
      </c>
      <c r="G58" s="171"/>
      <c r="H58" s="73" t="n">
        <v>44</v>
      </c>
      <c r="I58" s="74" t="n">
        <v>3</v>
      </c>
      <c r="J58" s="69" t="n">
        <f aca="false">INT(H58*I58)</f>
        <v>132</v>
      </c>
      <c r="K58" s="69" t="n">
        <f aca="false">((H58-2)/2)+2</f>
        <v>23</v>
      </c>
      <c r="L58" s="69" t="n">
        <f aca="false">INT((H58-K58)*I58)</f>
        <v>63</v>
      </c>
      <c r="M58" s="69" t="n">
        <f aca="false">INT((L58*1000)/54.5)</f>
        <v>1155</v>
      </c>
      <c r="N58" s="69" t="n">
        <f aca="false">SUM(AC58)</f>
        <v>80</v>
      </c>
      <c r="O58" s="48" t="n">
        <f aca="false">(E58+N58)/M58</f>
        <v>0.885714285714286</v>
      </c>
      <c r="P58" s="171"/>
      <c r="Q58" s="75" t="n">
        <f aca="false">SUM(AE58:BG58)</f>
        <v>18.2</v>
      </c>
      <c r="R58" s="171"/>
      <c r="S58" s="36" t="n">
        <f aca="false">SUM(E58+N58+Q58)</f>
        <v>1041.2</v>
      </c>
      <c r="T58" s="45"/>
      <c r="U58" s="36" t="n">
        <f aca="false">SUM(M58-S58)</f>
        <v>113.8</v>
      </c>
      <c r="V58" s="45"/>
      <c r="W58" s="203" t="n">
        <f aca="false">S58/M58</f>
        <v>0.901471861471861</v>
      </c>
      <c r="X58" s="286"/>
      <c r="Y58" s="1" t="n">
        <f aca="false">W58</f>
        <v>0.901471861471861</v>
      </c>
      <c r="Z58" s="288"/>
      <c r="AA58" s="289"/>
      <c r="AB58" s="147" t="s">
        <v>53</v>
      </c>
      <c r="AC58" s="80" t="n">
        <v>80</v>
      </c>
      <c r="AD58" s="81" t="s">
        <v>63</v>
      </c>
      <c r="AE58" s="82" t="n">
        <v>9.2</v>
      </c>
      <c r="AF58" s="81" t="s">
        <v>135</v>
      </c>
      <c r="AG58" s="82" t="n">
        <v>9</v>
      </c>
      <c r="AH58" s="81"/>
      <c r="AI58" s="82"/>
      <c r="AJ58" s="81"/>
      <c r="AK58" s="82"/>
      <c r="AL58" s="81"/>
      <c r="AM58" s="82"/>
      <c r="AN58" s="81"/>
      <c r="AO58" s="82"/>
      <c r="AP58" s="81"/>
      <c r="AQ58" s="82"/>
      <c r="AR58" s="81"/>
      <c r="AS58" s="82"/>
      <c r="AT58" s="81"/>
      <c r="AU58" s="82"/>
      <c r="AV58" s="81"/>
      <c r="AW58" s="82"/>
      <c r="AX58" s="81"/>
      <c r="AY58" s="82"/>
      <c r="AZ58" s="81"/>
      <c r="BA58" s="82"/>
      <c r="BB58" s="81"/>
      <c r="BC58" s="82"/>
      <c r="BD58" s="81"/>
      <c r="BE58" s="82"/>
      <c r="BF58" s="81"/>
      <c r="BG58" s="83"/>
    </row>
    <row r="59" customFormat="false" ht="13.15" hidden="false" customHeight="false" outlineLevel="0" collapsed="false">
      <c r="A59" s="143" t="s">
        <v>132</v>
      </c>
      <c r="B59" s="69" t="s">
        <v>138</v>
      </c>
      <c r="C59" s="70" t="s">
        <v>109</v>
      </c>
      <c r="D59" s="292" t="n">
        <v>858</v>
      </c>
      <c r="E59" s="292" t="n">
        <v>855</v>
      </c>
      <c r="F59" s="157" t="n">
        <f aca="false">E59/M59</f>
        <v>0.74025974025974</v>
      </c>
      <c r="G59" s="293" t="n">
        <f aca="false">G56/'Building Capability'!$F$11</f>
        <v>0.718096739130435</v>
      </c>
      <c r="H59" s="73" t="n">
        <v>44</v>
      </c>
      <c r="I59" s="74" t="n">
        <v>3</v>
      </c>
      <c r="J59" s="69" t="n">
        <f aca="false">INT(H59*I59)</f>
        <v>132</v>
      </c>
      <c r="K59" s="69" t="n">
        <f aca="false">((H59-2)/2)+2</f>
        <v>23</v>
      </c>
      <c r="L59" s="69" t="n">
        <f aca="false">INT((H59-K59)*I59)</f>
        <v>63</v>
      </c>
      <c r="M59" s="69" t="n">
        <f aca="false">INT((L59*1000)/54.5)</f>
        <v>1155</v>
      </c>
      <c r="N59" s="69" t="n">
        <f aca="false">SUM(AC59)</f>
        <v>60</v>
      </c>
      <c r="O59" s="48" t="n">
        <f aca="false">(E59+N59)/M59</f>
        <v>0.792207792207792</v>
      </c>
      <c r="P59" s="150" t="n">
        <f aca="false">P56/'Building Capability'!$F$11</f>
        <v>0.11729347826087</v>
      </c>
      <c r="Q59" s="75" t="n">
        <f aca="false">SUM(AE59:BG59)</f>
        <v>9.2</v>
      </c>
      <c r="R59" s="151" t="n">
        <f aca="false">R56/'Building Capability'!$F$11</f>
        <v>0.0174755434782609</v>
      </c>
      <c r="S59" s="77" t="n">
        <f aca="false">SUM(E59+N59+Q59)</f>
        <v>924.2</v>
      </c>
      <c r="T59" s="248" t="n">
        <f aca="false">T56/'Building Capability'!$F$11</f>
        <v>0.852865760869565</v>
      </c>
      <c r="U59" s="77" t="n">
        <f aca="false">SUM(M59-S59)</f>
        <v>230.8</v>
      </c>
      <c r="V59" s="248" t="n">
        <f aca="false">V56/'Building Capability'!$F$11</f>
        <v>0.170351304347826</v>
      </c>
      <c r="W59" s="203" t="n">
        <f aca="false">S59/M59</f>
        <v>0.80017316017316</v>
      </c>
      <c r="X59" s="286"/>
      <c r="Y59" s="1" t="n">
        <f aca="false">W59</f>
        <v>0.80017316017316</v>
      </c>
      <c r="Z59" s="288"/>
      <c r="AA59" s="289"/>
      <c r="AB59" s="147" t="s">
        <v>53</v>
      </c>
      <c r="AC59" s="80" t="n">
        <v>60</v>
      </c>
      <c r="AD59" s="81" t="s">
        <v>63</v>
      </c>
      <c r="AE59" s="82" t="n">
        <v>9.2</v>
      </c>
      <c r="AF59" s="81"/>
      <c r="AG59" s="82"/>
      <c r="AH59" s="81"/>
      <c r="AI59" s="82"/>
      <c r="AJ59" s="81"/>
      <c r="AK59" s="82"/>
      <c r="AL59" s="81"/>
      <c r="AM59" s="82"/>
      <c r="AN59" s="81"/>
      <c r="AO59" s="82"/>
      <c r="AP59" s="81"/>
      <c r="AQ59" s="82"/>
      <c r="AR59" s="81"/>
      <c r="AS59" s="82"/>
      <c r="AT59" s="81"/>
      <c r="AU59" s="82"/>
      <c r="AV59" s="81"/>
      <c r="AW59" s="82"/>
      <c r="AX59" s="81"/>
      <c r="AY59" s="82"/>
      <c r="AZ59" s="81"/>
      <c r="BA59" s="82"/>
      <c r="BB59" s="81"/>
      <c r="BC59" s="82"/>
      <c r="BD59" s="81"/>
      <c r="BE59" s="82"/>
      <c r="BF59" s="81"/>
      <c r="BG59" s="83"/>
    </row>
    <row r="60" customFormat="false" ht="13.15" hidden="false" customHeight="false" outlineLevel="0" collapsed="false">
      <c r="A60" s="143" t="s">
        <v>132</v>
      </c>
      <c r="B60" s="69" t="s">
        <v>139</v>
      </c>
      <c r="C60" s="70" t="s">
        <v>109</v>
      </c>
      <c r="D60" s="77" t="n">
        <v>918</v>
      </c>
      <c r="E60" s="77" t="n">
        <v>917</v>
      </c>
      <c r="F60" s="294" t="n">
        <f aca="false">E60/M60</f>
        <v>0.793939393939394</v>
      </c>
      <c r="G60" s="293"/>
      <c r="H60" s="73" t="n">
        <v>44</v>
      </c>
      <c r="I60" s="74" t="n">
        <v>3</v>
      </c>
      <c r="J60" s="69" t="n">
        <f aca="false">INT(H60*I60)</f>
        <v>132</v>
      </c>
      <c r="K60" s="69" t="n">
        <f aca="false">((H60-2)/2)+2</f>
        <v>23</v>
      </c>
      <c r="L60" s="69" t="n">
        <f aca="false">INT((H60-K60)*I60)</f>
        <v>63</v>
      </c>
      <c r="M60" s="69" t="n">
        <f aca="false">INT((L60*1000)/54.5)</f>
        <v>1155</v>
      </c>
      <c r="N60" s="69" t="n">
        <f aca="false">SUM(AC60)</f>
        <v>73</v>
      </c>
      <c r="O60" s="48" t="n">
        <f aca="false">(E60+N60)/M60</f>
        <v>0.857142857142857</v>
      </c>
      <c r="P60" s="150"/>
      <c r="Q60" s="75" t="n">
        <f aca="false">SUM(AE60:BG60)</f>
        <v>9.2</v>
      </c>
      <c r="R60" s="151"/>
      <c r="S60" s="136" t="n">
        <f aca="false">SUM(E60+N60+Q60)</f>
        <v>999.2</v>
      </c>
      <c r="T60" s="248"/>
      <c r="U60" s="136" t="n">
        <f aca="false">SUM(M60-S60)</f>
        <v>155.8</v>
      </c>
      <c r="V60" s="248"/>
      <c r="W60" s="203" t="n">
        <f aca="false">S60/M60</f>
        <v>0.865108225108225</v>
      </c>
      <c r="X60" s="286"/>
      <c r="Y60" s="1" t="n">
        <f aca="false">W60</f>
        <v>0.865108225108225</v>
      </c>
      <c r="Z60" s="288"/>
      <c r="AA60" s="289"/>
      <c r="AB60" s="147" t="s">
        <v>53</v>
      </c>
      <c r="AC60" s="80" t="n">
        <v>73</v>
      </c>
      <c r="AD60" s="81" t="s">
        <v>63</v>
      </c>
      <c r="AE60" s="82" t="n">
        <v>9.2</v>
      </c>
      <c r="AF60" s="81"/>
      <c r="AG60" s="82"/>
      <c r="AH60" s="81"/>
      <c r="AI60" s="82"/>
      <c r="AJ60" s="81"/>
      <c r="AK60" s="82"/>
      <c r="AL60" s="81"/>
      <c r="AM60" s="82"/>
      <c r="AN60" s="81"/>
      <c r="AO60" s="82"/>
      <c r="AP60" s="81"/>
      <c r="AQ60" s="82"/>
      <c r="AR60" s="81"/>
      <c r="AS60" s="82"/>
      <c r="AT60" s="81"/>
      <c r="AU60" s="82"/>
      <c r="AV60" s="81"/>
      <c r="AW60" s="82"/>
      <c r="AX60" s="81"/>
      <c r="AY60" s="82"/>
      <c r="AZ60" s="81"/>
      <c r="BA60" s="82"/>
      <c r="BB60" s="81"/>
      <c r="BC60" s="82"/>
      <c r="BD60" s="81"/>
      <c r="BE60" s="82"/>
      <c r="BF60" s="81"/>
      <c r="BG60" s="83"/>
    </row>
    <row r="61" customFormat="false" ht="13.15" hidden="false" customHeight="false" outlineLevel="0" collapsed="false">
      <c r="A61" s="143" t="s">
        <v>132</v>
      </c>
      <c r="B61" s="69" t="s">
        <v>140</v>
      </c>
      <c r="C61" s="70" t="s">
        <v>109</v>
      </c>
      <c r="D61" s="77" t="n">
        <v>887</v>
      </c>
      <c r="E61" s="77" t="n">
        <v>890</v>
      </c>
      <c r="F61" s="157" t="n">
        <f aca="false">E61/M61</f>
        <v>0.770562770562771</v>
      </c>
      <c r="G61" s="293"/>
      <c r="H61" s="73" t="n">
        <v>44</v>
      </c>
      <c r="I61" s="74" t="n">
        <v>3</v>
      </c>
      <c r="J61" s="69" t="n">
        <f aca="false">INT(H61*I61)</f>
        <v>132</v>
      </c>
      <c r="K61" s="69" t="n">
        <f aca="false">((H61-2)/2)+2</f>
        <v>23</v>
      </c>
      <c r="L61" s="69" t="n">
        <f aca="false">INT((H61-K61)*I61)</f>
        <v>63</v>
      </c>
      <c r="M61" s="69" t="n">
        <f aca="false">INT((L61*1000)/54.5)</f>
        <v>1155</v>
      </c>
      <c r="N61" s="69" t="n">
        <f aca="false">SUM(AC61)</f>
        <v>62</v>
      </c>
      <c r="O61" s="48" t="n">
        <f aca="false">(E61+N61)/M61</f>
        <v>0.824242424242424</v>
      </c>
      <c r="P61" s="150"/>
      <c r="Q61" s="75" t="n">
        <f aca="false">SUM(AE61:BG61)</f>
        <v>9.2</v>
      </c>
      <c r="R61" s="151"/>
      <c r="S61" s="77" t="n">
        <f aca="false">SUM(E61+N61+Q61)</f>
        <v>961.2</v>
      </c>
      <c r="T61" s="248"/>
      <c r="U61" s="77" t="n">
        <f aca="false">SUM(M61-S61)</f>
        <v>193.8</v>
      </c>
      <c r="V61" s="248"/>
      <c r="W61" s="203" t="n">
        <f aca="false">S61/M61</f>
        <v>0.832207792207792</v>
      </c>
      <c r="X61" s="286"/>
      <c r="Y61" s="1" t="n">
        <f aca="false">W61</f>
        <v>0.832207792207792</v>
      </c>
      <c r="Z61" s="288"/>
      <c r="AA61" s="289"/>
      <c r="AB61" s="147" t="s">
        <v>53</v>
      </c>
      <c r="AC61" s="80" t="n">
        <v>62</v>
      </c>
      <c r="AD61" s="81" t="s">
        <v>63</v>
      </c>
      <c r="AE61" s="82" t="n">
        <v>9.2</v>
      </c>
      <c r="AF61" s="81"/>
      <c r="AG61" s="82"/>
      <c r="AH61" s="81"/>
      <c r="AI61" s="82"/>
      <c r="AJ61" s="81"/>
      <c r="AK61" s="82"/>
      <c r="AL61" s="81"/>
      <c r="AM61" s="82"/>
      <c r="AN61" s="81"/>
      <c r="AO61" s="82"/>
      <c r="AP61" s="81"/>
      <c r="AQ61" s="82"/>
      <c r="AR61" s="81"/>
      <c r="AS61" s="82"/>
      <c r="AT61" s="81"/>
      <c r="AU61" s="82"/>
      <c r="AV61" s="81"/>
      <c r="AW61" s="82"/>
      <c r="AX61" s="81"/>
      <c r="AY61" s="82"/>
      <c r="AZ61" s="81"/>
      <c r="BA61" s="82"/>
      <c r="BB61" s="81"/>
      <c r="BC61" s="82"/>
      <c r="BD61" s="81"/>
      <c r="BE61" s="82"/>
      <c r="BF61" s="81"/>
      <c r="BG61" s="83"/>
    </row>
    <row r="62" customFormat="false" ht="13.15" hidden="false" customHeight="false" outlineLevel="0" collapsed="false">
      <c r="A62" s="143" t="s">
        <v>132</v>
      </c>
      <c r="B62" s="69" t="s">
        <v>141</v>
      </c>
      <c r="C62" s="70" t="s">
        <v>105</v>
      </c>
      <c r="D62" s="77" t="n">
        <v>407</v>
      </c>
      <c r="E62" s="77" t="n">
        <v>403</v>
      </c>
      <c r="F62" s="157" t="n">
        <f aca="false">E62/M62</f>
        <v>0.431016042780749</v>
      </c>
      <c r="G62" s="293"/>
      <c r="H62" s="73" t="n">
        <v>35</v>
      </c>
      <c r="I62" s="74" t="n">
        <v>3</v>
      </c>
      <c r="J62" s="69" t="n">
        <f aca="false">INT(H62*I62)</f>
        <v>105</v>
      </c>
      <c r="K62" s="69" t="n">
        <v>18</v>
      </c>
      <c r="L62" s="69" t="n">
        <f aca="false">INT((H62-K62)*I62)</f>
        <v>51</v>
      </c>
      <c r="M62" s="69" t="n">
        <f aca="false">INT((L62*1000)/54.5)</f>
        <v>935</v>
      </c>
      <c r="N62" s="69" t="n">
        <f aca="false">SUM(AC62)</f>
        <v>282</v>
      </c>
      <c r="O62" s="48" t="n">
        <f aca="false">(E62+N62)/M62</f>
        <v>0.732620320855615</v>
      </c>
      <c r="P62" s="150"/>
      <c r="Q62" s="75" t="n">
        <f aca="false">SUM(AE62:BG62)</f>
        <v>20.15</v>
      </c>
      <c r="R62" s="151"/>
      <c r="S62" s="77" t="n">
        <f aca="false">SUM(E62+N62+Q62)</f>
        <v>705.15</v>
      </c>
      <c r="T62" s="248"/>
      <c r="U62" s="77" t="n">
        <v>249</v>
      </c>
      <c r="V62" s="248"/>
      <c r="W62" s="203" t="n">
        <f aca="false">S62/M62</f>
        <v>0.754171122994652</v>
      </c>
      <c r="X62" s="286"/>
      <c r="Y62" s="1" t="n">
        <f aca="false">W62</f>
        <v>0.754171122994652</v>
      </c>
      <c r="Z62" s="288"/>
      <c r="AA62" s="257"/>
      <c r="AB62" s="147" t="s">
        <v>53</v>
      </c>
      <c r="AC62" s="80" t="n">
        <v>282</v>
      </c>
      <c r="AD62" s="98" t="s">
        <v>142</v>
      </c>
      <c r="AE62" s="99" t="n">
        <v>9</v>
      </c>
      <c r="AF62" s="81" t="s">
        <v>56</v>
      </c>
      <c r="AG62" s="82" t="n">
        <v>9.15</v>
      </c>
      <c r="AH62" s="81" t="s">
        <v>58</v>
      </c>
      <c r="AI62" s="82" t="n">
        <v>2</v>
      </c>
      <c r="AJ62" s="81"/>
      <c r="AK62" s="82"/>
      <c r="AL62" s="81"/>
      <c r="AM62" s="82"/>
      <c r="AN62" s="81"/>
      <c r="AO62" s="82"/>
      <c r="AP62" s="81"/>
      <c r="AQ62" s="82"/>
      <c r="AR62" s="81"/>
      <c r="AS62" s="82"/>
      <c r="AT62" s="81"/>
      <c r="AU62" s="82"/>
      <c r="AV62" s="81"/>
      <c r="AW62" s="82"/>
      <c r="AX62" s="81"/>
      <c r="AY62" s="82"/>
      <c r="AZ62" s="81"/>
      <c r="BA62" s="82"/>
      <c r="BB62" s="81"/>
      <c r="BC62" s="82"/>
      <c r="BD62" s="81"/>
      <c r="BE62" s="82"/>
      <c r="BF62" s="81"/>
      <c r="BG62" s="83"/>
    </row>
    <row r="63" customFormat="false" ht="13.5" hidden="false" customHeight="false" outlineLevel="0" collapsed="false">
      <c r="A63" s="103" t="s">
        <v>132</v>
      </c>
      <c r="B63" s="104" t="s">
        <v>143</v>
      </c>
      <c r="C63" s="105" t="s">
        <v>105</v>
      </c>
      <c r="D63" s="113" t="n">
        <v>405</v>
      </c>
      <c r="E63" s="113" t="n">
        <v>406</v>
      </c>
      <c r="F63" s="194" t="n">
        <f aca="false">E63/M63</f>
        <v>0.434224598930481</v>
      </c>
      <c r="G63" s="293"/>
      <c r="H63" s="108" t="n">
        <v>35</v>
      </c>
      <c r="I63" s="109" t="n">
        <v>3</v>
      </c>
      <c r="J63" s="104" t="n">
        <f aca="false">INT(H63*I63)</f>
        <v>105</v>
      </c>
      <c r="K63" s="104" t="n">
        <v>18</v>
      </c>
      <c r="L63" s="104" t="n">
        <f aca="false">INT((H63-K63)*I63)</f>
        <v>51</v>
      </c>
      <c r="M63" s="104" t="n">
        <f aca="false">INT((L63*1000)/54.5)</f>
        <v>935</v>
      </c>
      <c r="N63" s="104" t="n">
        <f aca="false">SUM(AC63)</f>
        <v>281</v>
      </c>
      <c r="O63" s="110" t="n">
        <f aca="false">(E63+N63)/M63</f>
        <v>0.73475935828877</v>
      </c>
      <c r="P63" s="150"/>
      <c r="Q63" s="111" t="n">
        <f aca="false">SUM(AE63:BG63)</f>
        <v>20.15</v>
      </c>
      <c r="R63" s="151"/>
      <c r="S63" s="113" t="n">
        <f aca="false">SUM(E63+N63+Q63)</f>
        <v>707.15</v>
      </c>
      <c r="T63" s="248"/>
      <c r="U63" s="113" t="n">
        <v>412</v>
      </c>
      <c r="V63" s="248"/>
      <c r="W63" s="212" t="n">
        <f aca="false">S63/M63</f>
        <v>0.756310160427807</v>
      </c>
      <c r="X63" s="286"/>
      <c r="Y63" s="115" t="n">
        <f aca="false">W63</f>
        <v>0.756310160427807</v>
      </c>
      <c r="Z63" s="288"/>
      <c r="AA63" s="295"/>
      <c r="AB63" s="296" t="s">
        <v>53</v>
      </c>
      <c r="AC63" s="117" t="n">
        <v>281</v>
      </c>
      <c r="AD63" s="122" t="s">
        <v>142</v>
      </c>
      <c r="AE63" s="123" t="n">
        <v>9</v>
      </c>
      <c r="AF63" s="81" t="s">
        <v>56</v>
      </c>
      <c r="AG63" s="82" t="n">
        <v>9.15</v>
      </c>
      <c r="AH63" s="118" t="s">
        <v>58</v>
      </c>
      <c r="AI63" s="119" t="n">
        <v>2</v>
      </c>
      <c r="AJ63" s="118"/>
      <c r="AK63" s="119"/>
      <c r="AL63" s="118"/>
      <c r="AM63" s="119"/>
      <c r="AN63" s="118"/>
      <c r="AO63" s="119"/>
      <c r="AP63" s="118"/>
      <c r="AQ63" s="119"/>
      <c r="AR63" s="118"/>
      <c r="AS63" s="119"/>
      <c r="AT63" s="118"/>
      <c r="AU63" s="119"/>
      <c r="AV63" s="118"/>
      <c r="AW63" s="119"/>
      <c r="AX63" s="118"/>
      <c r="AY63" s="119"/>
      <c r="AZ63" s="118"/>
      <c r="BA63" s="119"/>
      <c r="BB63" s="118"/>
      <c r="BC63" s="119"/>
      <c r="BD63" s="118"/>
      <c r="BE63" s="119"/>
      <c r="BF63" s="118"/>
      <c r="BG63" s="125"/>
    </row>
    <row r="64" customFormat="false" ht="13.5" hidden="false" customHeight="false" outlineLevel="0" collapsed="false">
      <c r="A64" s="40" t="s">
        <v>144</v>
      </c>
      <c r="B64" s="41" t="s">
        <v>145</v>
      </c>
      <c r="C64" s="42" t="s">
        <v>39</v>
      </c>
      <c r="D64" s="53" t="n">
        <v>1123</v>
      </c>
      <c r="E64" s="53" t="n">
        <v>1109</v>
      </c>
      <c r="F64" s="44" t="n">
        <f aca="false">E64/M64</f>
        <v>0.82823002240478</v>
      </c>
      <c r="G64" s="131" t="n">
        <f aca="false">SUM(E64:E71)*54.5/1000</f>
        <v>384.661</v>
      </c>
      <c r="H64" s="132" t="n">
        <v>42</v>
      </c>
      <c r="I64" s="133" t="n">
        <v>3.5</v>
      </c>
      <c r="J64" s="127" t="n">
        <f aca="false">INT(H64*I64)</f>
        <v>147</v>
      </c>
      <c r="K64" s="127" t="n">
        <v>21</v>
      </c>
      <c r="L64" s="127" t="n">
        <f aca="false">INT((H64-K64)*I64)</f>
        <v>73</v>
      </c>
      <c r="M64" s="127" t="n">
        <f aca="false">INT((L64*1000)/54.5)</f>
        <v>1339</v>
      </c>
      <c r="N64" s="127" t="n">
        <f aca="false">SUM(AC64)</f>
        <v>100</v>
      </c>
      <c r="O64" s="154" t="n">
        <f aca="false">(E64+N64)/M64</f>
        <v>0.902912621359223</v>
      </c>
      <c r="P64" s="131" t="n">
        <f aca="false">(SUM(N64:N71)*54.5/1000)+SUM('Inverter Loading'!Q28:Q29)</f>
        <v>41.529</v>
      </c>
      <c r="Q64" s="155" t="n">
        <f aca="false">SUM(AE64:BG64)</f>
        <v>123.35</v>
      </c>
      <c r="R64" s="135" t="n">
        <f aca="false">SUM(Q64:Q71)*54.5/1000</f>
        <v>26.460295</v>
      </c>
      <c r="S64" s="136" t="n">
        <f aca="false">SUM(E64+N64+Q64)</f>
        <v>1332.35</v>
      </c>
      <c r="T64" s="297" t="n">
        <f aca="false">SUM(S64:S71)*54.5/1000</f>
        <v>452.650295</v>
      </c>
      <c r="U64" s="136" t="n">
        <f aca="false">SUM(M64-S64)</f>
        <v>6.65000000000009</v>
      </c>
      <c r="V64" s="297" t="n">
        <f aca="false">SUM(U64:U71)*54.5/1000</f>
        <v>27.167705</v>
      </c>
      <c r="W64" s="196" t="n">
        <f aca="false">S64/M64</f>
        <v>0.995033607169529</v>
      </c>
      <c r="X64" s="56" t="n">
        <f aca="false">(G64+P64+R64)/'Building Capability'!$D$12</f>
        <v>0.943021447916667</v>
      </c>
      <c r="Y64" s="1" t="n">
        <f aca="false">W64</f>
        <v>0.995033607169529</v>
      </c>
      <c r="Z64" s="298" t="n">
        <f aca="false">(G64+P64+R64)/'Building Capability'!$F$12</f>
        <v>0.941060904365904</v>
      </c>
      <c r="AA64" s="175" t="e">
        <f aca="false">(G64+P64)/'Building Capability'!$G$12</f>
        <v>#DIV/0!</v>
      </c>
      <c r="AB64" s="60" t="s">
        <v>53</v>
      </c>
      <c r="AC64" s="61" t="n">
        <v>100</v>
      </c>
      <c r="AD64" s="64" t="s">
        <v>61</v>
      </c>
      <c r="AE64" s="65" t="n">
        <v>56</v>
      </c>
      <c r="AF64" s="62" t="s">
        <v>56</v>
      </c>
      <c r="AG64" s="63" t="n">
        <v>9.15</v>
      </c>
      <c r="AH64" s="299" t="s">
        <v>54</v>
      </c>
      <c r="AI64" s="99" t="n">
        <v>36</v>
      </c>
      <c r="AJ64" s="62" t="s">
        <v>72</v>
      </c>
      <c r="AK64" s="63" t="n">
        <v>9</v>
      </c>
      <c r="AL64" s="62" t="s">
        <v>58</v>
      </c>
      <c r="AM64" s="63" t="n">
        <v>4</v>
      </c>
      <c r="AN64" s="62" t="s">
        <v>63</v>
      </c>
      <c r="AO64" s="63" t="n">
        <v>9.2</v>
      </c>
      <c r="AP64" s="62"/>
      <c r="AQ64" s="63"/>
      <c r="AR64" s="62"/>
      <c r="AS64" s="63"/>
      <c r="AT64" s="62"/>
      <c r="AU64" s="63"/>
      <c r="AV64" s="62"/>
      <c r="AW64" s="63"/>
      <c r="AX64" s="62"/>
      <c r="AY64" s="63"/>
      <c r="AZ64" s="62"/>
      <c r="BA64" s="63"/>
      <c r="BB64" s="62"/>
      <c r="BC64" s="63"/>
      <c r="BD64" s="62"/>
      <c r="BE64" s="63"/>
      <c r="BF64" s="62"/>
      <c r="BG64" s="66"/>
    </row>
    <row r="65" customFormat="false" ht="13.5" hidden="false" customHeight="false" outlineLevel="0" collapsed="false">
      <c r="A65" s="143" t="s">
        <v>144</v>
      </c>
      <c r="B65" s="69" t="s">
        <v>146</v>
      </c>
      <c r="C65" s="70" t="s">
        <v>39</v>
      </c>
      <c r="D65" s="144" t="n">
        <v>1043</v>
      </c>
      <c r="E65" s="144" t="n">
        <v>1027</v>
      </c>
      <c r="F65" s="157" t="n">
        <f aca="false">E65/M65</f>
        <v>0.766990291262136</v>
      </c>
      <c r="G65" s="131"/>
      <c r="H65" s="73" t="n">
        <v>42</v>
      </c>
      <c r="I65" s="74" t="n">
        <v>3.5</v>
      </c>
      <c r="J65" s="69" t="n">
        <f aca="false">INT(H65*I65)</f>
        <v>147</v>
      </c>
      <c r="K65" s="69" t="n">
        <v>21</v>
      </c>
      <c r="L65" s="69" t="n">
        <f aca="false">INT((H65-K65)*I65)</f>
        <v>73</v>
      </c>
      <c r="M65" s="69" t="n">
        <f aca="false">INT((L65*1000)/54.5)</f>
        <v>1339</v>
      </c>
      <c r="N65" s="69" t="n">
        <f aca="false">SUM(AC65)</f>
        <v>117</v>
      </c>
      <c r="O65" s="48" t="n">
        <f aca="false">(E65+N65)/M65</f>
        <v>0.854368932038835</v>
      </c>
      <c r="P65" s="131"/>
      <c r="Q65" s="75" t="n">
        <f aca="false">SUM(AE65:BG65)</f>
        <v>90.36</v>
      </c>
      <c r="R65" s="135"/>
      <c r="S65" s="77" t="n">
        <f aca="false">SUM(E65+N65+Q65)</f>
        <v>1234.36</v>
      </c>
      <c r="T65" s="297"/>
      <c r="U65" s="77" t="n">
        <f aca="false">SUM(M65-S65)</f>
        <v>104.64</v>
      </c>
      <c r="V65" s="297"/>
      <c r="W65" s="203" t="n">
        <f aca="false">S65/M65</f>
        <v>0.92185212845407</v>
      </c>
      <c r="X65" s="56"/>
      <c r="Y65" s="1" t="n">
        <f aca="false">W65</f>
        <v>0.92185212845407</v>
      </c>
      <c r="Z65" s="298"/>
      <c r="AA65" s="175"/>
      <c r="AB65" s="79" t="s">
        <v>53</v>
      </c>
      <c r="AC65" s="80" t="n">
        <v>117</v>
      </c>
      <c r="AD65" s="160" t="s">
        <v>61</v>
      </c>
      <c r="AE65" s="161" t="n">
        <v>68</v>
      </c>
      <c r="AF65" s="81" t="s">
        <v>56</v>
      </c>
      <c r="AG65" s="82" t="n">
        <v>9.16</v>
      </c>
      <c r="AH65" s="299"/>
      <c r="AI65" s="82"/>
      <c r="AJ65" s="81"/>
      <c r="AK65" s="82"/>
      <c r="AL65" s="81" t="s">
        <v>58</v>
      </c>
      <c r="AM65" s="82" t="n">
        <v>4</v>
      </c>
      <c r="AN65" s="81" t="s">
        <v>63</v>
      </c>
      <c r="AO65" s="82" t="n">
        <v>9.2</v>
      </c>
      <c r="AP65" s="81"/>
      <c r="AQ65" s="82"/>
      <c r="AR65" s="81"/>
      <c r="AS65" s="82"/>
      <c r="AT65" s="81"/>
      <c r="AU65" s="82"/>
      <c r="AV65" s="81"/>
      <c r="AW65" s="82"/>
      <c r="AX65" s="81"/>
      <c r="AY65" s="82"/>
      <c r="AZ65" s="81"/>
      <c r="BA65" s="82"/>
      <c r="BB65" s="81"/>
      <c r="BC65" s="82"/>
      <c r="BD65" s="81"/>
      <c r="BE65" s="82"/>
      <c r="BF65" s="81"/>
      <c r="BG65" s="83"/>
    </row>
    <row r="66" customFormat="false" ht="13.5" hidden="false" customHeight="false" outlineLevel="0" collapsed="false">
      <c r="A66" s="143" t="s">
        <v>144</v>
      </c>
      <c r="B66" s="69" t="s">
        <v>147</v>
      </c>
      <c r="C66" s="70" t="s">
        <v>39</v>
      </c>
      <c r="D66" s="144" t="n">
        <v>1085</v>
      </c>
      <c r="E66" s="144" t="n">
        <v>1082</v>
      </c>
      <c r="F66" s="157" t="n">
        <f aca="false">E66/M66</f>
        <v>0.80806572068708</v>
      </c>
      <c r="G66" s="131"/>
      <c r="H66" s="73" t="n">
        <v>42</v>
      </c>
      <c r="I66" s="74" t="n">
        <v>3.5</v>
      </c>
      <c r="J66" s="69" t="n">
        <f aca="false">INT(H66*I66)</f>
        <v>147</v>
      </c>
      <c r="K66" s="69" t="n">
        <v>21</v>
      </c>
      <c r="L66" s="69" t="n">
        <f aca="false">INT((H66-K66)*I66)</f>
        <v>73</v>
      </c>
      <c r="M66" s="69" t="n">
        <f aca="false">INT((L66*1000)/54.5)</f>
        <v>1339</v>
      </c>
      <c r="N66" s="69" t="n">
        <f aca="false">SUM(AC66)</f>
        <v>121</v>
      </c>
      <c r="O66" s="48" t="n">
        <f aca="false">(E66+N66)/M66</f>
        <v>0.898431665421957</v>
      </c>
      <c r="P66" s="131"/>
      <c r="Q66" s="75" t="n">
        <f aca="false">SUM(AE66:BG66)</f>
        <v>121.2</v>
      </c>
      <c r="R66" s="135"/>
      <c r="S66" s="77" t="n">
        <f aca="false">SUM(E66+N66+Q66)</f>
        <v>1324.2</v>
      </c>
      <c r="T66" s="297"/>
      <c r="U66" s="77" t="n">
        <f aca="false">SUM(M66-S66)</f>
        <v>14.8</v>
      </c>
      <c r="V66" s="297"/>
      <c r="W66" s="203" t="n">
        <f aca="false">S66/M66</f>
        <v>0.988946975354742</v>
      </c>
      <c r="X66" s="56"/>
      <c r="Y66" s="1" t="n">
        <f aca="false">W66</f>
        <v>0.988946975354742</v>
      </c>
      <c r="Z66" s="298"/>
      <c r="AA66" s="175"/>
      <c r="AB66" s="79" t="s">
        <v>53</v>
      </c>
      <c r="AC66" s="80" t="n">
        <v>121</v>
      </c>
      <c r="AD66" s="160" t="s">
        <v>61</v>
      </c>
      <c r="AE66" s="161" t="n">
        <v>103</v>
      </c>
      <c r="AF66" s="81"/>
      <c r="AG66" s="82"/>
      <c r="AH66" s="81" t="s">
        <v>72</v>
      </c>
      <c r="AI66" s="82" t="n">
        <v>9</v>
      </c>
      <c r="AJ66" s="299"/>
      <c r="AK66" s="82"/>
      <c r="AL66" s="81"/>
      <c r="AM66" s="82"/>
      <c r="AN66" s="81" t="s">
        <v>63</v>
      </c>
      <c r="AO66" s="82" t="n">
        <v>9.2</v>
      </c>
      <c r="AP66" s="81"/>
      <c r="AQ66" s="82"/>
      <c r="AR66" s="81"/>
      <c r="AS66" s="82"/>
      <c r="AT66" s="81"/>
      <c r="AU66" s="82"/>
      <c r="AV66" s="81"/>
      <c r="AW66" s="82"/>
      <c r="AX66" s="81"/>
      <c r="AY66" s="82"/>
      <c r="AZ66" s="81"/>
      <c r="BA66" s="82"/>
      <c r="BB66" s="81"/>
      <c r="BC66" s="82"/>
      <c r="BD66" s="81"/>
      <c r="BE66" s="82"/>
      <c r="BF66" s="81"/>
      <c r="BG66" s="83"/>
    </row>
    <row r="67" customFormat="false" ht="13.5" hidden="false" customHeight="false" outlineLevel="0" collapsed="false">
      <c r="A67" s="143" t="s">
        <v>144</v>
      </c>
      <c r="B67" s="69" t="s">
        <v>148</v>
      </c>
      <c r="C67" s="70" t="s">
        <v>39</v>
      </c>
      <c r="D67" s="77" t="n">
        <v>1160</v>
      </c>
      <c r="E67" s="77" t="n">
        <v>1133</v>
      </c>
      <c r="F67" s="72" t="n">
        <f aca="false">E67/M67</f>
        <v>0.846153846153846</v>
      </c>
      <c r="G67" s="158" t="n">
        <f aca="false">G64/'Building Capability'!$D$12</f>
        <v>0.801377083333333</v>
      </c>
      <c r="H67" s="73" t="n">
        <v>42</v>
      </c>
      <c r="I67" s="74" t="n">
        <v>3.5</v>
      </c>
      <c r="J67" s="69" t="n">
        <f aca="false">INT(H67*I67)</f>
        <v>147</v>
      </c>
      <c r="K67" s="69" t="n">
        <v>21</v>
      </c>
      <c r="L67" s="69" t="n">
        <f aca="false">INT((H67-K67)*I67)</f>
        <v>73</v>
      </c>
      <c r="M67" s="69" t="n">
        <f aca="false">INT((L67*1000)/54.5)</f>
        <v>1339</v>
      </c>
      <c r="N67" s="69" t="n">
        <f aca="false">SUM(AC67)</f>
        <v>151</v>
      </c>
      <c r="O67" s="48" t="n">
        <f aca="false">(E67+N67)/M67</f>
        <v>0.958924570575056</v>
      </c>
      <c r="P67" s="150" t="n">
        <f aca="false">P64/'Building Capability'!$D$12</f>
        <v>0.08651875</v>
      </c>
      <c r="Q67" s="75" t="n">
        <f aca="false">SUM(AE67:BG67)</f>
        <v>57.2</v>
      </c>
      <c r="R67" s="150" t="n">
        <f aca="false">R64/'Building Capability'!$D$12</f>
        <v>0.0551256145833333</v>
      </c>
      <c r="S67" s="77" t="n">
        <f aca="false">SUM(E67+N67+Q67)</f>
        <v>1341.2</v>
      </c>
      <c r="T67" s="149" t="n">
        <f aca="false">T64/'Building Capability'!$D$12</f>
        <v>0.943021447916667</v>
      </c>
      <c r="U67" s="77" t="n">
        <f aca="false">SUM(M67-S67)</f>
        <v>-2.20000000000005</v>
      </c>
      <c r="V67" s="93" t="n">
        <f aca="false">V64/'Building Capability'!$D$12</f>
        <v>0.0565993854166667</v>
      </c>
      <c r="W67" s="203" t="n">
        <f aca="false">S67/M67</f>
        <v>1.001643017177</v>
      </c>
      <c r="X67" s="56"/>
      <c r="Y67" s="1" t="n">
        <f aca="false">W67</f>
        <v>1.001643017177</v>
      </c>
      <c r="Z67" s="298"/>
      <c r="AA67" s="175"/>
      <c r="AB67" s="79" t="s">
        <v>53</v>
      </c>
      <c r="AC67" s="80" t="n">
        <v>151</v>
      </c>
      <c r="AD67" s="160" t="s">
        <v>61</v>
      </c>
      <c r="AE67" s="161" t="n">
        <v>12</v>
      </c>
      <c r="AF67" s="81"/>
      <c r="AG67" s="82"/>
      <c r="AH67" s="300" t="s">
        <v>54</v>
      </c>
      <c r="AI67" s="99" t="n">
        <v>36</v>
      </c>
      <c r="AJ67" s="299"/>
      <c r="AK67" s="82"/>
      <c r="AL67" s="81"/>
      <c r="AM67" s="82"/>
      <c r="AN67" s="81" t="s">
        <v>63</v>
      </c>
      <c r="AO67" s="82" t="n">
        <v>9.2</v>
      </c>
      <c r="AP67" s="81"/>
      <c r="AQ67" s="82"/>
      <c r="AR67" s="81"/>
      <c r="AS67" s="82"/>
      <c r="AT67" s="81"/>
      <c r="AU67" s="82"/>
      <c r="AV67" s="81"/>
      <c r="AW67" s="82"/>
      <c r="AX67" s="81"/>
      <c r="AY67" s="82"/>
      <c r="AZ67" s="81"/>
      <c r="BA67" s="82"/>
      <c r="BB67" s="81"/>
      <c r="BC67" s="82"/>
      <c r="BD67" s="81"/>
      <c r="BE67" s="82"/>
      <c r="BF67" s="81"/>
      <c r="BG67" s="83"/>
    </row>
    <row r="68" customFormat="false" ht="13.5" hidden="false" customHeight="true" outlineLevel="0" collapsed="false">
      <c r="A68" s="143" t="s">
        <v>144</v>
      </c>
      <c r="B68" s="69" t="s">
        <v>149</v>
      </c>
      <c r="C68" s="70" t="s">
        <v>39</v>
      </c>
      <c r="D68" s="144" t="n">
        <v>1085</v>
      </c>
      <c r="E68" s="144" t="n">
        <v>1069</v>
      </c>
      <c r="F68" s="157" t="n">
        <f aca="false">E68/M68</f>
        <v>0.798356982823002</v>
      </c>
      <c r="G68" s="158"/>
      <c r="H68" s="73" t="n">
        <v>42</v>
      </c>
      <c r="I68" s="74" t="n">
        <v>3.5</v>
      </c>
      <c r="J68" s="69" t="n">
        <f aca="false">INT(H68*I68)</f>
        <v>147</v>
      </c>
      <c r="K68" s="69" t="n">
        <v>21</v>
      </c>
      <c r="L68" s="69" t="n">
        <f aca="false">INT((H68-K68)*I68)</f>
        <v>73</v>
      </c>
      <c r="M68" s="69" t="n">
        <f aca="false">INT((L68*1000)/54.5)</f>
        <v>1339</v>
      </c>
      <c r="N68" s="69" t="n">
        <f aca="false">SUM(AC68)</f>
        <v>59</v>
      </c>
      <c r="O68" s="48" t="n">
        <f aca="false">(E68+N68)/M68</f>
        <v>0.842419716206124</v>
      </c>
      <c r="P68" s="150"/>
      <c r="Q68" s="75" t="n">
        <f aca="false">SUM(AE68:BG68)</f>
        <v>46.2</v>
      </c>
      <c r="R68" s="150"/>
      <c r="S68" s="77" t="n">
        <f aca="false">SUM(E68+N68+Q68)</f>
        <v>1174.2</v>
      </c>
      <c r="T68" s="149"/>
      <c r="U68" s="77" t="n">
        <f aca="false">SUM(M68-S68)</f>
        <v>164.8</v>
      </c>
      <c r="V68" s="93"/>
      <c r="W68" s="203" t="n">
        <f aca="false">S68/M68</f>
        <v>0.876923076923077</v>
      </c>
      <c r="X68" s="56"/>
      <c r="Y68" s="1" t="n">
        <f aca="false">W68</f>
        <v>0.876923076923077</v>
      </c>
      <c r="Z68" s="298"/>
      <c r="AA68" s="175"/>
      <c r="AB68" s="79" t="s">
        <v>53</v>
      </c>
      <c r="AC68" s="80" t="n">
        <v>59</v>
      </c>
      <c r="AD68" s="160" t="s">
        <v>61</v>
      </c>
      <c r="AE68" s="161" t="n">
        <v>37</v>
      </c>
      <c r="AF68" s="81"/>
      <c r="AG68" s="99"/>
      <c r="AH68" s="301"/>
      <c r="AI68" s="97"/>
      <c r="AJ68" s="299"/>
      <c r="AK68" s="99"/>
      <c r="AL68" s="81"/>
      <c r="AM68" s="82"/>
      <c r="AN68" s="81" t="s">
        <v>63</v>
      </c>
      <c r="AO68" s="82" t="n">
        <v>9.2</v>
      </c>
      <c r="AP68" s="81"/>
      <c r="AQ68" s="82"/>
      <c r="AR68" s="81"/>
      <c r="AS68" s="82"/>
      <c r="AT68" s="81"/>
      <c r="AU68" s="82"/>
      <c r="AV68" s="81"/>
      <c r="AW68" s="82"/>
      <c r="AX68" s="81"/>
      <c r="AY68" s="82"/>
      <c r="AZ68" s="81"/>
      <c r="BA68" s="82"/>
      <c r="BB68" s="81"/>
      <c r="BC68" s="82"/>
      <c r="BD68" s="81"/>
      <c r="BE68" s="82"/>
      <c r="BF68" s="81"/>
      <c r="BG68" s="83"/>
    </row>
    <row r="69" customFormat="false" ht="13.5" hidden="false" customHeight="false" outlineLevel="0" collapsed="false">
      <c r="A69" s="143" t="s">
        <v>144</v>
      </c>
      <c r="B69" s="69" t="s">
        <v>150</v>
      </c>
      <c r="C69" s="70" t="s">
        <v>39</v>
      </c>
      <c r="D69" s="144" t="n">
        <v>1082</v>
      </c>
      <c r="E69" s="144" t="n">
        <v>1053</v>
      </c>
      <c r="F69" s="157" t="n">
        <f aca="false">E69/M69</f>
        <v>0.786407766990291</v>
      </c>
      <c r="G69" s="158"/>
      <c r="H69" s="73" t="n">
        <v>42</v>
      </c>
      <c r="I69" s="74" t="n">
        <v>3.5</v>
      </c>
      <c r="J69" s="69" t="n">
        <f aca="false">INT(H69*I69)</f>
        <v>147</v>
      </c>
      <c r="K69" s="69" t="n">
        <v>21</v>
      </c>
      <c r="L69" s="69" t="n">
        <f aca="false">INT((H69-K69)*I69)</f>
        <v>73</v>
      </c>
      <c r="M69" s="69" t="n">
        <f aca="false">INT((L69*1000)/54.5)</f>
        <v>1339</v>
      </c>
      <c r="N69" s="69" t="n">
        <f aca="false">SUM(AC69)</f>
        <v>63</v>
      </c>
      <c r="O69" s="48" t="n">
        <f aca="false">(E69+N69)/M69</f>
        <v>0.833457804331591</v>
      </c>
      <c r="P69" s="150"/>
      <c r="Q69" s="75" t="n">
        <f aca="false">SUM(AE69:BG69)</f>
        <v>47.2</v>
      </c>
      <c r="R69" s="150"/>
      <c r="S69" s="77" t="n">
        <f aca="false">SUM(E69+N69+Q69)</f>
        <v>1163.2</v>
      </c>
      <c r="T69" s="149"/>
      <c r="U69" s="77" t="n">
        <f aca="false">SUM(M69-S69)</f>
        <v>175.8</v>
      </c>
      <c r="V69" s="93"/>
      <c r="W69" s="203" t="n">
        <f aca="false">S69/M69</f>
        <v>0.868707991038088</v>
      </c>
      <c r="X69" s="56"/>
      <c r="Y69" s="1" t="n">
        <f aca="false">W69</f>
        <v>0.868707991038088</v>
      </c>
      <c r="Z69" s="298"/>
      <c r="AA69" s="175"/>
      <c r="AB69" s="79" t="s">
        <v>53</v>
      </c>
      <c r="AC69" s="80" t="n">
        <v>63</v>
      </c>
      <c r="AD69" s="160" t="s">
        <v>61</v>
      </c>
      <c r="AE69" s="161" t="n">
        <v>38</v>
      </c>
      <c r="AF69" s="81"/>
      <c r="AG69" s="82"/>
      <c r="AH69" s="81"/>
      <c r="AI69" s="82"/>
      <c r="AJ69" s="81" t="s">
        <v>151</v>
      </c>
      <c r="AK69" s="82"/>
      <c r="AL69" s="81"/>
      <c r="AM69" s="82"/>
      <c r="AN69" s="81" t="s">
        <v>63</v>
      </c>
      <c r="AO69" s="82" t="n">
        <v>9.2</v>
      </c>
      <c r="AP69" s="81"/>
      <c r="AQ69" s="82"/>
      <c r="AR69" s="81"/>
      <c r="AS69" s="82"/>
      <c r="AT69" s="81"/>
      <c r="AU69" s="82"/>
      <c r="AV69" s="81"/>
      <c r="AW69" s="82"/>
      <c r="AX69" s="81"/>
      <c r="AY69" s="82"/>
      <c r="AZ69" s="81"/>
      <c r="BA69" s="82"/>
      <c r="BB69" s="81"/>
      <c r="BC69" s="82"/>
      <c r="BD69" s="81"/>
      <c r="BE69" s="82"/>
      <c r="BF69" s="81"/>
      <c r="BG69" s="83"/>
    </row>
    <row r="70" customFormat="false" ht="13.15" hidden="false" customHeight="false" outlineLevel="0" collapsed="false">
      <c r="A70" s="143" t="s">
        <v>144</v>
      </c>
      <c r="B70" s="127" t="s">
        <v>152</v>
      </c>
      <c r="C70" s="128" t="s">
        <v>105</v>
      </c>
      <c r="D70" s="136" t="n">
        <v>295</v>
      </c>
      <c r="E70" s="136" t="n">
        <v>296</v>
      </c>
      <c r="F70" s="157" t="n">
        <f aca="false">E70/M70</f>
        <v>0.768831168831169</v>
      </c>
      <c r="G70" s="158"/>
      <c r="H70" s="73" t="n">
        <v>16</v>
      </c>
      <c r="I70" s="74" t="n">
        <v>3</v>
      </c>
      <c r="J70" s="69" t="n">
        <f aca="false">INT(H70*I70)</f>
        <v>48</v>
      </c>
      <c r="K70" s="69" t="n">
        <v>9</v>
      </c>
      <c r="L70" s="302" t="n">
        <f aca="false">INT((H70-K70)*I70)</f>
        <v>21</v>
      </c>
      <c r="M70" s="69" t="n">
        <f aca="false">INT((L70*1000)/54.5)</f>
        <v>385</v>
      </c>
      <c r="N70" s="69" t="n">
        <f aca="false">SUM(AC70)</f>
        <v>72</v>
      </c>
      <c r="O70" s="48" t="n">
        <f aca="false">(E70+N70)/M70</f>
        <v>0.955844155844156</v>
      </c>
      <c r="P70" s="150"/>
      <c r="Q70" s="155" t="n">
        <f aca="false">SUM(AE70:BG70)</f>
        <v>0</v>
      </c>
      <c r="R70" s="150"/>
      <c r="S70" s="77" t="n">
        <f aca="false">SUM(E70+N70+Q70)</f>
        <v>368</v>
      </c>
      <c r="T70" s="149"/>
      <c r="U70" s="77" t="n">
        <f aca="false">SUM(M70-S70)</f>
        <v>17</v>
      </c>
      <c r="V70" s="93"/>
      <c r="W70" s="203" t="n">
        <f aca="false">S70/M70</f>
        <v>0.955844155844156</v>
      </c>
      <c r="X70" s="56"/>
      <c r="Y70" s="1" t="n">
        <f aca="false">W70</f>
        <v>0.955844155844156</v>
      </c>
      <c r="Z70" s="298"/>
      <c r="AA70" s="303"/>
      <c r="AB70" s="79" t="s">
        <v>53</v>
      </c>
      <c r="AC70" s="80" t="n">
        <v>72</v>
      </c>
      <c r="AD70" s="160"/>
      <c r="AE70" s="161"/>
      <c r="AF70" s="81"/>
      <c r="AG70" s="82"/>
      <c r="AH70" s="81"/>
      <c r="AI70" s="82"/>
      <c r="AJ70" s="81"/>
      <c r="AK70" s="82"/>
      <c r="AL70" s="81"/>
      <c r="AM70" s="82"/>
      <c r="AN70" s="81"/>
      <c r="AO70" s="82"/>
      <c r="AP70" s="81"/>
      <c r="AQ70" s="82"/>
      <c r="AR70" s="81"/>
      <c r="AS70" s="82"/>
      <c r="AT70" s="81"/>
      <c r="AU70" s="82"/>
      <c r="AV70" s="81"/>
      <c r="AW70" s="82"/>
      <c r="AX70" s="81"/>
      <c r="AY70" s="82"/>
      <c r="AZ70" s="81"/>
      <c r="BA70" s="82"/>
      <c r="BB70" s="81"/>
      <c r="BC70" s="82"/>
      <c r="BD70" s="81"/>
      <c r="BE70" s="82"/>
      <c r="BF70" s="81"/>
      <c r="BG70" s="83"/>
    </row>
    <row r="71" customFormat="false" ht="13.15" hidden="false" customHeight="false" outlineLevel="0" collapsed="false">
      <c r="A71" s="103" t="s">
        <v>144</v>
      </c>
      <c r="B71" s="227" t="s">
        <v>153</v>
      </c>
      <c r="C71" s="228" t="s">
        <v>105</v>
      </c>
      <c r="D71" s="304" t="n">
        <v>290</v>
      </c>
      <c r="E71" s="304" t="n">
        <v>289</v>
      </c>
      <c r="F71" s="305" t="n">
        <f aca="false">E71/M71</f>
        <v>0.750649350649351</v>
      </c>
      <c r="G71" s="158"/>
      <c r="H71" s="306" t="n">
        <v>16</v>
      </c>
      <c r="I71" s="307" t="n">
        <v>3</v>
      </c>
      <c r="J71" s="227" t="n">
        <f aca="false">INT(H71*I71)</f>
        <v>48</v>
      </c>
      <c r="K71" s="227" t="n">
        <v>9</v>
      </c>
      <c r="L71" s="308" t="n">
        <f aca="false">INT((H70-K70)*I70)</f>
        <v>21</v>
      </c>
      <c r="M71" s="69" t="n">
        <f aca="false">INT((L71*1000)/54.5)</f>
        <v>385</v>
      </c>
      <c r="N71" s="69" t="n">
        <f aca="false">SUM(AC71)</f>
        <v>79</v>
      </c>
      <c r="O71" s="309" t="n">
        <f aca="false">(E71+N71)/M71</f>
        <v>0.955844155844156</v>
      </c>
      <c r="P71" s="150"/>
      <c r="Q71" s="310" t="n">
        <f aca="false">SUM(AE71:BG71)</f>
        <v>0</v>
      </c>
      <c r="R71" s="150"/>
      <c r="S71" s="304" t="n">
        <f aca="false">SUM(E71+N71+Q71)</f>
        <v>368</v>
      </c>
      <c r="T71" s="149"/>
      <c r="U71" s="304" t="n">
        <f aca="false">SUM(M71-S71)</f>
        <v>17</v>
      </c>
      <c r="V71" s="93"/>
      <c r="W71" s="234" t="n">
        <f aca="false">S71/M71</f>
        <v>0.955844155844156</v>
      </c>
      <c r="X71" s="56"/>
      <c r="Y71" s="115" t="n">
        <f aca="false">W71</f>
        <v>0.955844155844156</v>
      </c>
      <c r="Z71" s="298"/>
      <c r="AA71" s="298"/>
      <c r="AB71" s="79" t="s">
        <v>53</v>
      </c>
      <c r="AC71" s="117" t="n">
        <v>79</v>
      </c>
      <c r="AD71" s="311"/>
      <c r="AE71" s="312"/>
      <c r="AF71" s="118"/>
      <c r="AG71" s="119"/>
      <c r="AH71" s="118"/>
      <c r="AI71" s="119"/>
      <c r="AJ71" s="118"/>
      <c r="AK71" s="119"/>
      <c r="AL71" s="118"/>
      <c r="AM71" s="119"/>
      <c r="AN71" s="118"/>
      <c r="AO71" s="119"/>
      <c r="AP71" s="118"/>
      <c r="AQ71" s="119"/>
      <c r="AR71" s="118"/>
      <c r="AS71" s="119"/>
      <c r="AT71" s="118"/>
      <c r="AU71" s="119"/>
      <c r="AV71" s="118"/>
      <c r="AW71" s="119"/>
      <c r="AX71" s="118"/>
      <c r="AY71" s="119"/>
      <c r="AZ71" s="118"/>
      <c r="BA71" s="119"/>
      <c r="BB71" s="118"/>
      <c r="BC71" s="119"/>
      <c r="BD71" s="118"/>
      <c r="BE71" s="119"/>
      <c r="BF71" s="118"/>
      <c r="BG71" s="125"/>
    </row>
    <row r="72" customFormat="false" ht="13.15" hidden="false" customHeight="false" outlineLevel="0" collapsed="false">
      <c r="A72" s="40" t="s">
        <v>154</v>
      </c>
      <c r="B72" s="41" t="s">
        <v>155</v>
      </c>
      <c r="C72" s="42" t="s">
        <v>109</v>
      </c>
      <c r="D72" s="313" t="n">
        <v>786</v>
      </c>
      <c r="E72" s="313" t="n">
        <v>786</v>
      </c>
      <c r="F72" s="314" t="n">
        <f aca="false">E72/M72</f>
        <v>0.680519480519481</v>
      </c>
      <c r="G72" s="171" t="n">
        <f aca="false">SUM(E72:E79)*54.5/1000</f>
        <v>271.737</v>
      </c>
      <c r="H72" s="46" t="n">
        <v>44</v>
      </c>
      <c r="I72" s="47" t="n">
        <v>3</v>
      </c>
      <c r="J72" s="41" t="n">
        <f aca="false">INT(H72*I72)</f>
        <v>132</v>
      </c>
      <c r="K72" s="41" t="n">
        <f aca="false">((H72-2)/2)+2</f>
        <v>23</v>
      </c>
      <c r="L72" s="315" t="n">
        <f aca="false">INT((H72-K72)*I72)</f>
        <v>63</v>
      </c>
      <c r="M72" s="315" t="n">
        <f aca="false">INT((L72*1000)/54.5)</f>
        <v>1155</v>
      </c>
      <c r="N72" s="41" t="n">
        <f aca="false">SUM(AC72)</f>
        <v>161</v>
      </c>
      <c r="O72" s="173" t="n">
        <f aca="false">(E72+N72)/M72</f>
        <v>0.81991341991342</v>
      </c>
      <c r="P72" s="171" t="n">
        <f aca="false">SUM(N72:N79)*54.5/1000</f>
        <v>102.133</v>
      </c>
      <c r="Q72" s="49" t="n">
        <f aca="false">SUM(AE72:BG72)</f>
        <v>0</v>
      </c>
      <c r="R72" s="174" t="n">
        <f aca="false">(SUM(Q72:Q79)*54.5/1000)</f>
        <v>7.194</v>
      </c>
      <c r="S72" s="136" t="n">
        <f aca="false">SUM(E72+N72+Q72)</f>
        <v>947</v>
      </c>
      <c r="T72" s="45" t="n">
        <f aca="false">SUM(S72:S79)*54.5/1000</f>
        <v>381.064</v>
      </c>
      <c r="U72" s="53" t="n">
        <f aca="false">SUM(M72-S72)</f>
        <v>208</v>
      </c>
      <c r="V72" s="45" t="n">
        <f aca="false">SUM(U72:U79)*54.5/1000</f>
        <v>83.5485</v>
      </c>
      <c r="W72" s="55" t="n">
        <f aca="false">S72/M72</f>
        <v>0.81991341991342</v>
      </c>
      <c r="X72" s="197" t="n">
        <f aca="false">(G72+P72+R72)/'Building Capability'!$D$13</f>
        <v>0.81949247311828</v>
      </c>
      <c r="Y72" s="57" t="n">
        <f aca="false">W72</f>
        <v>0.81991341991342</v>
      </c>
      <c r="Z72" s="138" t="n">
        <f aca="false">(G72+P72+R72)/'Building Capability'!$F$13</f>
        <v>0.814239316239316</v>
      </c>
      <c r="AA72" s="316" t="e">
        <f aca="false">(G72+P72)/'Building Capability'!$G$13</f>
        <v>#DIV/0!</v>
      </c>
      <c r="AB72" s="60" t="s">
        <v>53</v>
      </c>
      <c r="AC72" s="61" t="n">
        <v>161</v>
      </c>
      <c r="AD72" s="140"/>
      <c r="AE72" s="141"/>
      <c r="AF72" s="62"/>
      <c r="AG72" s="63"/>
      <c r="AH72" s="62"/>
      <c r="AI72" s="63"/>
      <c r="AJ72" s="242"/>
      <c r="AK72" s="317"/>
      <c r="AL72" s="242"/>
      <c r="AM72" s="317"/>
      <c r="AN72" s="242"/>
      <c r="AO72" s="317"/>
      <c r="AP72" s="201"/>
      <c r="AQ72" s="202"/>
      <c r="AR72" s="242" t="s">
        <v>99</v>
      </c>
      <c r="AS72" s="202" t="s">
        <v>99</v>
      </c>
      <c r="AT72" s="242" t="s">
        <v>99</v>
      </c>
      <c r="AU72" s="202" t="s">
        <v>99</v>
      </c>
      <c r="AV72" s="242" t="s">
        <v>99</v>
      </c>
      <c r="AW72" s="244" t="s">
        <v>99</v>
      </c>
      <c r="AX72" s="242" t="s">
        <v>99</v>
      </c>
      <c r="AY72" s="244" t="s">
        <v>99</v>
      </c>
      <c r="AZ72" s="62"/>
      <c r="BA72" s="63"/>
      <c r="BB72" s="62"/>
      <c r="BC72" s="63"/>
      <c r="BD72" s="62"/>
      <c r="BE72" s="63"/>
      <c r="BF72" s="62"/>
      <c r="BG72" s="66"/>
    </row>
    <row r="73" customFormat="false" ht="13.15" hidden="false" customHeight="false" outlineLevel="0" collapsed="false">
      <c r="A73" s="143" t="s">
        <v>154</v>
      </c>
      <c r="B73" s="69" t="s">
        <v>156</v>
      </c>
      <c r="C73" s="70" t="s">
        <v>109</v>
      </c>
      <c r="D73" s="318" t="n">
        <v>728</v>
      </c>
      <c r="E73" s="318" t="n">
        <v>727</v>
      </c>
      <c r="F73" s="319" t="n">
        <f aca="false">E73/M73</f>
        <v>0.629437229437229</v>
      </c>
      <c r="G73" s="171"/>
      <c r="H73" s="73" t="n">
        <v>44</v>
      </c>
      <c r="I73" s="74" t="n">
        <v>3</v>
      </c>
      <c r="J73" s="69" t="n">
        <f aca="false">INT(H73*I73)</f>
        <v>132</v>
      </c>
      <c r="K73" s="69" t="n">
        <f aca="false">((H73-2)/2)+2</f>
        <v>23</v>
      </c>
      <c r="L73" s="302" t="n">
        <f aca="false">INT((H73-K73)*I73)</f>
        <v>63</v>
      </c>
      <c r="M73" s="320" t="n">
        <f aca="false">INT((L73*1000)/54.5)</f>
        <v>1155</v>
      </c>
      <c r="N73" s="127" t="n">
        <f aca="false">SUM(AC73)</f>
        <v>205</v>
      </c>
      <c r="O73" s="154" t="n">
        <f aca="false">(E73+N73)/M73</f>
        <v>0.806926406926407</v>
      </c>
      <c r="P73" s="171"/>
      <c r="Q73" s="75" t="n">
        <f aca="false">SUM(AE73:BG73)</f>
        <v>18</v>
      </c>
      <c r="R73" s="174"/>
      <c r="S73" s="77" t="n">
        <f aca="false">SUM(E73+N73+Q73)</f>
        <v>950</v>
      </c>
      <c r="T73" s="45"/>
      <c r="U73" s="77" t="n">
        <f aca="false">SUM(M73-S73)</f>
        <v>205</v>
      </c>
      <c r="V73" s="45"/>
      <c r="W73" s="78" t="n">
        <f aca="false">S73/M73</f>
        <v>0.822510822510822</v>
      </c>
      <c r="X73" s="197"/>
      <c r="Y73" s="1" t="n">
        <f aca="false">W73</f>
        <v>0.822510822510822</v>
      </c>
      <c r="Z73" s="138"/>
      <c r="AA73" s="316"/>
      <c r="AB73" s="79" t="s">
        <v>53</v>
      </c>
      <c r="AC73" s="80" t="n">
        <v>205</v>
      </c>
      <c r="AD73" s="148" t="s">
        <v>142</v>
      </c>
      <c r="AE73" s="198" t="n">
        <v>18</v>
      </c>
      <c r="AF73" s="210"/>
      <c r="AG73" s="211"/>
      <c r="AH73" s="98"/>
      <c r="AI73" s="99"/>
      <c r="AJ73" s="210"/>
      <c r="AK73" s="211"/>
      <c r="AL73" s="210"/>
      <c r="AM73" s="211"/>
      <c r="AN73" s="210"/>
      <c r="AO73" s="211"/>
      <c r="AP73" s="148"/>
      <c r="AQ73" s="198"/>
      <c r="AR73" s="148" t="s">
        <v>99</v>
      </c>
      <c r="AS73" s="198" t="s">
        <v>99</v>
      </c>
      <c r="AT73" s="148" t="s">
        <v>99</v>
      </c>
      <c r="AU73" s="198" t="s">
        <v>99</v>
      </c>
      <c r="AV73" s="210"/>
      <c r="AW73" s="204"/>
      <c r="AX73" s="210" t="s">
        <v>99</v>
      </c>
      <c r="AY73" s="204" t="s">
        <v>99</v>
      </c>
      <c r="AZ73" s="81"/>
      <c r="BA73" s="82"/>
      <c r="BB73" s="81"/>
      <c r="BC73" s="82"/>
      <c r="BD73" s="81"/>
      <c r="BE73" s="82"/>
      <c r="BF73" s="81"/>
      <c r="BG73" s="83"/>
    </row>
    <row r="74" customFormat="false" ht="12.75" hidden="false" customHeight="true" outlineLevel="0" collapsed="false">
      <c r="A74" s="143" t="s">
        <v>154</v>
      </c>
      <c r="B74" s="69" t="s">
        <v>157</v>
      </c>
      <c r="C74" s="70" t="s">
        <v>109</v>
      </c>
      <c r="D74" s="318" t="n">
        <v>801</v>
      </c>
      <c r="E74" s="318" t="n">
        <v>798</v>
      </c>
      <c r="F74" s="319" t="n">
        <f aca="false">E74/M74</f>
        <v>0.690909090909091</v>
      </c>
      <c r="G74" s="171"/>
      <c r="H74" s="73" t="n">
        <v>44</v>
      </c>
      <c r="I74" s="74" t="n">
        <v>3</v>
      </c>
      <c r="J74" s="69" t="n">
        <f aca="false">INT(H74*I74)</f>
        <v>132</v>
      </c>
      <c r="K74" s="69" t="n">
        <f aca="false">((H74-2)/2)+2</f>
        <v>23</v>
      </c>
      <c r="L74" s="302" t="n">
        <f aca="false">INT((H74-K74)*I74)</f>
        <v>63</v>
      </c>
      <c r="M74" s="320" t="n">
        <f aca="false">INT((L74*1000)/54.5)</f>
        <v>1155</v>
      </c>
      <c r="N74" s="127" t="n">
        <f aca="false">SUM(AC74)</f>
        <v>99</v>
      </c>
      <c r="O74" s="154" t="n">
        <f aca="false">(E74+N74)/M74</f>
        <v>0.776623376623377</v>
      </c>
      <c r="P74" s="171"/>
      <c r="Q74" s="75" t="n">
        <f aca="false">SUM(AE74:BG74)</f>
        <v>18</v>
      </c>
      <c r="R74" s="174"/>
      <c r="S74" s="77" t="n">
        <f aca="false">SUM(E74+N74+Q74)</f>
        <v>915</v>
      </c>
      <c r="T74" s="45"/>
      <c r="U74" s="77" t="n">
        <f aca="false">SUM(M74-S74)</f>
        <v>240</v>
      </c>
      <c r="V74" s="45"/>
      <c r="W74" s="78" t="n">
        <f aca="false">S74/M74</f>
        <v>0.792207792207792</v>
      </c>
      <c r="X74" s="197"/>
      <c r="Y74" s="1" t="n">
        <f aca="false">W74</f>
        <v>0.792207792207792</v>
      </c>
      <c r="Z74" s="138"/>
      <c r="AA74" s="316"/>
      <c r="AB74" s="79" t="s">
        <v>53</v>
      </c>
      <c r="AC74" s="80" t="n">
        <v>99</v>
      </c>
      <c r="AD74" s="321"/>
      <c r="AE74" s="322"/>
      <c r="AF74" s="98" t="s">
        <v>142</v>
      </c>
      <c r="AG74" s="211" t="n">
        <v>18</v>
      </c>
      <c r="AH74" s="98"/>
      <c r="AI74" s="99"/>
      <c r="AJ74" s="210"/>
      <c r="AK74" s="211"/>
      <c r="AL74" s="210"/>
      <c r="AM74" s="211"/>
      <c r="AN74" s="210"/>
      <c r="AO74" s="211"/>
      <c r="AP74" s="148"/>
      <c r="AQ74" s="198"/>
      <c r="AR74" s="148"/>
      <c r="AS74" s="198"/>
      <c r="AT74" s="148"/>
      <c r="AU74" s="198"/>
      <c r="AV74" s="148"/>
      <c r="AW74" s="199"/>
      <c r="AX74" s="210"/>
      <c r="AY74" s="204"/>
      <c r="AZ74" s="81"/>
      <c r="BA74" s="82"/>
      <c r="BB74" s="81"/>
      <c r="BC74" s="82"/>
      <c r="BD74" s="81"/>
      <c r="BE74" s="82"/>
      <c r="BF74" s="81"/>
      <c r="BG74" s="83"/>
    </row>
    <row r="75" customFormat="false" ht="12.75" hidden="false" customHeight="true" outlineLevel="0" collapsed="false">
      <c r="A75" s="143" t="s">
        <v>154</v>
      </c>
      <c r="B75" s="69" t="s">
        <v>158</v>
      </c>
      <c r="C75" s="70" t="s">
        <v>109</v>
      </c>
      <c r="D75" s="73" t="n">
        <v>578</v>
      </c>
      <c r="E75" s="73" t="n">
        <v>572</v>
      </c>
      <c r="F75" s="319" t="n">
        <f aca="false">E75/M75</f>
        <v>0.65</v>
      </c>
      <c r="G75" s="323" t="n">
        <f aca="false">G72/'Building Capability'!$D$13</f>
        <v>0.58438064516129</v>
      </c>
      <c r="H75" s="73" t="n">
        <v>34</v>
      </c>
      <c r="I75" s="74" t="n">
        <v>3</v>
      </c>
      <c r="J75" s="69" t="n">
        <f aca="false">INT(H75*I75)</f>
        <v>102</v>
      </c>
      <c r="K75" s="69" t="n">
        <f aca="false">((H75-2)/2)+2</f>
        <v>18</v>
      </c>
      <c r="L75" s="302" t="n">
        <f aca="false">INT((H75-K75)*I75)</f>
        <v>48</v>
      </c>
      <c r="M75" s="320" t="n">
        <f aca="false">INT((L75*1000)/54.5)</f>
        <v>880</v>
      </c>
      <c r="N75" s="127" t="n">
        <f aca="false">SUM(AC75)</f>
        <v>199</v>
      </c>
      <c r="O75" s="154" t="n">
        <f aca="false">(E75+N75)/M75</f>
        <v>0.876136363636364</v>
      </c>
      <c r="P75" s="247" t="n">
        <f aca="false">P72/'Building Capability'!$D$13</f>
        <v>0.219640860215054</v>
      </c>
      <c r="Q75" s="75" t="n">
        <f aca="false">SUM(AE75:BG75)</f>
        <v>0</v>
      </c>
      <c r="R75" s="247" t="n">
        <f aca="false">R72/'Building Capability'!$D$13</f>
        <v>0.0154709677419355</v>
      </c>
      <c r="S75" s="77" t="n">
        <f aca="false">SUM(E75+N75+Q75)</f>
        <v>771</v>
      </c>
      <c r="T75" s="149" t="n">
        <f aca="false">T72/'Building Capability'!$D$13</f>
        <v>0.81949247311828</v>
      </c>
      <c r="U75" s="77" t="n">
        <f aca="false">SUM(M75-S75)</f>
        <v>109</v>
      </c>
      <c r="V75" s="93" t="n">
        <f aca="false">V72/'Building Capability'!$D$13</f>
        <v>0.179674193548387</v>
      </c>
      <c r="W75" s="78" t="n">
        <f aca="false">S75/M75</f>
        <v>0.876136363636364</v>
      </c>
      <c r="X75" s="197"/>
      <c r="Y75" s="1" t="n">
        <f aca="false">W75</f>
        <v>0.876136363636364</v>
      </c>
      <c r="Z75" s="138"/>
      <c r="AA75" s="316"/>
      <c r="AB75" s="79" t="s">
        <v>53</v>
      </c>
      <c r="AC75" s="80" t="n">
        <v>199</v>
      </c>
      <c r="AD75" s="324"/>
      <c r="AE75" s="99"/>
      <c r="AF75" s="98"/>
      <c r="AG75" s="99"/>
      <c r="AH75" s="98"/>
      <c r="AI75" s="99"/>
      <c r="AJ75" s="210"/>
      <c r="AK75" s="211"/>
      <c r="AL75" s="210"/>
      <c r="AM75" s="211"/>
      <c r="AN75" s="210"/>
      <c r="AO75" s="211"/>
      <c r="AP75" s="148" t="s">
        <v>99</v>
      </c>
      <c r="AQ75" s="198" t="s">
        <v>99</v>
      </c>
      <c r="AR75" s="148"/>
      <c r="AS75" s="198"/>
      <c r="AT75" s="148"/>
      <c r="AU75" s="198"/>
      <c r="AV75" s="148"/>
      <c r="AW75" s="199"/>
      <c r="AX75" s="210" t="s">
        <v>99</v>
      </c>
      <c r="AY75" s="204" t="s">
        <v>99</v>
      </c>
      <c r="AZ75" s="81"/>
      <c r="BA75" s="82"/>
      <c r="BB75" s="81"/>
      <c r="BC75" s="82"/>
      <c r="BD75" s="81"/>
      <c r="BE75" s="82"/>
      <c r="BF75" s="81"/>
      <c r="BG75" s="83"/>
    </row>
    <row r="76" customFormat="false" ht="13.5" hidden="false" customHeight="true" outlineLevel="0" collapsed="false">
      <c r="A76" s="143" t="s">
        <v>154</v>
      </c>
      <c r="B76" s="69" t="s">
        <v>159</v>
      </c>
      <c r="C76" s="70" t="s">
        <v>109</v>
      </c>
      <c r="D76" s="73" t="n">
        <v>521</v>
      </c>
      <c r="E76" s="73" t="n">
        <v>522</v>
      </c>
      <c r="F76" s="319" t="n">
        <f aca="false">E76/M76</f>
        <v>0.451948051948052</v>
      </c>
      <c r="G76" s="323"/>
      <c r="H76" s="73" t="n">
        <v>44</v>
      </c>
      <c r="I76" s="74" t="n">
        <v>3</v>
      </c>
      <c r="J76" s="69" t="n">
        <f aca="false">INT(H76*I76)</f>
        <v>132</v>
      </c>
      <c r="K76" s="69" t="n">
        <f aca="false">((H76-2)/2)+2</f>
        <v>23</v>
      </c>
      <c r="L76" s="302" t="n">
        <f aca="false">INT((H76-K76)*I76)</f>
        <v>63</v>
      </c>
      <c r="M76" s="320" t="n">
        <f aca="false">INT((L76*1000)/54.5)</f>
        <v>1155</v>
      </c>
      <c r="N76" s="127" t="n">
        <f aca="false">SUM(AC76)</f>
        <v>149</v>
      </c>
      <c r="O76" s="154" t="n">
        <f aca="false">(E76+N76)/M76</f>
        <v>0.580952380952381</v>
      </c>
      <c r="P76" s="247"/>
      <c r="Q76" s="75" t="n">
        <f aca="false">SUM(AE76:BG76)</f>
        <v>48</v>
      </c>
      <c r="R76" s="247"/>
      <c r="S76" s="77" t="n">
        <f aca="false">SUM(E76+N76+Q76)</f>
        <v>719</v>
      </c>
      <c r="T76" s="149"/>
      <c r="U76" s="77" t="n">
        <f aca="false">SUM(M76-S76)</f>
        <v>436</v>
      </c>
      <c r="V76" s="93"/>
      <c r="W76" s="78" t="n">
        <f aca="false">S76/M76</f>
        <v>0.622510822510822</v>
      </c>
      <c r="X76" s="197"/>
      <c r="Y76" s="1" t="n">
        <f aca="false">W76</f>
        <v>0.622510822510822</v>
      </c>
      <c r="Z76" s="138"/>
      <c r="AA76" s="316"/>
      <c r="AB76" s="79" t="s">
        <v>53</v>
      </c>
      <c r="AC76" s="80" t="n">
        <v>149</v>
      </c>
      <c r="AD76" s="321"/>
      <c r="AE76" s="322"/>
      <c r="AF76" s="96" t="s">
        <v>160</v>
      </c>
      <c r="AG76" s="97" t="n">
        <v>48</v>
      </c>
      <c r="AH76" s="98"/>
      <c r="AI76" s="99"/>
      <c r="AJ76" s="210"/>
      <c r="AK76" s="211"/>
      <c r="AL76" s="210"/>
      <c r="AM76" s="211"/>
      <c r="AN76" s="213"/>
      <c r="AO76" s="259"/>
      <c r="AP76" s="148" t="s">
        <v>99</v>
      </c>
      <c r="AQ76" s="198" t="s">
        <v>99</v>
      </c>
      <c r="AR76" s="148"/>
      <c r="AS76" s="198"/>
      <c r="AT76" s="148"/>
      <c r="AU76" s="198"/>
      <c r="AV76" s="148"/>
      <c r="AW76" s="199"/>
      <c r="AX76" s="210" t="s">
        <v>99</v>
      </c>
      <c r="AY76" s="204" t="s">
        <v>99</v>
      </c>
      <c r="AZ76" s="81"/>
      <c r="BA76" s="82"/>
      <c r="BB76" s="81"/>
      <c r="BC76" s="82"/>
      <c r="BD76" s="81"/>
      <c r="BE76" s="82"/>
      <c r="BF76" s="81"/>
      <c r="BG76" s="83"/>
    </row>
    <row r="77" customFormat="false" ht="12" hidden="false" customHeight="true" outlineLevel="0" collapsed="false">
      <c r="A77" s="143" t="s">
        <v>154</v>
      </c>
      <c r="B77" s="69" t="s">
        <v>161</v>
      </c>
      <c r="C77" s="70" t="s">
        <v>109</v>
      </c>
      <c r="D77" s="318" t="n">
        <v>630</v>
      </c>
      <c r="E77" s="318" t="n">
        <v>629</v>
      </c>
      <c r="F77" s="319" t="n">
        <f aca="false">E77/M77</f>
        <v>0.544588744588745</v>
      </c>
      <c r="G77" s="323"/>
      <c r="H77" s="73" t="n">
        <v>44</v>
      </c>
      <c r="I77" s="74" t="n">
        <v>3</v>
      </c>
      <c r="J77" s="69" t="n">
        <f aca="false">INT(H77*I77)</f>
        <v>132</v>
      </c>
      <c r="K77" s="69" t="n">
        <f aca="false">((H77-2)/2)+2</f>
        <v>23</v>
      </c>
      <c r="L77" s="302" t="n">
        <f aca="false">INT((H77-K77)*I77)</f>
        <v>63</v>
      </c>
      <c r="M77" s="302" t="n">
        <f aca="false">INT((L77*1000)/54.5)</f>
        <v>1155</v>
      </c>
      <c r="N77" s="69" t="n">
        <f aca="false">SUM(AC77)</f>
        <v>218</v>
      </c>
      <c r="O77" s="48" t="n">
        <f aca="false">(E77+N77)/M77</f>
        <v>0.733333333333333</v>
      </c>
      <c r="P77" s="247"/>
      <c r="Q77" s="75" t="n">
        <f aca="false">SUM(AE77:BG77)</f>
        <v>48</v>
      </c>
      <c r="R77" s="247"/>
      <c r="S77" s="77" t="n">
        <f aca="false">SUM(E77+N77+Q77)</f>
        <v>895</v>
      </c>
      <c r="T77" s="149"/>
      <c r="U77" s="77" t="n">
        <f aca="false">SUM(M77-S77)</f>
        <v>260</v>
      </c>
      <c r="V77" s="93"/>
      <c r="W77" s="78" t="n">
        <f aca="false">S77/M77</f>
        <v>0.774891774891775</v>
      </c>
      <c r="X77" s="197"/>
      <c r="Y77" s="115" t="n">
        <f aca="false">W77</f>
        <v>0.774891774891775</v>
      </c>
      <c r="Z77" s="138"/>
      <c r="AA77" s="316"/>
      <c r="AB77" s="79" t="s">
        <v>53</v>
      </c>
      <c r="AC77" s="80" t="n">
        <v>218</v>
      </c>
      <c r="AD77" s="160" t="s">
        <v>160</v>
      </c>
      <c r="AE77" s="161" t="n">
        <v>48</v>
      </c>
      <c r="AF77" s="324"/>
      <c r="AG77" s="99"/>
      <c r="AH77" s="98"/>
      <c r="AI77" s="99"/>
      <c r="AJ77" s="210"/>
      <c r="AK77" s="211"/>
      <c r="AL77" s="210"/>
      <c r="AM77" s="211"/>
      <c r="AN77" s="210"/>
      <c r="AO77" s="211"/>
      <c r="AP77" s="148"/>
      <c r="AQ77" s="198"/>
      <c r="AR77" s="148"/>
      <c r="AS77" s="198"/>
      <c r="AT77" s="148"/>
      <c r="AU77" s="198"/>
      <c r="AV77" s="210"/>
      <c r="AW77" s="204"/>
      <c r="AX77" s="210"/>
      <c r="AY77" s="204"/>
      <c r="AZ77" s="81"/>
      <c r="BA77" s="82"/>
      <c r="BB77" s="81"/>
      <c r="BC77" s="82"/>
      <c r="BD77" s="81"/>
      <c r="BE77" s="82"/>
      <c r="BF77" s="81"/>
      <c r="BG77" s="83"/>
    </row>
    <row r="78" customFormat="false" ht="13.35" hidden="false" customHeight="true" outlineLevel="0" collapsed="false">
      <c r="A78" s="250" t="s">
        <v>154</v>
      </c>
      <c r="B78" s="251" t="s">
        <v>162</v>
      </c>
      <c r="C78" s="325" t="s">
        <v>105</v>
      </c>
      <c r="D78" s="127" t="n">
        <v>479</v>
      </c>
      <c r="E78" s="127" t="n">
        <v>479</v>
      </c>
      <c r="F78" s="326" t="n">
        <f aca="false">E78/M78</f>
        <v>0.512299465240642</v>
      </c>
      <c r="G78" s="323"/>
      <c r="H78" s="253" t="n">
        <v>36</v>
      </c>
      <c r="I78" s="254" t="n">
        <v>3</v>
      </c>
      <c r="J78" s="253" t="n">
        <f aca="false">INT(H78*I78)</f>
        <v>108</v>
      </c>
      <c r="K78" s="253" t="n">
        <f aca="false">((H78-2)/2)+2</f>
        <v>19</v>
      </c>
      <c r="L78" s="302" t="n">
        <f aca="false">INT((H78-K78)*I78)</f>
        <v>51</v>
      </c>
      <c r="M78" s="302" t="n">
        <f aca="false">INT((L78*1000)/54.5)</f>
        <v>935</v>
      </c>
      <c r="N78" s="127" t="n">
        <f aca="false">SUM(AC78)</f>
        <v>404</v>
      </c>
      <c r="O78" s="48" t="n">
        <f aca="false">(E78+N78)/M78</f>
        <v>0.944385026737968</v>
      </c>
      <c r="P78" s="247"/>
      <c r="Q78" s="155" t="n">
        <f aca="false">SUM(AE78:BG78)</f>
        <v>0</v>
      </c>
      <c r="R78" s="247"/>
      <c r="S78" s="77" t="n">
        <f aca="false">SUM(E78+N78+Q78)</f>
        <v>883</v>
      </c>
      <c r="T78" s="149"/>
      <c r="U78" s="77" t="n">
        <f aca="false">SUM(M78-S78)</f>
        <v>52</v>
      </c>
      <c r="V78" s="93"/>
      <c r="W78" s="327" t="n">
        <f aca="false">S78/M78</f>
        <v>0.944385026737968</v>
      </c>
      <c r="X78" s="197"/>
      <c r="Y78" s="115" t="n">
        <f aca="false">W78</f>
        <v>0.944385026737968</v>
      </c>
      <c r="Z78" s="138"/>
      <c r="AA78" s="328"/>
      <c r="AB78" s="79" t="s">
        <v>120</v>
      </c>
      <c r="AC78" s="258" t="n">
        <v>404</v>
      </c>
      <c r="AD78" s="148"/>
      <c r="AE78" s="198"/>
      <c r="AF78" s="210"/>
      <c r="AG78" s="200"/>
      <c r="AH78" s="210"/>
      <c r="AI78" s="204"/>
      <c r="AJ78" s="210" t="s">
        <v>99</v>
      </c>
      <c r="AK78" s="204" t="s">
        <v>99</v>
      </c>
      <c r="AL78" s="329"/>
      <c r="AM78" s="211"/>
      <c r="AN78" s="210"/>
      <c r="AO78" s="200"/>
      <c r="AP78" s="210"/>
      <c r="AQ78" s="204"/>
      <c r="AR78" s="210" t="s">
        <v>99</v>
      </c>
      <c r="AS78" s="204"/>
      <c r="AT78" s="210" t="s">
        <v>99</v>
      </c>
      <c r="AU78" s="204"/>
      <c r="AV78" s="210" t="s">
        <v>99</v>
      </c>
      <c r="AW78" s="204" t="s">
        <v>99</v>
      </c>
      <c r="AX78" s="210" t="s">
        <v>99</v>
      </c>
      <c r="AY78" s="204" t="s">
        <v>99</v>
      </c>
      <c r="AZ78" s="210" t="s">
        <v>99</v>
      </c>
      <c r="BA78" s="204" t="s">
        <v>99</v>
      </c>
      <c r="BB78" s="210" t="s">
        <v>99</v>
      </c>
      <c r="BC78" s="204" t="s">
        <v>99</v>
      </c>
      <c r="BD78" s="210" t="s">
        <v>99</v>
      </c>
      <c r="BE78" s="204" t="s">
        <v>99</v>
      </c>
      <c r="BF78" s="210" t="s">
        <v>99</v>
      </c>
      <c r="BG78" s="260" t="s">
        <v>99</v>
      </c>
    </row>
    <row r="79" customFormat="false" ht="13.35" hidden="false" customHeight="true" outlineLevel="0" collapsed="false">
      <c r="A79" s="261" t="s">
        <v>154</v>
      </c>
      <c r="B79" s="262" t="s">
        <v>163</v>
      </c>
      <c r="C79" s="263" t="s">
        <v>105</v>
      </c>
      <c r="D79" s="104" t="n">
        <v>472</v>
      </c>
      <c r="E79" s="104" t="n">
        <v>473</v>
      </c>
      <c r="F79" s="330" t="n">
        <f aca="false">E79/M79</f>
        <v>0.505882352941176</v>
      </c>
      <c r="G79" s="323"/>
      <c r="H79" s="253" t="n">
        <v>36</v>
      </c>
      <c r="I79" s="254" t="n">
        <v>3</v>
      </c>
      <c r="J79" s="253" t="n">
        <f aca="false">INT(H79*I79)</f>
        <v>108</v>
      </c>
      <c r="K79" s="253" t="n">
        <f aca="false">((H79-2)/2)+2</f>
        <v>19</v>
      </c>
      <c r="L79" s="302" t="n">
        <f aca="false">INT((H79-K79)*I79)</f>
        <v>51</v>
      </c>
      <c r="M79" s="104" t="n">
        <f aca="false">INT((L79*1000)/54.5)</f>
        <v>935</v>
      </c>
      <c r="N79" s="104" t="n">
        <f aca="false">SUM(AC79)</f>
        <v>439</v>
      </c>
      <c r="O79" s="309" t="n">
        <f aca="false">(E79+N79)/M79</f>
        <v>0.975401069518716</v>
      </c>
      <c r="P79" s="247"/>
      <c r="Q79" s="111" t="n">
        <f aca="false">SUM(AE79:BG79)</f>
        <v>0</v>
      </c>
      <c r="R79" s="247"/>
      <c r="S79" s="113" t="n">
        <f aca="false">SUM(E79+N79+Q79)</f>
        <v>912</v>
      </c>
      <c r="T79" s="149"/>
      <c r="U79" s="113" t="n">
        <f aca="false">SUM(M79-S79)</f>
        <v>23</v>
      </c>
      <c r="V79" s="93"/>
      <c r="W79" s="331" t="n">
        <f aca="false">S79/M79</f>
        <v>0.975401069518716</v>
      </c>
      <c r="X79" s="197"/>
      <c r="Y79" s="115" t="n">
        <f aca="false">W79</f>
        <v>0.975401069518716</v>
      </c>
      <c r="Z79" s="138"/>
      <c r="AA79" s="328"/>
      <c r="AB79" s="116" t="s">
        <v>120</v>
      </c>
      <c r="AC79" s="267" t="n">
        <v>439</v>
      </c>
      <c r="AD79" s="273"/>
      <c r="AE79" s="332"/>
      <c r="AF79" s="271"/>
      <c r="AG79" s="333"/>
      <c r="AH79" s="271"/>
      <c r="AI79" s="272"/>
      <c r="AJ79" s="271" t="s">
        <v>99</v>
      </c>
      <c r="AK79" s="272" t="s">
        <v>99</v>
      </c>
      <c r="AL79" s="334"/>
      <c r="AM79" s="335"/>
      <c r="AN79" s="336"/>
      <c r="AO79" s="333"/>
      <c r="AP79" s="271"/>
      <c r="AQ79" s="272"/>
      <c r="AR79" s="271" t="s">
        <v>99</v>
      </c>
      <c r="AS79" s="272" t="s">
        <v>99</v>
      </c>
      <c r="AT79" s="271" t="s">
        <v>99</v>
      </c>
      <c r="AU79" s="272"/>
      <c r="AV79" s="271" t="s">
        <v>99</v>
      </c>
      <c r="AW79" s="272" t="s">
        <v>99</v>
      </c>
      <c r="AX79" s="271" t="s">
        <v>99</v>
      </c>
      <c r="AY79" s="272" t="s">
        <v>99</v>
      </c>
      <c r="AZ79" s="271" t="s">
        <v>99</v>
      </c>
      <c r="BA79" s="272" t="s">
        <v>99</v>
      </c>
      <c r="BB79" s="271" t="s">
        <v>99</v>
      </c>
      <c r="BC79" s="272" t="s">
        <v>99</v>
      </c>
      <c r="BD79" s="271" t="s">
        <v>99</v>
      </c>
      <c r="BE79" s="272" t="s">
        <v>99</v>
      </c>
      <c r="BF79" s="271" t="s">
        <v>99</v>
      </c>
      <c r="BG79" s="275" t="s">
        <v>99</v>
      </c>
    </row>
    <row r="80" customFormat="false" ht="13.15" hidden="false" customHeight="false" outlineLevel="0" collapsed="false">
      <c r="A80" s="40" t="s">
        <v>164</v>
      </c>
      <c r="B80" s="41" t="s">
        <v>165</v>
      </c>
      <c r="C80" s="42" t="s">
        <v>39</v>
      </c>
      <c r="D80" s="169" t="n">
        <v>420</v>
      </c>
      <c r="E80" s="169" t="n">
        <v>376</v>
      </c>
      <c r="F80" s="170" t="n">
        <f aca="false">E80/M80</f>
        <v>0.325541125541125</v>
      </c>
      <c r="G80" s="45" t="n">
        <f aca="false">SUM(E80:E84)*54.5/1000</f>
        <v>100.389</v>
      </c>
      <c r="H80" s="46" t="n">
        <v>36</v>
      </c>
      <c r="I80" s="47" t="n">
        <v>3.5</v>
      </c>
      <c r="J80" s="41" t="n">
        <f aca="false">INT(H80*I80)</f>
        <v>126</v>
      </c>
      <c r="K80" s="41" t="n">
        <v>18</v>
      </c>
      <c r="L80" s="41" t="n">
        <f aca="false">INT((H80-K80)*I80)</f>
        <v>63</v>
      </c>
      <c r="M80" s="41" t="n">
        <f aca="false">INT((L80*1000)/54.5)</f>
        <v>1155</v>
      </c>
      <c r="N80" s="41" t="n">
        <f aca="false">SUM(AC80)</f>
        <v>0</v>
      </c>
      <c r="O80" s="173" t="n">
        <f aca="false">(E80+N80)/M80</f>
        <v>0.325541125541125</v>
      </c>
      <c r="P80" s="45" t="n">
        <f aca="false">SUM(N80:N84)*54.5/1000</f>
        <v>0</v>
      </c>
      <c r="Q80" s="49" t="n">
        <f aca="false">SUM(AE80:BG80)</f>
        <v>50.15</v>
      </c>
      <c r="R80" s="174" t="n">
        <f aca="false">SUM(Q80:Q84)*54.5/1000</f>
        <v>6.97055</v>
      </c>
      <c r="S80" s="136" t="n">
        <f aca="false">SUM(E80+N80+Q80)</f>
        <v>426.15</v>
      </c>
      <c r="T80" s="45" t="n">
        <f aca="false">SUM(S80:S84)*54.5/1000</f>
        <v>107.35955</v>
      </c>
      <c r="U80" s="136" t="n">
        <f aca="false">SUM(M80-S80)</f>
        <v>728.85</v>
      </c>
      <c r="V80" s="45" t="n">
        <f aca="false">SUM(U80:U84)*54.5/1000</f>
        <v>207.37795</v>
      </c>
      <c r="W80" s="55" t="n">
        <f aca="false">S80/M80</f>
        <v>0.368961038961039</v>
      </c>
      <c r="X80" s="56" t="n">
        <f aca="false">(G80+P80+R80)/'Building Capability'!$D$14</f>
        <v>0.340823968253968</v>
      </c>
      <c r="Y80" s="57" t="n">
        <f aca="false">W80</f>
        <v>0.368961038961039</v>
      </c>
      <c r="Z80" s="58" t="n">
        <f aca="false">(G80+P80+R80)/'Building Capability'!$F$14</f>
        <v>0.340823968253968</v>
      </c>
      <c r="AB80" s="60"/>
      <c r="AC80" s="61"/>
      <c r="AD80" s="64" t="s">
        <v>166</v>
      </c>
      <c r="AE80" s="65" t="n">
        <v>41</v>
      </c>
      <c r="AF80" s="62" t="s">
        <v>167</v>
      </c>
      <c r="AG80" s="63" t="n">
        <v>9.15</v>
      </c>
      <c r="AH80" s="62"/>
      <c r="AI80" s="63"/>
      <c r="AJ80" s="62"/>
      <c r="AK80" s="63"/>
      <c r="AL80" s="62"/>
      <c r="AM80" s="63"/>
      <c r="AN80" s="62"/>
      <c r="AO80" s="63"/>
      <c r="AP80" s="62"/>
      <c r="AQ80" s="63"/>
      <c r="AR80" s="81"/>
      <c r="AS80" s="63"/>
      <c r="AT80" s="62"/>
      <c r="AU80" s="63"/>
      <c r="AV80" s="62"/>
      <c r="AW80" s="63"/>
      <c r="AX80" s="62"/>
      <c r="AY80" s="63"/>
      <c r="AZ80" s="62"/>
      <c r="BA80" s="63"/>
      <c r="BB80" s="62"/>
      <c r="BC80" s="63"/>
      <c r="BD80" s="62"/>
      <c r="BE80" s="63"/>
      <c r="BF80" s="62"/>
      <c r="BG80" s="66"/>
    </row>
    <row r="81" customFormat="false" ht="13.5" hidden="false" customHeight="false" outlineLevel="0" collapsed="false">
      <c r="A81" s="143" t="s">
        <v>164</v>
      </c>
      <c r="B81" s="69" t="s">
        <v>168</v>
      </c>
      <c r="C81" s="70" t="s">
        <v>39</v>
      </c>
      <c r="D81" s="144" t="n">
        <v>506</v>
      </c>
      <c r="E81" s="144" t="n">
        <v>469</v>
      </c>
      <c r="F81" s="157" t="n">
        <f aca="false">E81/M81</f>
        <v>0.406060606060606</v>
      </c>
      <c r="G81" s="45"/>
      <c r="H81" s="73" t="n">
        <v>36</v>
      </c>
      <c r="I81" s="74" t="n">
        <v>3.5</v>
      </c>
      <c r="J81" s="69" t="n">
        <f aca="false">INT(H81*I81)</f>
        <v>126</v>
      </c>
      <c r="K81" s="69" t="n">
        <v>18</v>
      </c>
      <c r="L81" s="69" t="n">
        <f aca="false">INT((H81-K81)*I81)</f>
        <v>63</v>
      </c>
      <c r="M81" s="69" t="n">
        <f aca="false">INT((L81*1000)/54.5)</f>
        <v>1155</v>
      </c>
      <c r="N81" s="69" t="n">
        <f aca="false">SUM(AC81)</f>
        <v>0</v>
      </c>
      <c r="O81" s="48" t="n">
        <f aca="false">(E81+N81)/M81</f>
        <v>0.406060606060606</v>
      </c>
      <c r="P81" s="45"/>
      <c r="Q81" s="75" t="n">
        <f aca="false">SUM(AE81:BG81)</f>
        <v>32</v>
      </c>
      <c r="R81" s="174"/>
      <c r="S81" s="77" t="n">
        <f aca="false">SUM(E81+N81+Q81)</f>
        <v>501</v>
      </c>
      <c r="T81" s="45"/>
      <c r="U81" s="77" t="n">
        <f aca="false">SUM(M81-S81)</f>
        <v>654</v>
      </c>
      <c r="V81" s="45"/>
      <c r="W81" s="78" t="n">
        <f aca="false">S81/M81</f>
        <v>0.433766233766234</v>
      </c>
      <c r="X81" s="56"/>
      <c r="Y81" s="1" t="n">
        <f aca="false">W81</f>
        <v>0.433766233766234</v>
      </c>
      <c r="Z81" s="58"/>
      <c r="AB81" s="79"/>
      <c r="AC81" s="80"/>
      <c r="AD81" s="160" t="s">
        <v>166</v>
      </c>
      <c r="AE81" s="161" t="n">
        <v>32</v>
      </c>
      <c r="AF81" s="96"/>
      <c r="AG81" s="97"/>
      <c r="AH81" s="81"/>
      <c r="AI81" s="99"/>
      <c r="AJ81" s="81"/>
      <c r="AK81" s="82"/>
      <c r="AL81" s="81"/>
      <c r="AM81" s="82"/>
      <c r="AN81" s="81"/>
      <c r="AO81" s="82"/>
      <c r="AP81" s="81"/>
      <c r="AQ81" s="82"/>
      <c r="AR81" s="81"/>
      <c r="AS81" s="82"/>
      <c r="AT81" s="81"/>
      <c r="AU81" s="82"/>
      <c r="AV81" s="81"/>
      <c r="AW81" s="82"/>
      <c r="AX81" s="81"/>
      <c r="AY81" s="82"/>
      <c r="AZ81" s="81"/>
      <c r="BA81" s="82"/>
      <c r="BB81" s="81"/>
      <c r="BC81" s="82"/>
      <c r="BD81" s="81"/>
      <c r="BE81" s="82"/>
      <c r="BF81" s="81"/>
      <c r="BG81" s="83"/>
    </row>
    <row r="82" customFormat="false" ht="13.5" hidden="false" customHeight="false" outlineLevel="0" collapsed="false">
      <c r="A82" s="143" t="s">
        <v>164</v>
      </c>
      <c r="B82" s="69" t="s">
        <v>169</v>
      </c>
      <c r="C82" s="70" t="s">
        <v>39</v>
      </c>
      <c r="D82" s="77" t="n">
        <v>531</v>
      </c>
      <c r="E82" s="77" t="n">
        <v>532</v>
      </c>
      <c r="F82" s="157" t="n">
        <f aca="false">E82/M82</f>
        <v>0.460606060606061</v>
      </c>
      <c r="G82" s="45"/>
      <c r="H82" s="73" t="n">
        <v>36</v>
      </c>
      <c r="I82" s="74" t="n">
        <v>3.5</v>
      </c>
      <c r="J82" s="69" t="n">
        <f aca="false">INT(H82*I82)</f>
        <v>126</v>
      </c>
      <c r="K82" s="69" t="n">
        <v>18</v>
      </c>
      <c r="L82" s="69" t="n">
        <f aca="false">INT((H82-K82)*I82)</f>
        <v>63</v>
      </c>
      <c r="M82" s="69" t="n">
        <f aca="false">INT((L82*1000)/54.5)</f>
        <v>1155</v>
      </c>
      <c r="N82" s="69" t="n">
        <f aca="false">SUM(AC82)</f>
        <v>0</v>
      </c>
      <c r="O82" s="48" t="n">
        <f aca="false">(E82+N82)/M82</f>
        <v>0.460606060606061</v>
      </c>
      <c r="P82" s="45"/>
      <c r="Q82" s="75" t="n">
        <f aca="false">SUM(AE82:BG82)</f>
        <v>27.45</v>
      </c>
      <c r="R82" s="174"/>
      <c r="S82" s="77" t="n">
        <f aca="false">SUM(E82+N82+Q82)</f>
        <v>559.45</v>
      </c>
      <c r="T82" s="45"/>
      <c r="U82" s="77" t="n">
        <f aca="false">SUM(M82-S82)</f>
        <v>595.55</v>
      </c>
      <c r="V82" s="45"/>
      <c r="W82" s="78" t="n">
        <f aca="false">S82/M82</f>
        <v>0.484372294372294</v>
      </c>
      <c r="X82" s="56"/>
      <c r="Y82" s="1" t="n">
        <f aca="false">W82</f>
        <v>0.484372294372294</v>
      </c>
      <c r="Z82" s="58"/>
      <c r="AB82" s="79"/>
      <c r="AC82" s="80"/>
      <c r="AD82" s="96"/>
      <c r="AE82" s="97"/>
      <c r="AF82" s="81" t="s">
        <v>167</v>
      </c>
      <c r="AG82" s="82" t="n">
        <v>9.15</v>
      </c>
      <c r="AH82" s="81" t="s">
        <v>170</v>
      </c>
      <c r="AI82" s="82" t="n">
        <v>18.3</v>
      </c>
      <c r="AJ82" s="81"/>
      <c r="AK82" s="82"/>
      <c r="AL82" s="81"/>
      <c r="AM82" s="82"/>
      <c r="AN82" s="81"/>
      <c r="AO82" s="82"/>
      <c r="AP82" s="81"/>
      <c r="AQ82" s="82"/>
      <c r="AR82" s="81"/>
      <c r="AS82" s="82"/>
      <c r="AT82" s="81"/>
      <c r="AU82" s="82"/>
      <c r="AV82" s="81"/>
      <c r="AW82" s="82"/>
      <c r="AX82" s="81"/>
      <c r="AY82" s="82"/>
      <c r="AZ82" s="81"/>
      <c r="BA82" s="82"/>
      <c r="BB82" s="81"/>
      <c r="BC82" s="82"/>
      <c r="BD82" s="81"/>
      <c r="BE82" s="82"/>
      <c r="BF82" s="81"/>
      <c r="BG82" s="83"/>
    </row>
    <row r="83" customFormat="false" ht="13.15" hidden="false" customHeight="false" outlineLevel="0" collapsed="false">
      <c r="A83" s="143" t="s">
        <v>164</v>
      </c>
      <c r="B83" s="69" t="s">
        <v>171</v>
      </c>
      <c r="C83" s="70" t="s">
        <v>39</v>
      </c>
      <c r="D83" s="144" t="n">
        <v>260</v>
      </c>
      <c r="E83" s="144" t="n">
        <v>253</v>
      </c>
      <c r="F83" s="157" t="n">
        <f aca="false">E83/M83</f>
        <v>0.219047619047619</v>
      </c>
      <c r="G83" s="158" t="n">
        <f aca="false">G80/'Building Capability'!$D$14</f>
        <v>0.318695238095238</v>
      </c>
      <c r="H83" s="73" t="n">
        <v>36</v>
      </c>
      <c r="I83" s="74" t="n">
        <v>3.5</v>
      </c>
      <c r="J83" s="69" t="n">
        <f aca="false">INT(H83*I83)</f>
        <v>126</v>
      </c>
      <c r="K83" s="69" t="n">
        <v>18</v>
      </c>
      <c r="L83" s="69" t="n">
        <f aca="false">INT((H83-K83)*I83)</f>
        <v>63</v>
      </c>
      <c r="M83" s="69" t="n">
        <f aca="false">INT((L83*1000)/54.5)</f>
        <v>1155</v>
      </c>
      <c r="N83" s="69" t="n">
        <f aca="false">SUM(AC83)</f>
        <v>0</v>
      </c>
      <c r="O83" s="48" t="n">
        <f aca="false">(E83+N83)/M83</f>
        <v>0.219047619047619</v>
      </c>
      <c r="P83" s="149" t="n">
        <f aca="false">P80/'Building Capability'!$D$14</f>
        <v>0</v>
      </c>
      <c r="Q83" s="75" t="n">
        <f aca="false">SUM(AE83:BG83)</f>
        <v>18.3</v>
      </c>
      <c r="R83" s="281" t="n">
        <f aca="false">R80/'Building Capability'!$D$14</f>
        <v>0.0221287301587302</v>
      </c>
      <c r="S83" s="77" t="n">
        <f aca="false">SUM(E83+N83+Q83)</f>
        <v>271.3</v>
      </c>
      <c r="T83" s="149" t="n">
        <f aca="false">T80/'Building Capability'!$D$14</f>
        <v>0.340823968253968</v>
      </c>
      <c r="U83" s="77" t="n">
        <f aca="false">SUM(M83-S83)</f>
        <v>883.7</v>
      </c>
      <c r="V83" s="282" t="n">
        <f aca="false">V80/'Building Capability'!$D$14</f>
        <v>0.658342698412698</v>
      </c>
      <c r="W83" s="78" t="n">
        <f aca="false">S83/M83</f>
        <v>0.234891774891775</v>
      </c>
      <c r="X83" s="56"/>
      <c r="Y83" s="1" t="n">
        <f aca="false">W83</f>
        <v>0.234891774891775</v>
      </c>
      <c r="Z83" s="58"/>
      <c r="AB83" s="79"/>
      <c r="AC83" s="80"/>
      <c r="AD83" s="98"/>
      <c r="AE83" s="99"/>
      <c r="AF83" s="81"/>
      <c r="AG83" s="99"/>
      <c r="AH83" s="81" t="s">
        <v>170</v>
      </c>
      <c r="AI83" s="82" t="n">
        <v>18.3</v>
      </c>
      <c r="AJ83" s="81"/>
      <c r="AK83" s="82"/>
      <c r="AL83" s="81"/>
      <c r="AM83" s="82"/>
      <c r="AN83" s="81"/>
      <c r="AO83" s="82"/>
      <c r="AP83" s="81"/>
      <c r="AQ83" s="82"/>
      <c r="AR83" s="81"/>
      <c r="AS83" s="82"/>
      <c r="AT83" s="81"/>
      <c r="AU83" s="82"/>
      <c r="AV83" s="81"/>
      <c r="AW83" s="82"/>
      <c r="AX83" s="81"/>
      <c r="AY83" s="82"/>
      <c r="AZ83" s="81"/>
      <c r="BA83" s="82"/>
      <c r="BB83" s="81"/>
      <c r="BC83" s="82"/>
      <c r="BD83" s="81"/>
      <c r="BE83" s="82"/>
      <c r="BF83" s="81"/>
      <c r="BG83" s="83"/>
    </row>
    <row r="84" customFormat="false" ht="13.15" hidden="false" customHeight="false" outlineLevel="0" collapsed="false">
      <c r="A84" s="103" t="s">
        <v>164</v>
      </c>
      <c r="B84" s="104" t="s">
        <v>172</v>
      </c>
      <c r="C84" s="105" t="s">
        <v>39</v>
      </c>
      <c r="D84" s="337" t="n">
        <v>212</v>
      </c>
      <c r="E84" s="337" t="n">
        <v>212</v>
      </c>
      <c r="F84" s="194" t="n">
        <f aca="false">E84/M84</f>
        <v>0.183549783549784</v>
      </c>
      <c r="G84" s="158"/>
      <c r="H84" s="108" t="n">
        <v>36</v>
      </c>
      <c r="I84" s="109" t="n">
        <v>3.5</v>
      </c>
      <c r="J84" s="104" t="n">
        <f aca="false">INT(H84*I84)</f>
        <v>126</v>
      </c>
      <c r="K84" s="104" t="n">
        <v>18</v>
      </c>
      <c r="L84" s="104" t="n">
        <f aca="false">INT((H84-K84)*I84)</f>
        <v>63</v>
      </c>
      <c r="M84" s="104" t="n">
        <f aca="false">INT((L84*1000)/54.5)</f>
        <v>1155</v>
      </c>
      <c r="N84" s="104" t="n">
        <f aca="false">SUM(AC84)</f>
        <v>0</v>
      </c>
      <c r="O84" s="110" t="n">
        <f aca="false">(E84+N84)/M84</f>
        <v>0.183549783549784</v>
      </c>
      <c r="P84" s="149"/>
      <c r="Q84" s="111" t="n">
        <f aca="false">SUM(AE84:BG84)</f>
        <v>0</v>
      </c>
      <c r="R84" s="281"/>
      <c r="S84" s="113" t="n">
        <f aca="false">SUM(E84+N84+Q84)</f>
        <v>212</v>
      </c>
      <c r="T84" s="149"/>
      <c r="U84" s="113" t="n">
        <f aca="false">SUM(M84-S84)</f>
        <v>943</v>
      </c>
      <c r="V84" s="282"/>
      <c r="W84" s="114" t="n">
        <f aca="false">S84/M84</f>
        <v>0.183549783549784</v>
      </c>
      <c r="X84" s="56"/>
      <c r="Y84" s="115" t="n">
        <f aca="false">W84</f>
        <v>0.183549783549784</v>
      </c>
      <c r="Z84" s="58"/>
      <c r="AB84" s="116"/>
      <c r="AC84" s="117"/>
      <c r="AD84" s="122"/>
      <c r="AE84" s="123"/>
      <c r="AF84" s="118"/>
      <c r="AG84" s="119"/>
      <c r="AH84" s="118"/>
      <c r="AI84" s="119"/>
      <c r="AJ84" s="118"/>
      <c r="AK84" s="119"/>
      <c r="AL84" s="118"/>
      <c r="AM84" s="119"/>
      <c r="AN84" s="118"/>
      <c r="AO84" s="119"/>
      <c r="AP84" s="118"/>
      <c r="AQ84" s="119"/>
      <c r="AR84" s="118"/>
      <c r="AS84" s="119"/>
      <c r="AT84" s="118"/>
      <c r="AU84" s="119"/>
      <c r="AV84" s="118"/>
      <c r="AW84" s="119"/>
      <c r="AX84" s="118"/>
      <c r="AY84" s="119"/>
      <c r="AZ84" s="118"/>
      <c r="BA84" s="119"/>
      <c r="BB84" s="118"/>
      <c r="BC84" s="119"/>
      <c r="BD84" s="118"/>
      <c r="BE84" s="119"/>
      <c r="BF84" s="118"/>
      <c r="BG84" s="125"/>
    </row>
    <row r="85" customFormat="false" ht="12.75" hidden="false" customHeight="false" outlineLevel="0" collapsed="false">
      <c r="A85" s="40" t="s">
        <v>173</v>
      </c>
      <c r="B85" s="41" t="s">
        <v>174</v>
      </c>
      <c r="C85" s="42" t="s">
        <v>39</v>
      </c>
      <c r="D85" s="53" t="n">
        <v>357</v>
      </c>
      <c r="E85" s="53" t="n">
        <v>357</v>
      </c>
      <c r="F85" s="44" t="n">
        <f aca="false">E85/M85</f>
        <v>0.309090909090909</v>
      </c>
      <c r="G85" s="45" t="n">
        <f aca="false">SUM(E85:E88)*54.5/1000</f>
        <v>87.6905</v>
      </c>
      <c r="H85" s="46" t="n">
        <v>36</v>
      </c>
      <c r="I85" s="47" t="n">
        <v>3.5</v>
      </c>
      <c r="J85" s="41" t="n">
        <f aca="false">INT(H85*I85)</f>
        <v>126</v>
      </c>
      <c r="K85" s="41" t="n">
        <v>18</v>
      </c>
      <c r="L85" s="41" t="n">
        <f aca="false">INT((H85-K85)*I85)</f>
        <v>63</v>
      </c>
      <c r="M85" s="41" t="n">
        <f aca="false">INT((L85*1000)/54.5)</f>
        <v>1155</v>
      </c>
      <c r="N85" s="41" t="n">
        <f aca="false">SUM(AC85)</f>
        <v>0</v>
      </c>
      <c r="O85" s="173" t="n">
        <f aca="false">(E85+N85)/M85</f>
        <v>0.309090909090909</v>
      </c>
      <c r="P85" s="45" t="n">
        <f aca="false">SUM(N85:N88)*54.5/1000</f>
        <v>0</v>
      </c>
      <c r="Q85" s="75" t="n">
        <f aca="false">SUM(AE85:BG85)</f>
        <v>0</v>
      </c>
      <c r="R85" s="50" t="n">
        <f aca="false">SUM(Q85:Q88)*54.5/1000</f>
        <v>11.663</v>
      </c>
      <c r="S85" s="136" t="n">
        <f aca="false">SUM(E85+N85+Q85)</f>
        <v>357</v>
      </c>
      <c r="T85" s="45" t="n">
        <f aca="false">SUM(S85:S88)*54.5/1000</f>
        <v>99.3535</v>
      </c>
      <c r="U85" s="53" t="n">
        <f aca="false">SUM(M85-S85)</f>
        <v>798</v>
      </c>
      <c r="V85" s="45" t="n">
        <f aca="false">SUM(U85:U88)*54.5/1000</f>
        <v>152.4365</v>
      </c>
      <c r="W85" s="55" t="n">
        <f aca="false">S85/M85</f>
        <v>0.309090909090909</v>
      </c>
      <c r="X85" s="56" t="n">
        <f aca="false">(G85+P85+R85)/'Building Capability'!$D$15</f>
        <v>0.394259920634921</v>
      </c>
      <c r="Y85" s="57" t="n">
        <f aca="false">W85</f>
        <v>0.309090909090909</v>
      </c>
      <c r="Z85" s="58" t="n">
        <f aca="false">(G85+P85+R85)/'Building Capability'!$F$15</f>
        <v>0.331178333333333</v>
      </c>
      <c r="AB85" s="60"/>
      <c r="AC85" s="61"/>
      <c r="AD85" s="62"/>
      <c r="AE85" s="63"/>
      <c r="AF85" s="62"/>
      <c r="AG85" s="63"/>
      <c r="AH85" s="140"/>
      <c r="AI85" s="141"/>
      <c r="AJ85" s="62"/>
      <c r="AK85" s="63"/>
      <c r="AL85" s="62"/>
      <c r="AM85" s="63"/>
      <c r="AN85" s="62"/>
      <c r="AO85" s="63"/>
      <c r="AP85" s="62"/>
      <c r="AQ85" s="63"/>
      <c r="AR85" s="81"/>
      <c r="AS85" s="63"/>
      <c r="AT85" s="62"/>
      <c r="AU85" s="63"/>
      <c r="AV85" s="62"/>
      <c r="AW85" s="63"/>
      <c r="AX85" s="62"/>
      <c r="AY85" s="63"/>
      <c r="AZ85" s="62"/>
      <c r="BA85" s="63"/>
      <c r="BB85" s="62"/>
      <c r="BC85" s="63"/>
      <c r="BD85" s="62"/>
      <c r="BE85" s="63"/>
      <c r="BF85" s="62"/>
      <c r="BG85" s="66"/>
    </row>
    <row r="86" customFormat="false" ht="13.5" hidden="false" customHeight="false" outlineLevel="0" collapsed="false">
      <c r="A86" s="143" t="s">
        <v>173</v>
      </c>
      <c r="B86" s="69" t="s">
        <v>175</v>
      </c>
      <c r="C86" s="70" t="s">
        <v>39</v>
      </c>
      <c r="D86" s="77" t="n">
        <v>507</v>
      </c>
      <c r="E86" s="77" t="n">
        <v>488</v>
      </c>
      <c r="F86" s="207" t="n">
        <f aca="false">E86/M86</f>
        <v>0.422510822510823</v>
      </c>
      <c r="G86" s="45"/>
      <c r="H86" s="73" t="n">
        <v>36</v>
      </c>
      <c r="I86" s="74" t="n">
        <v>3.5</v>
      </c>
      <c r="J86" s="69" t="n">
        <f aca="false">INT(H86*I86)</f>
        <v>126</v>
      </c>
      <c r="K86" s="69" t="n">
        <v>18</v>
      </c>
      <c r="L86" s="69" t="n">
        <f aca="false">INT((H86-K86)*I86)</f>
        <v>63</v>
      </c>
      <c r="M86" s="69" t="n">
        <f aca="false">INT((L86*1000)/54.5)</f>
        <v>1155</v>
      </c>
      <c r="N86" s="69" t="n">
        <f aca="false">SUM(AC86)</f>
        <v>0</v>
      </c>
      <c r="O86" s="48" t="n">
        <f aca="false">(E86+N86)/M86</f>
        <v>0.422510822510823</v>
      </c>
      <c r="P86" s="45"/>
      <c r="Q86" s="75" t="n">
        <f aca="false">SUM(AE86:BG86)</f>
        <v>107</v>
      </c>
      <c r="R86" s="50"/>
      <c r="S86" s="77" t="n">
        <f aca="false">SUM(E86+N86+Q86)</f>
        <v>595</v>
      </c>
      <c r="T86" s="45"/>
      <c r="U86" s="77" t="n">
        <f aca="false">SUM(M86-S86)</f>
        <v>560</v>
      </c>
      <c r="V86" s="45"/>
      <c r="W86" s="78" t="n">
        <f aca="false">S86/M86</f>
        <v>0.515151515151515</v>
      </c>
      <c r="X86" s="56"/>
      <c r="Y86" s="1" t="n">
        <f aca="false">W86</f>
        <v>0.515151515151515</v>
      </c>
      <c r="Z86" s="58"/>
      <c r="AB86" s="79"/>
      <c r="AC86" s="80"/>
      <c r="AD86" s="96" t="s">
        <v>176</v>
      </c>
      <c r="AE86" s="97" t="n">
        <v>107</v>
      </c>
      <c r="AF86" s="96"/>
      <c r="AG86" s="97"/>
      <c r="AH86" s="98"/>
      <c r="AI86" s="99"/>
      <c r="AJ86" s="81"/>
      <c r="AK86" s="82"/>
      <c r="AL86" s="81"/>
      <c r="AM86" s="82"/>
      <c r="AN86" s="81"/>
      <c r="AO86" s="82"/>
      <c r="AP86" s="81"/>
      <c r="AQ86" s="82"/>
      <c r="AR86" s="81"/>
      <c r="AS86" s="82"/>
      <c r="AT86" s="81"/>
      <c r="AU86" s="82"/>
      <c r="AV86" s="81"/>
      <c r="AW86" s="82"/>
      <c r="AX86" s="81"/>
      <c r="AY86" s="82"/>
      <c r="AZ86" s="81"/>
      <c r="BA86" s="82"/>
      <c r="BB86" s="81"/>
      <c r="BC86" s="82"/>
      <c r="BD86" s="81"/>
      <c r="BE86" s="82"/>
      <c r="BF86" s="81"/>
      <c r="BG86" s="83"/>
    </row>
    <row r="87" customFormat="false" ht="13.5" hidden="false" customHeight="false" outlineLevel="0" collapsed="false">
      <c r="A87" s="143" t="s">
        <v>173</v>
      </c>
      <c r="B87" s="69" t="s">
        <v>177</v>
      </c>
      <c r="C87" s="70" t="s">
        <v>39</v>
      </c>
      <c r="D87" s="292" t="n">
        <v>436</v>
      </c>
      <c r="E87" s="292" t="n">
        <v>449</v>
      </c>
      <c r="F87" s="72" t="n">
        <f aca="false">E87/M87</f>
        <v>0.388744588744589</v>
      </c>
      <c r="G87" s="338" t="n">
        <f aca="false">G85/'Building Capability'!$D$15</f>
        <v>0.347978174603175</v>
      </c>
      <c r="H87" s="73" t="n">
        <v>36</v>
      </c>
      <c r="I87" s="74" t="n">
        <v>3.5</v>
      </c>
      <c r="J87" s="69" t="n">
        <f aca="false">INT(H87*I87)</f>
        <v>126</v>
      </c>
      <c r="K87" s="69" t="n">
        <v>18</v>
      </c>
      <c r="L87" s="69" t="n">
        <f aca="false">INT((H87-K87)*I87)</f>
        <v>63</v>
      </c>
      <c r="M87" s="69" t="n">
        <f aca="false">INT((L87*1000)/54.5)</f>
        <v>1155</v>
      </c>
      <c r="N87" s="69" t="n">
        <f aca="false">SUM(AC87)</f>
        <v>0</v>
      </c>
      <c r="O87" s="48" t="n">
        <f aca="false">(E87+N87)/M87</f>
        <v>0.388744588744589</v>
      </c>
      <c r="P87" s="149" t="n">
        <f aca="false">P85/'Building Capability'!$D$15</f>
        <v>0</v>
      </c>
      <c r="Q87" s="167" t="n">
        <f aca="false">SUM(AE87:BG87)</f>
        <v>107</v>
      </c>
      <c r="R87" s="93" t="n">
        <f aca="false">R85/'Building Capability'!$D$15</f>
        <v>0.046281746031746</v>
      </c>
      <c r="S87" s="77" t="n">
        <f aca="false">SUM(E87+N87+Q87)</f>
        <v>556</v>
      </c>
      <c r="T87" s="149" t="n">
        <f aca="false">T85/'Building Capability'!$D$15</f>
        <v>0.394259920634921</v>
      </c>
      <c r="U87" s="77" t="n">
        <f aca="false">SUM(M87-S87)</f>
        <v>599</v>
      </c>
      <c r="V87" s="282" t="n">
        <f aca="false">V85/'Building Capability'!$D$15</f>
        <v>0.604906746031746</v>
      </c>
      <c r="W87" s="78" t="n">
        <f aca="false">S87/M87</f>
        <v>0.481385281385281</v>
      </c>
      <c r="X87" s="56"/>
      <c r="Y87" s="1" t="n">
        <f aca="false">W87</f>
        <v>0.481385281385281</v>
      </c>
      <c r="Z87" s="58"/>
      <c r="AB87" s="79"/>
      <c r="AC87" s="80"/>
      <c r="AD87" s="96" t="s">
        <v>176</v>
      </c>
      <c r="AE87" s="97" t="n">
        <v>107</v>
      </c>
      <c r="AF87" s="96"/>
      <c r="AG87" s="97"/>
      <c r="AH87" s="98"/>
      <c r="AI87" s="99"/>
      <c r="AJ87" s="81"/>
      <c r="AK87" s="82"/>
      <c r="AL87" s="81"/>
      <c r="AM87" s="82"/>
      <c r="AN87" s="81"/>
      <c r="AO87" s="82"/>
      <c r="AP87" s="81"/>
      <c r="AQ87" s="82"/>
      <c r="AR87" s="81"/>
      <c r="AS87" s="82"/>
      <c r="AT87" s="81"/>
      <c r="AU87" s="82"/>
      <c r="AV87" s="81"/>
      <c r="AW87" s="82"/>
      <c r="AX87" s="81"/>
      <c r="AY87" s="82"/>
      <c r="AZ87" s="81"/>
      <c r="BA87" s="82"/>
      <c r="BB87" s="81"/>
      <c r="BC87" s="82"/>
      <c r="BD87" s="81"/>
      <c r="BE87" s="82"/>
      <c r="BF87" s="81"/>
      <c r="BG87" s="83"/>
    </row>
    <row r="88" customFormat="false" ht="13.15" hidden="false" customHeight="false" outlineLevel="0" collapsed="false">
      <c r="A88" s="103" t="s">
        <v>173</v>
      </c>
      <c r="B88" s="104" t="s">
        <v>178</v>
      </c>
      <c r="C88" s="105" t="s">
        <v>39</v>
      </c>
      <c r="D88" s="113" t="n">
        <v>318</v>
      </c>
      <c r="E88" s="113" t="n">
        <v>315</v>
      </c>
      <c r="F88" s="339" t="n">
        <f aca="false">E88/M88</f>
        <v>0.272727272727273</v>
      </c>
      <c r="G88" s="338"/>
      <c r="H88" s="108" t="n">
        <v>36</v>
      </c>
      <c r="I88" s="109" t="n">
        <v>3.5</v>
      </c>
      <c r="J88" s="104" t="n">
        <f aca="false">INT(H88*I88)</f>
        <v>126</v>
      </c>
      <c r="K88" s="104" t="n">
        <v>18</v>
      </c>
      <c r="L88" s="104" t="n">
        <f aca="false">INT((H88-K88)*I88)</f>
        <v>63</v>
      </c>
      <c r="M88" s="104" t="n">
        <f aca="false">INT((L88*1000)/54.5)</f>
        <v>1155</v>
      </c>
      <c r="N88" s="104" t="n">
        <f aca="false">SUM(AC88)</f>
        <v>0</v>
      </c>
      <c r="O88" s="110" t="n">
        <f aca="false">(E88+N88)/M88</f>
        <v>0.272727272727273</v>
      </c>
      <c r="P88" s="149"/>
      <c r="Q88" s="111" t="n">
        <f aca="false">SUM(AE88:BG88)</f>
        <v>0</v>
      </c>
      <c r="R88" s="93"/>
      <c r="S88" s="113" t="n">
        <f aca="false">SUM(E88+N88+Q88)</f>
        <v>315</v>
      </c>
      <c r="T88" s="149"/>
      <c r="U88" s="113" t="n">
        <f aca="false">SUM(M88-S88)</f>
        <v>840</v>
      </c>
      <c r="V88" s="282"/>
      <c r="W88" s="114" t="n">
        <f aca="false">S88/M88</f>
        <v>0.272727272727273</v>
      </c>
      <c r="X88" s="56"/>
      <c r="Y88" s="115" t="n">
        <f aca="false">W88</f>
        <v>0.272727272727273</v>
      </c>
      <c r="Z88" s="58"/>
      <c r="AB88" s="116"/>
      <c r="AC88" s="117"/>
      <c r="AD88" s="118"/>
      <c r="AE88" s="119"/>
      <c r="AF88" s="118"/>
      <c r="AG88" s="119"/>
      <c r="AH88" s="122"/>
      <c r="AI88" s="123"/>
      <c r="AJ88" s="118"/>
      <c r="AK88" s="119"/>
      <c r="AL88" s="118"/>
      <c r="AM88" s="119"/>
      <c r="AN88" s="118"/>
      <c r="AO88" s="119"/>
      <c r="AP88" s="118"/>
      <c r="AQ88" s="119"/>
      <c r="AR88" s="118"/>
      <c r="AS88" s="119"/>
      <c r="AT88" s="118"/>
      <c r="AU88" s="119"/>
      <c r="AV88" s="118"/>
      <c r="AW88" s="119"/>
      <c r="AX88" s="118"/>
      <c r="AY88" s="119"/>
      <c r="AZ88" s="118"/>
      <c r="BA88" s="119"/>
      <c r="BB88" s="118"/>
      <c r="BC88" s="119"/>
      <c r="BD88" s="118"/>
      <c r="BE88" s="119"/>
      <c r="BF88" s="118"/>
      <c r="BG88" s="125"/>
    </row>
    <row r="89" customFormat="false" ht="13.15" hidden="false" customHeight="false" outlineLevel="0" collapsed="false">
      <c r="A89" s="40" t="s">
        <v>179</v>
      </c>
      <c r="B89" s="41" t="s">
        <v>180</v>
      </c>
      <c r="C89" s="42" t="s">
        <v>39</v>
      </c>
      <c r="D89" s="169" t="n">
        <v>539</v>
      </c>
      <c r="E89" s="169" t="n">
        <v>539</v>
      </c>
      <c r="F89" s="170" t="n">
        <f aca="false">E89/M89</f>
        <v>0.466666666666667</v>
      </c>
      <c r="G89" s="45" t="n">
        <f aca="false">SUM(E89:E93)*54.5/1000</f>
        <v>108.8365</v>
      </c>
      <c r="H89" s="46" t="n">
        <v>36</v>
      </c>
      <c r="I89" s="47" t="n">
        <v>3.5</v>
      </c>
      <c r="J89" s="41" t="n">
        <f aca="false">INT(H89*I89)</f>
        <v>126</v>
      </c>
      <c r="K89" s="41" t="n">
        <v>18</v>
      </c>
      <c r="L89" s="41" t="n">
        <f aca="false">INT((H89-K89)*I89)</f>
        <v>63</v>
      </c>
      <c r="M89" s="41" t="n">
        <f aca="false">INT((L89*1000)/54.5)</f>
        <v>1155</v>
      </c>
      <c r="N89" s="41" t="n">
        <f aca="false">SUM(AC89)</f>
        <v>0</v>
      </c>
      <c r="O89" s="173" t="n">
        <f aca="false">(E89+N89)/M89</f>
        <v>0.466666666666667</v>
      </c>
      <c r="P89" s="45" t="n">
        <f aca="false">SUM(N89:N93)*54.5/1000</f>
        <v>0</v>
      </c>
      <c r="Q89" s="155" t="n">
        <f aca="false">SUM(AE89:BG89)</f>
        <v>0</v>
      </c>
      <c r="R89" s="50" t="n">
        <f aca="false">SUM(Q89:Q93)*54.5/1000</f>
        <v>0</v>
      </c>
      <c r="S89" s="136" t="n">
        <f aca="false">SUM(E89+N89+Q89)</f>
        <v>539</v>
      </c>
      <c r="T89" s="45" t="n">
        <f aca="false">SUM(S89:S93)*54.5/1000</f>
        <v>108.8365</v>
      </c>
      <c r="U89" s="53" t="n">
        <f aca="false">SUM(M89-S89)</f>
        <v>616</v>
      </c>
      <c r="V89" s="45" t="n">
        <f aca="false">SUM(U89:U93)*54.5/1000</f>
        <v>194.9465</v>
      </c>
      <c r="W89" s="55" t="n">
        <f aca="false">S89/M89</f>
        <v>0.466666666666667</v>
      </c>
      <c r="X89" s="56" t="n">
        <f aca="false">(G89+P89+R89)/'Building Capability'!$D$16</f>
        <v>0.358014802631579</v>
      </c>
      <c r="Y89" s="1" t="n">
        <f aca="false">W89</f>
        <v>0.466666666666667</v>
      </c>
      <c r="Z89" s="139" t="n">
        <f aca="false">(G89+P89+R89)/'Building Capability'!$F$16</f>
        <v>0.357426929392447</v>
      </c>
      <c r="AB89" s="60"/>
      <c r="AC89" s="61"/>
      <c r="AD89" s="62"/>
      <c r="AE89" s="63"/>
      <c r="AF89" s="62"/>
      <c r="AG89" s="63"/>
      <c r="AH89" s="62"/>
      <c r="AI89" s="63"/>
      <c r="AJ89" s="62"/>
      <c r="AK89" s="63"/>
      <c r="AL89" s="62"/>
      <c r="AM89" s="63"/>
      <c r="AN89" s="62"/>
      <c r="AO89" s="63"/>
      <c r="AP89" s="62"/>
      <c r="AQ89" s="63"/>
      <c r="AR89" s="81"/>
      <c r="AS89" s="63"/>
      <c r="AT89" s="62"/>
      <c r="AU89" s="63"/>
      <c r="AV89" s="62"/>
      <c r="AW89" s="63"/>
      <c r="AX89" s="62"/>
      <c r="AY89" s="63"/>
      <c r="AZ89" s="62"/>
      <c r="BA89" s="63"/>
      <c r="BB89" s="62"/>
      <c r="BC89" s="63"/>
      <c r="BD89" s="62"/>
      <c r="BE89" s="63"/>
      <c r="BF89" s="62"/>
      <c r="BG89" s="66"/>
    </row>
    <row r="90" customFormat="false" ht="13.15" hidden="false" customHeight="false" outlineLevel="0" collapsed="false">
      <c r="A90" s="143" t="s">
        <v>179</v>
      </c>
      <c r="B90" s="69" t="s">
        <v>181</v>
      </c>
      <c r="C90" s="70" t="s">
        <v>39</v>
      </c>
      <c r="D90" s="77" t="n">
        <v>463</v>
      </c>
      <c r="E90" s="77" t="n">
        <v>462</v>
      </c>
      <c r="F90" s="72" t="n">
        <f aca="false">E90/M90</f>
        <v>0.4</v>
      </c>
      <c r="G90" s="45"/>
      <c r="H90" s="73" t="n">
        <v>36</v>
      </c>
      <c r="I90" s="74" t="n">
        <v>3.5</v>
      </c>
      <c r="J90" s="69" t="n">
        <f aca="false">INT(H90*I90)</f>
        <v>126</v>
      </c>
      <c r="K90" s="69" t="n">
        <v>18</v>
      </c>
      <c r="L90" s="69" t="n">
        <f aca="false">INT((H90-K90)*I90)</f>
        <v>63</v>
      </c>
      <c r="M90" s="69" t="n">
        <f aca="false">INT((L90*1000)/54.5)</f>
        <v>1155</v>
      </c>
      <c r="N90" s="69" t="n">
        <f aca="false">SUM(AC90)</f>
        <v>0</v>
      </c>
      <c r="O90" s="48" t="n">
        <f aca="false">(E90+N90)/M90</f>
        <v>0.4</v>
      </c>
      <c r="P90" s="45"/>
      <c r="Q90" s="75" t="n">
        <f aca="false">SUM(AE90:BG90)</f>
        <v>0</v>
      </c>
      <c r="R90" s="50"/>
      <c r="S90" s="77" t="n">
        <f aca="false">SUM(E90+N90+Q90)</f>
        <v>462</v>
      </c>
      <c r="T90" s="45"/>
      <c r="U90" s="77" t="n">
        <f aca="false">SUM(M90-S90)</f>
        <v>693</v>
      </c>
      <c r="V90" s="45"/>
      <c r="W90" s="78" t="n">
        <f aca="false">S90/M90</f>
        <v>0.4</v>
      </c>
      <c r="X90" s="56"/>
      <c r="Y90" s="1" t="n">
        <f aca="false">W90</f>
        <v>0.4</v>
      </c>
      <c r="Z90" s="139"/>
      <c r="AB90" s="79"/>
      <c r="AC90" s="80"/>
      <c r="AD90" s="81"/>
      <c r="AE90" s="82"/>
      <c r="AF90" s="81"/>
      <c r="AG90" s="82"/>
      <c r="AH90" s="81"/>
      <c r="AI90" s="82"/>
      <c r="AJ90" s="81"/>
      <c r="AK90" s="82"/>
      <c r="AL90" s="81"/>
      <c r="AM90" s="82"/>
      <c r="AN90" s="81"/>
      <c r="AO90" s="82"/>
      <c r="AP90" s="81"/>
      <c r="AQ90" s="82"/>
      <c r="AR90" s="81"/>
      <c r="AS90" s="82"/>
      <c r="AT90" s="81"/>
      <c r="AU90" s="82"/>
      <c r="AV90" s="81"/>
      <c r="AW90" s="82"/>
      <c r="AX90" s="81"/>
      <c r="AY90" s="82"/>
      <c r="AZ90" s="81"/>
      <c r="BA90" s="82"/>
      <c r="BB90" s="81"/>
      <c r="BC90" s="82"/>
      <c r="BD90" s="81"/>
      <c r="BE90" s="82"/>
      <c r="BF90" s="81"/>
      <c r="BG90" s="83"/>
    </row>
    <row r="91" customFormat="false" ht="13.15" hidden="false" customHeight="false" outlineLevel="0" collapsed="false">
      <c r="A91" s="143" t="s">
        <v>179</v>
      </c>
      <c r="B91" s="69" t="s">
        <v>182</v>
      </c>
      <c r="C91" s="70" t="s">
        <v>39</v>
      </c>
      <c r="D91" s="144" t="n">
        <v>398</v>
      </c>
      <c r="E91" s="144" t="n">
        <v>397</v>
      </c>
      <c r="F91" s="157" t="n">
        <f aca="false">E91/M91</f>
        <v>0.343722943722944</v>
      </c>
      <c r="G91" s="45"/>
      <c r="H91" s="73" t="n">
        <v>36</v>
      </c>
      <c r="I91" s="74" t="n">
        <v>3.5</v>
      </c>
      <c r="J91" s="69" t="n">
        <f aca="false">INT(H91*I91)</f>
        <v>126</v>
      </c>
      <c r="K91" s="69" t="n">
        <v>18</v>
      </c>
      <c r="L91" s="69" t="n">
        <f aca="false">INT((H91-K91)*I91)</f>
        <v>63</v>
      </c>
      <c r="M91" s="69" t="n">
        <f aca="false">INT((L91*1000)/54.5)</f>
        <v>1155</v>
      </c>
      <c r="N91" s="69" t="n">
        <f aca="false">SUM(AC91)</f>
        <v>0</v>
      </c>
      <c r="O91" s="48" t="n">
        <f aca="false">(E91+N91)/M91</f>
        <v>0.343722943722944</v>
      </c>
      <c r="P91" s="45"/>
      <c r="Q91" s="75" t="n">
        <f aca="false">SUM(AE91:BG91)</f>
        <v>0</v>
      </c>
      <c r="R91" s="50"/>
      <c r="S91" s="77" t="n">
        <f aca="false">SUM(E91+N91+Q91)</f>
        <v>397</v>
      </c>
      <c r="T91" s="45"/>
      <c r="U91" s="77" t="n">
        <f aca="false">SUM(M91-S91)</f>
        <v>758</v>
      </c>
      <c r="V91" s="45"/>
      <c r="W91" s="78" t="n">
        <f aca="false">S91/M91</f>
        <v>0.343722943722944</v>
      </c>
      <c r="X91" s="56"/>
      <c r="Y91" s="1" t="n">
        <f aca="false">W91</f>
        <v>0.343722943722944</v>
      </c>
      <c r="Z91" s="139"/>
      <c r="AB91" s="79"/>
      <c r="AC91" s="80"/>
      <c r="AD91" s="98"/>
      <c r="AE91" s="99"/>
      <c r="AF91" s="81"/>
      <c r="AG91" s="82"/>
      <c r="AH91" s="81"/>
      <c r="AI91" s="82"/>
      <c r="AJ91" s="81"/>
      <c r="AK91" s="82"/>
      <c r="AL91" s="81"/>
      <c r="AM91" s="82"/>
      <c r="AN91" s="81"/>
      <c r="AO91" s="82"/>
      <c r="AP91" s="81"/>
      <c r="AQ91" s="82"/>
      <c r="AR91" s="81"/>
      <c r="AS91" s="82"/>
      <c r="AT91" s="81"/>
      <c r="AU91" s="82"/>
      <c r="AV91" s="81"/>
      <c r="AW91" s="82"/>
      <c r="AX91" s="81"/>
      <c r="AY91" s="82"/>
      <c r="AZ91" s="81"/>
      <c r="BA91" s="82"/>
      <c r="BB91" s="81"/>
      <c r="BC91" s="82"/>
      <c r="BD91" s="81"/>
      <c r="BE91" s="82"/>
      <c r="BF91" s="81"/>
      <c r="BG91" s="83"/>
    </row>
    <row r="92" customFormat="false" ht="13.15" hidden="false" customHeight="false" outlineLevel="0" collapsed="false">
      <c r="A92" s="143" t="s">
        <v>179</v>
      </c>
      <c r="B92" s="69" t="s">
        <v>183</v>
      </c>
      <c r="C92" s="70" t="s">
        <v>39</v>
      </c>
      <c r="D92" s="144" t="n">
        <v>285</v>
      </c>
      <c r="E92" s="144" t="n">
        <v>282</v>
      </c>
      <c r="F92" s="157" t="n">
        <f aca="false">E92/M92</f>
        <v>0.244155844155844</v>
      </c>
      <c r="G92" s="340" t="n">
        <f aca="false">G89/'Building Capability'!$D$16</f>
        <v>0.358014802631579</v>
      </c>
      <c r="H92" s="73" t="n">
        <v>36</v>
      </c>
      <c r="I92" s="74" t="n">
        <v>3.5</v>
      </c>
      <c r="J92" s="69" t="n">
        <f aca="false">INT(H92*I92)</f>
        <v>126</v>
      </c>
      <c r="K92" s="69" t="n">
        <v>18</v>
      </c>
      <c r="L92" s="69" t="n">
        <f aca="false">INT((H92-K92)*I92)</f>
        <v>63</v>
      </c>
      <c r="M92" s="69" t="n">
        <f aca="false">INT((L92*1000)/54.5)</f>
        <v>1155</v>
      </c>
      <c r="N92" s="69" t="n">
        <f aca="false">SUM(AC92)</f>
        <v>0</v>
      </c>
      <c r="O92" s="48" t="n">
        <f aca="false">(E92+N92)/M92</f>
        <v>0.244155844155844</v>
      </c>
      <c r="P92" s="279" t="n">
        <f aca="false">P89/'Building Capability'!$D$16</f>
        <v>0</v>
      </c>
      <c r="Q92" s="75" t="n">
        <f aca="false">SUM(AE92:BG92)</f>
        <v>0</v>
      </c>
      <c r="R92" s="341" t="n">
        <f aca="false">R89/'Building Capability'!$D$16</f>
        <v>0</v>
      </c>
      <c r="S92" s="77" t="n">
        <f aca="false">SUM(E92+N92+Q92)</f>
        <v>282</v>
      </c>
      <c r="T92" s="149" t="n">
        <f aca="false">T89/'Building Capability'!$D$16</f>
        <v>0.358014802631579</v>
      </c>
      <c r="U92" s="77" t="n">
        <f aca="false">SUM(M92-S92)</f>
        <v>873</v>
      </c>
      <c r="V92" s="282" t="n">
        <f aca="false">V89/'Building Capability'!$D$16</f>
        <v>0.641271381578947</v>
      </c>
      <c r="W92" s="78" t="n">
        <f aca="false">S92/M92</f>
        <v>0.244155844155844</v>
      </c>
      <c r="X92" s="56"/>
      <c r="Y92" s="1" t="n">
        <f aca="false">W92</f>
        <v>0.244155844155844</v>
      </c>
      <c r="Z92" s="139"/>
      <c r="AB92" s="79"/>
      <c r="AC92" s="80"/>
      <c r="AD92" s="81"/>
      <c r="AE92" s="82"/>
      <c r="AF92" s="81"/>
      <c r="AG92" s="82"/>
      <c r="AH92" s="81"/>
      <c r="AI92" s="82"/>
      <c r="AJ92" s="81"/>
      <c r="AK92" s="82"/>
      <c r="AL92" s="81"/>
      <c r="AM92" s="82"/>
      <c r="AN92" s="81"/>
      <c r="AO92" s="82"/>
      <c r="AP92" s="81"/>
      <c r="AQ92" s="82"/>
      <c r="AR92" s="81"/>
      <c r="AS92" s="82"/>
      <c r="AT92" s="81"/>
      <c r="AU92" s="82"/>
      <c r="AV92" s="81"/>
      <c r="AW92" s="82"/>
      <c r="AX92" s="81"/>
      <c r="AY92" s="82"/>
      <c r="AZ92" s="81"/>
      <c r="BA92" s="82"/>
      <c r="BB92" s="81"/>
      <c r="BC92" s="82"/>
      <c r="BD92" s="81"/>
      <c r="BE92" s="82"/>
      <c r="BF92" s="81"/>
      <c r="BG92" s="83"/>
    </row>
    <row r="93" s="37" customFormat="true" ht="13.15" hidden="false" customHeight="false" outlineLevel="0" collapsed="false">
      <c r="A93" s="90" t="s">
        <v>179</v>
      </c>
      <c r="B93" s="35" t="s">
        <v>184</v>
      </c>
      <c r="C93" s="162" t="s">
        <v>39</v>
      </c>
      <c r="D93" s="342" t="n">
        <v>318</v>
      </c>
      <c r="E93" s="342" t="n">
        <v>317</v>
      </c>
      <c r="F93" s="176" t="n">
        <f aca="false">E93/M93</f>
        <v>0.332285115303983</v>
      </c>
      <c r="G93" s="340"/>
      <c r="H93" s="164" t="n">
        <v>30</v>
      </c>
      <c r="I93" s="165" t="n">
        <v>3.5</v>
      </c>
      <c r="J93" s="35" t="n">
        <f aca="false">INT(H93*I93)</f>
        <v>105</v>
      </c>
      <c r="K93" s="35" t="n">
        <v>15</v>
      </c>
      <c r="L93" s="35" t="n">
        <f aca="false">INT((H93-K93)*I93)</f>
        <v>52</v>
      </c>
      <c r="M93" s="35" t="n">
        <f aca="false">INT((L93*1000)/54.5)</f>
        <v>954</v>
      </c>
      <c r="N93" s="35" t="n">
        <f aca="false">SUM(AC93)</f>
        <v>0</v>
      </c>
      <c r="O93" s="110" t="n">
        <f aca="false">(E93+N93)/M93</f>
        <v>0.332285115303983</v>
      </c>
      <c r="P93" s="279"/>
      <c r="Q93" s="75" t="n">
        <f aca="false">SUM(AE93:BG93)</f>
        <v>0</v>
      </c>
      <c r="R93" s="341"/>
      <c r="S93" s="36" t="n">
        <f aca="false">SUM(E93+N93+Q93)</f>
        <v>317</v>
      </c>
      <c r="T93" s="149"/>
      <c r="U93" s="36" t="n">
        <f aca="false">SUM(M93-S93)</f>
        <v>637</v>
      </c>
      <c r="V93" s="282"/>
      <c r="W93" s="168" t="n">
        <f aca="false">S93/M93</f>
        <v>0.332285115303983</v>
      </c>
      <c r="X93" s="56"/>
      <c r="Y93" s="1" t="n">
        <f aca="false">W93</f>
        <v>0.332285115303983</v>
      </c>
      <c r="Z93" s="139"/>
      <c r="AA93" s="1"/>
      <c r="AB93" s="116"/>
      <c r="AC93" s="117"/>
      <c r="AD93" s="118"/>
      <c r="AE93" s="119"/>
      <c r="AF93" s="118"/>
      <c r="AG93" s="119"/>
      <c r="AH93" s="118"/>
      <c r="AI93" s="119"/>
      <c r="AJ93" s="118"/>
      <c r="AK93" s="119"/>
      <c r="AL93" s="118"/>
      <c r="AM93" s="119"/>
      <c r="AN93" s="118"/>
      <c r="AO93" s="119"/>
      <c r="AP93" s="118"/>
      <c r="AQ93" s="119"/>
      <c r="AR93" s="118"/>
      <c r="AS93" s="119"/>
      <c r="AT93" s="118"/>
      <c r="AU93" s="119"/>
      <c r="AV93" s="118"/>
      <c r="AW93" s="119"/>
      <c r="AX93" s="118"/>
      <c r="AY93" s="119"/>
      <c r="AZ93" s="118"/>
      <c r="BA93" s="119"/>
      <c r="BB93" s="118"/>
      <c r="BC93" s="119"/>
      <c r="BD93" s="118"/>
      <c r="BE93" s="119"/>
      <c r="BF93" s="118"/>
      <c r="BG93" s="83"/>
    </row>
    <row r="94" customFormat="false" ht="13.15" hidden="false" customHeight="true" outlineLevel="0" collapsed="false">
      <c r="A94" s="40" t="s">
        <v>185</v>
      </c>
      <c r="B94" s="41" t="s">
        <v>186</v>
      </c>
      <c r="C94" s="42" t="s">
        <v>187</v>
      </c>
      <c r="D94" s="53" t="n">
        <v>435</v>
      </c>
      <c r="E94" s="53" t="n">
        <v>436</v>
      </c>
      <c r="F94" s="170" t="n">
        <f aca="false">E94/M94</f>
        <v>0.417224880382775</v>
      </c>
      <c r="G94" s="171" t="n">
        <f aca="false">SUM(E94:E95)*54.5/1000</f>
        <v>41.2565</v>
      </c>
      <c r="H94" s="46" t="n">
        <v>36</v>
      </c>
      <c r="I94" s="47" t="n">
        <v>3.2</v>
      </c>
      <c r="J94" s="53" t="n">
        <f aca="false">INT(H94*I94)</f>
        <v>115</v>
      </c>
      <c r="K94" s="41" t="n">
        <v>18</v>
      </c>
      <c r="L94" s="41" t="n">
        <f aca="false">INT((H94-K94)*I94)</f>
        <v>57</v>
      </c>
      <c r="M94" s="41" t="n">
        <f aca="false">INT((L94*1000)/54.5)</f>
        <v>1045</v>
      </c>
      <c r="N94" s="315" t="n">
        <f aca="false">SUM(AC94)</f>
        <v>0</v>
      </c>
      <c r="O94" s="154" t="n">
        <f aca="false">(E94+N94)/M94</f>
        <v>0.417224880382775</v>
      </c>
      <c r="P94" s="343" t="n">
        <f aca="false">SUM(N94:N95)*54.5/1000</f>
        <v>0</v>
      </c>
      <c r="Q94" s="167" t="n">
        <f aca="false">SUM(AE94:BG94)</f>
        <v>0</v>
      </c>
      <c r="R94" s="45" t="n">
        <f aca="false">SUM(Q94:Q95)*54.5/1000</f>
        <v>0</v>
      </c>
      <c r="S94" s="53" t="n">
        <f aca="false">SUM(E94+N94+Q94)</f>
        <v>436</v>
      </c>
      <c r="T94" s="344" t="n">
        <f aca="false">SUM(S94:S95)*54.5/1000</f>
        <v>41.2565</v>
      </c>
      <c r="U94" s="53" t="n">
        <f aca="false">SUM(M94-S94)</f>
        <v>609</v>
      </c>
      <c r="V94" s="345" t="n">
        <f aca="false">SUM(U94:U95)*54.5/1000</f>
        <v>72.6485</v>
      </c>
      <c r="W94" s="196" t="n">
        <f aca="false">S94/M94</f>
        <v>0.417224880382775</v>
      </c>
      <c r="X94" s="197" t="n">
        <f aca="false">(G94+P94+R94)/'Building Capability'!$D$111</f>
        <v>0.361899122807018</v>
      </c>
      <c r="Y94" s="346"/>
      <c r="Z94" s="347" t="n">
        <f aca="false">(G94+P94+R94)/'Building Capability'!D111</f>
        <v>0.361899122807018</v>
      </c>
      <c r="AA94" s="346"/>
      <c r="AB94" s="60"/>
      <c r="AC94" s="61"/>
      <c r="AD94" s="160"/>
      <c r="AE94" s="161"/>
      <c r="AF94" s="96"/>
      <c r="AG94" s="97"/>
      <c r="AH94" s="81"/>
      <c r="AI94" s="82"/>
      <c r="AJ94" s="81"/>
      <c r="AK94" s="82"/>
      <c r="AL94" s="62"/>
      <c r="AM94" s="63"/>
      <c r="AN94" s="62"/>
      <c r="AO94" s="63"/>
      <c r="AP94" s="62"/>
      <c r="AQ94" s="63"/>
      <c r="AR94" s="81"/>
      <c r="AS94" s="63"/>
      <c r="AT94" s="62"/>
      <c r="AU94" s="63"/>
      <c r="AV94" s="62"/>
      <c r="AW94" s="63"/>
      <c r="AX94" s="62"/>
      <c r="AY94" s="63"/>
      <c r="AZ94" s="62"/>
      <c r="BA94" s="63"/>
      <c r="BB94" s="62"/>
      <c r="BC94" s="63"/>
      <c r="BD94" s="62"/>
      <c r="BE94" s="63"/>
      <c r="BF94" s="62"/>
      <c r="BG94" s="66"/>
    </row>
    <row r="95" customFormat="false" ht="13.15" hidden="false" customHeight="true" outlineLevel="0" collapsed="false">
      <c r="A95" s="90" t="s">
        <v>185</v>
      </c>
      <c r="B95" s="35" t="s">
        <v>188</v>
      </c>
      <c r="C95" s="162" t="s">
        <v>187</v>
      </c>
      <c r="D95" s="36" t="n">
        <v>318</v>
      </c>
      <c r="E95" s="36" t="n">
        <v>321</v>
      </c>
      <c r="F95" s="207" t="n">
        <f aca="false">E95/M95</f>
        <v>0.307177033492823</v>
      </c>
      <c r="G95" s="348" t="n">
        <f aca="false">G94/'Building Capability'!D111</f>
        <v>0.361899122807018</v>
      </c>
      <c r="H95" s="164" t="n">
        <v>36</v>
      </c>
      <c r="I95" s="165" t="n">
        <v>3.2</v>
      </c>
      <c r="J95" s="36" t="n">
        <f aca="false">INT(H95*I95)</f>
        <v>115</v>
      </c>
      <c r="K95" s="35" t="n">
        <v>18</v>
      </c>
      <c r="L95" s="35" t="n">
        <f aca="false">INT((H95-K95)*I95)</f>
        <v>57</v>
      </c>
      <c r="M95" s="35" t="n">
        <f aca="false">INT((L95*1000)/54.5)</f>
        <v>1045</v>
      </c>
      <c r="N95" s="349" t="n">
        <f aca="false">SUM(AC95)</f>
        <v>0</v>
      </c>
      <c r="O95" s="110" t="n">
        <f aca="false">(E95+N95)/M95</f>
        <v>0.307177033492823</v>
      </c>
      <c r="P95" s="343"/>
      <c r="Q95" s="111" t="n">
        <f aca="false">SUM(AE95:BG95)</f>
        <v>0</v>
      </c>
      <c r="R95" s="181" t="n">
        <f aca="false">R94/'Building Capability'!D111</f>
        <v>0</v>
      </c>
      <c r="S95" s="36" t="n">
        <f aca="false">SUM(E95+N95+Q95)</f>
        <v>321</v>
      </c>
      <c r="T95" s="166" t="n">
        <f aca="false">T94/'Building Capability'!D111</f>
        <v>0.361899122807018</v>
      </c>
      <c r="U95" s="36" t="n">
        <f aca="false">SUM(M95-S95)</f>
        <v>724</v>
      </c>
      <c r="V95" s="350" t="n">
        <f aca="false">V94/'Building Capability'!D111</f>
        <v>0.637267543859649</v>
      </c>
      <c r="W95" s="351" t="n">
        <f aca="false">S95/M95</f>
        <v>0.307177033492823</v>
      </c>
      <c r="X95" s="197"/>
      <c r="Y95" s="352"/>
      <c r="Z95" s="347"/>
      <c r="AA95" s="346"/>
      <c r="AB95" s="79"/>
      <c r="AC95" s="80"/>
      <c r="AD95" s="160"/>
      <c r="AE95" s="161"/>
      <c r="AF95" s="96"/>
      <c r="AG95" s="97"/>
      <c r="AH95" s="81"/>
      <c r="AI95" s="82"/>
      <c r="AJ95" s="81"/>
      <c r="AK95" s="82"/>
      <c r="AL95" s="81"/>
      <c r="AM95" s="82"/>
      <c r="AN95" s="81"/>
      <c r="AO95" s="82"/>
      <c r="AP95" s="81"/>
      <c r="AQ95" s="82"/>
      <c r="AR95" s="81"/>
      <c r="AS95" s="82"/>
      <c r="AT95" s="81"/>
      <c r="AU95" s="82"/>
      <c r="AV95" s="81"/>
      <c r="AW95" s="82"/>
      <c r="AX95" s="81"/>
      <c r="AY95" s="82"/>
      <c r="AZ95" s="81"/>
      <c r="BA95" s="82"/>
      <c r="BB95" s="81"/>
      <c r="BC95" s="82"/>
      <c r="BD95" s="81"/>
      <c r="BE95" s="82"/>
      <c r="BF95" s="81"/>
      <c r="BG95" s="83"/>
    </row>
    <row r="96" customFormat="false" ht="13.5" hidden="false" customHeight="false" outlineLevel="0" collapsed="false">
      <c r="A96" s="40" t="s">
        <v>189</v>
      </c>
      <c r="B96" s="41" t="s">
        <v>190</v>
      </c>
      <c r="C96" s="42" t="s">
        <v>187</v>
      </c>
      <c r="D96" s="53" t="n">
        <v>353</v>
      </c>
      <c r="E96" s="53" t="n">
        <v>353</v>
      </c>
      <c r="F96" s="44" t="n">
        <f aca="false">E96/M96</f>
        <v>0.337799043062201</v>
      </c>
      <c r="G96" s="171" t="n">
        <f aca="false">SUM(E96:E98)*54.5/1000</f>
        <v>39.5125</v>
      </c>
      <c r="H96" s="46" t="n">
        <v>36</v>
      </c>
      <c r="I96" s="47" t="n">
        <v>3.2</v>
      </c>
      <c r="J96" s="53" t="n">
        <f aca="false">INT(H96*I96)</f>
        <v>115</v>
      </c>
      <c r="K96" s="41" t="n">
        <v>18</v>
      </c>
      <c r="L96" s="41" t="n">
        <f aca="false">INT((H96-K96)*I96)</f>
        <v>57</v>
      </c>
      <c r="M96" s="41" t="n">
        <f aca="false">INT((L96*1000)/54.5)</f>
        <v>1045</v>
      </c>
      <c r="N96" s="315" t="n">
        <f aca="false">SUM(AC96)</f>
        <v>0</v>
      </c>
      <c r="O96" s="154" t="n">
        <f aca="false">(E96+N96)/M96</f>
        <v>0.337799043062201</v>
      </c>
      <c r="P96" s="343" t="n">
        <f aca="false">SUM(N96:N98)*54.5/1000</f>
        <v>0</v>
      </c>
      <c r="Q96" s="155" t="n">
        <f aca="false">SUM(AE96:BG96)</f>
        <v>44</v>
      </c>
      <c r="R96" s="45" t="n">
        <f aca="false">SUM(Q96:Q98)*54.5/1000</f>
        <v>8.175</v>
      </c>
      <c r="S96" s="53" t="n">
        <f aca="false">SUM(E96+N96+Q96)</f>
        <v>397</v>
      </c>
      <c r="T96" s="344" t="n">
        <f aca="false">SUM(S96:S98)*54.5/1000</f>
        <v>47.6875</v>
      </c>
      <c r="U96" s="53" t="n">
        <f aca="false">SUM(M96-S96)</f>
        <v>648</v>
      </c>
      <c r="V96" s="345" t="n">
        <f aca="false">SUM(U96:U98)*54.5/1000</f>
        <v>65.182</v>
      </c>
      <c r="W96" s="196" t="n">
        <f aca="false">S96/M96</f>
        <v>0.379904306220096</v>
      </c>
      <c r="X96" s="197" t="n">
        <f aca="false">(G96+P96+R96)/'Building Capability'!$D$112</f>
        <v>0.422013274336283</v>
      </c>
      <c r="Y96" s="353"/>
      <c r="Z96" s="56" t="n">
        <f aca="false">(G96+P96+R96)/'Building Capability'!D112</f>
        <v>0.422013274336283</v>
      </c>
      <c r="AB96" s="60"/>
      <c r="AC96" s="61"/>
      <c r="AD96" s="64" t="s">
        <v>191</v>
      </c>
      <c r="AE96" s="65" t="n">
        <v>44</v>
      </c>
      <c r="AF96" s="62"/>
      <c r="AG96" s="63"/>
      <c r="AH96" s="62"/>
      <c r="AI96" s="63"/>
      <c r="AJ96" s="62"/>
      <c r="AK96" s="63"/>
      <c r="AL96" s="62"/>
      <c r="AM96" s="63"/>
      <c r="AN96" s="62"/>
      <c r="AO96" s="63"/>
      <c r="AP96" s="62"/>
      <c r="AQ96" s="63"/>
      <c r="AR96" s="62"/>
      <c r="AS96" s="63"/>
      <c r="AT96" s="62"/>
      <c r="AU96" s="63"/>
      <c r="AV96" s="62"/>
      <c r="AW96" s="63"/>
      <c r="AX96" s="62"/>
      <c r="AY96" s="63"/>
      <c r="AZ96" s="62"/>
      <c r="BA96" s="63"/>
      <c r="BB96" s="62"/>
      <c r="BC96" s="63"/>
      <c r="BD96" s="62"/>
      <c r="BE96" s="63"/>
      <c r="BF96" s="62"/>
      <c r="BG96" s="66"/>
    </row>
    <row r="97" customFormat="false" ht="13.15" hidden="false" customHeight="true" outlineLevel="0" collapsed="false">
      <c r="A97" s="143" t="s">
        <v>189</v>
      </c>
      <c r="B97" s="69" t="s">
        <v>192</v>
      </c>
      <c r="C97" s="70" t="s">
        <v>187</v>
      </c>
      <c r="D97" s="77" t="n">
        <v>168</v>
      </c>
      <c r="E97" s="77" t="n">
        <v>168</v>
      </c>
      <c r="F97" s="72" t="n">
        <f aca="false">E97/M97</f>
        <v>0.327485380116959</v>
      </c>
      <c r="G97" s="171"/>
      <c r="H97" s="73" t="n">
        <v>18</v>
      </c>
      <c r="I97" s="74" t="n">
        <v>3.2</v>
      </c>
      <c r="J97" s="77" t="n">
        <f aca="false">INT(H97*I97)</f>
        <v>57</v>
      </c>
      <c r="K97" s="69" t="n">
        <v>9</v>
      </c>
      <c r="L97" s="69" t="n">
        <f aca="false">INT((H97-K97)*I97)</f>
        <v>28</v>
      </c>
      <c r="M97" s="69" t="n">
        <f aca="false">INT((L97*1000)/54.5)</f>
        <v>513</v>
      </c>
      <c r="N97" s="302" t="n">
        <f aca="false">SUM(AC97)</f>
        <v>0</v>
      </c>
      <c r="O97" s="48" t="n">
        <f aca="false">(E97+N97)/M97</f>
        <v>0.327485380116959</v>
      </c>
      <c r="P97" s="343"/>
      <c r="Q97" s="167" t="n">
        <f aca="false">SUM(AE97:BG97)</f>
        <v>75</v>
      </c>
      <c r="R97" s="149" t="n">
        <f aca="false">R96/'Building Capability'!D112</f>
        <v>0.0723451327433628</v>
      </c>
      <c r="S97" s="77" t="n">
        <f aca="false">SUM(E97+N97+Q97)</f>
        <v>243</v>
      </c>
      <c r="T97" s="149" t="n">
        <f aca="false">T96/'Building Capability'!D112</f>
        <v>0.422013274336283</v>
      </c>
      <c r="U97" s="77" t="n">
        <f aca="false">SUM(M97-S97)</f>
        <v>270</v>
      </c>
      <c r="V97" s="149" t="n">
        <f aca="false">V96/'Building Capability'!D112</f>
        <v>0.57683185840708</v>
      </c>
      <c r="W97" s="203" t="n">
        <f aca="false">S97/M97</f>
        <v>0.473684210526316</v>
      </c>
      <c r="X97" s="197"/>
      <c r="Y97" s="354"/>
      <c r="Z97" s="56"/>
      <c r="AB97" s="79"/>
      <c r="AC97" s="80"/>
      <c r="AD97" s="160" t="s">
        <v>191</v>
      </c>
      <c r="AE97" s="161" t="n">
        <v>44</v>
      </c>
      <c r="AF97" s="81" t="s">
        <v>96</v>
      </c>
      <c r="AG97" s="82" t="n">
        <v>31</v>
      </c>
      <c r="AH97" s="81"/>
      <c r="AI97" s="82"/>
      <c r="AJ97" s="81"/>
      <c r="AK97" s="82"/>
      <c r="AL97" s="81"/>
      <c r="AM97" s="82"/>
      <c r="AN97" s="81"/>
      <c r="AO97" s="82"/>
      <c r="AP97" s="81"/>
      <c r="AQ97" s="82"/>
      <c r="AR97" s="81"/>
      <c r="AS97" s="82"/>
      <c r="AT97" s="81"/>
      <c r="AU97" s="82"/>
      <c r="AV97" s="81"/>
      <c r="AW97" s="82"/>
      <c r="AX97" s="81"/>
      <c r="AY97" s="82"/>
      <c r="AZ97" s="81"/>
      <c r="BA97" s="82"/>
      <c r="BB97" s="81"/>
      <c r="BC97" s="82"/>
      <c r="BD97" s="81"/>
      <c r="BE97" s="82"/>
      <c r="BF97" s="81"/>
      <c r="BG97" s="83"/>
    </row>
    <row r="98" customFormat="false" ht="13.5" hidden="false" customHeight="true" outlineLevel="0" collapsed="false">
      <c r="A98" s="90" t="s">
        <v>189</v>
      </c>
      <c r="B98" s="35" t="s">
        <v>193</v>
      </c>
      <c r="C98" s="162" t="s">
        <v>187</v>
      </c>
      <c r="D98" s="36" t="n">
        <v>203</v>
      </c>
      <c r="E98" s="36" t="n">
        <v>204</v>
      </c>
      <c r="F98" s="207" t="n">
        <f aca="false">E98/M98</f>
        <v>0.39766081871345</v>
      </c>
      <c r="G98" s="348" t="n">
        <f aca="false">G96/'Building Capability'!D112</f>
        <v>0.34966814159292</v>
      </c>
      <c r="H98" s="164" t="n">
        <v>18</v>
      </c>
      <c r="I98" s="165" t="n">
        <v>3.2</v>
      </c>
      <c r="J98" s="36" t="n">
        <f aca="false">INT(H98*I98)</f>
        <v>57</v>
      </c>
      <c r="K98" s="35" t="n">
        <v>9</v>
      </c>
      <c r="L98" s="35" t="n">
        <f aca="false">INT((H98-K98)*I98)</f>
        <v>28</v>
      </c>
      <c r="M98" s="35" t="n">
        <f aca="false">INT((L98*1000)/54.5)</f>
        <v>513</v>
      </c>
      <c r="N98" s="349" t="n">
        <f aca="false">SUM(AC98)</f>
        <v>0</v>
      </c>
      <c r="O98" s="110" t="n">
        <f aca="false">(E98+N98)/M98</f>
        <v>0.39766081871345</v>
      </c>
      <c r="P98" s="343"/>
      <c r="Q98" s="111" t="n">
        <f aca="false">SUM(AE98:BG98)</f>
        <v>31</v>
      </c>
      <c r="R98" s="149"/>
      <c r="S98" s="36" t="n">
        <f aca="false">SUM(E98+N98+Q98)</f>
        <v>235</v>
      </c>
      <c r="T98" s="149"/>
      <c r="U98" s="36" t="n">
        <f aca="false">SUM(M98-S98)</f>
        <v>278</v>
      </c>
      <c r="V98" s="149"/>
      <c r="W98" s="351" t="n">
        <f aca="false">S98/M98</f>
        <v>0.458089668615984</v>
      </c>
      <c r="X98" s="197"/>
      <c r="Y98" s="355"/>
      <c r="Z98" s="56"/>
      <c r="AB98" s="116"/>
      <c r="AC98" s="117"/>
      <c r="AD98" s="118"/>
      <c r="AE98" s="119"/>
      <c r="AF98" s="118" t="s">
        <v>96</v>
      </c>
      <c r="AG98" s="119" t="n">
        <v>31</v>
      </c>
      <c r="AH98" s="118"/>
      <c r="AI98" s="119"/>
      <c r="AJ98" s="118"/>
      <c r="AK98" s="119"/>
      <c r="AL98" s="118"/>
      <c r="AM98" s="119"/>
      <c r="AN98" s="118"/>
      <c r="AO98" s="119"/>
      <c r="AP98" s="118"/>
      <c r="AQ98" s="119"/>
      <c r="AR98" s="118"/>
      <c r="AS98" s="119"/>
      <c r="AT98" s="118"/>
      <c r="AU98" s="119"/>
      <c r="AV98" s="118"/>
      <c r="AW98" s="119"/>
      <c r="AX98" s="118"/>
      <c r="AY98" s="119"/>
      <c r="AZ98" s="118"/>
      <c r="BA98" s="119"/>
      <c r="BB98" s="118"/>
      <c r="BC98" s="119"/>
      <c r="BD98" s="118"/>
      <c r="BE98" s="119"/>
      <c r="BF98" s="118"/>
      <c r="BG98" s="125"/>
    </row>
    <row r="99" customFormat="false" ht="13.15" hidden="false" customHeight="true" outlineLevel="0" collapsed="false">
      <c r="A99" s="40" t="s">
        <v>194</v>
      </c>
      <c r="B99" s="41" t="s">
        <v>195</v>
      </c>
      <c r="C99" s="42" t="s">
        <v>187</v>
      </c>
      <c r="D99" s="53" t="n">
        <v>382</v>
      </c>
      <c r="E99" s="53" t="n">
        <v>377</v>
      </c>
      <c r="F99" s="44" t="n">
        <f aca="false">E99/M99</f>
        <v>0.360765550239234</v>
      </c>
      <c r="G99" s="171" t="n">
        <f aca="false">SUM(E99:E100)*54.5/1000</f>
        <v>44.0905</v>
      </c>
      <c r="H99" s="46" t="n">
        <v>36</v>
      </c>
      <c r="I99" s="47" t="n">
        <v>3.2</v>
      </c>
      <c r="J99" s="41" t="n">
        <f aca="false">INT(H99*I99)</f>
        <v>115</v>
      </c>
      <c r="K99" s="41" t="n">
        <v>18</v>
      </c>
      <c r="L99" s="41" t="n">
        <f aca="false">INT((H99-K99)*I99)</f>
        <v>57</v>
      </c>
      <c r="M99" s="41" t="n">
        <f aca="false">INT((L99*1000)/54.5)</f>
        <v>1045</v>
      </c>
      <c r="N99" s="41" t="n">
        <f aca="false">SUM(AC99)</f>
        <v>0</v>
      </c>
      <c r="O99" s="154" t="n">
        <f aca="false">(E99+N99)/M99</f>
        <v>0.360765550239234</v>
      </c>
      <c r="P99" s="188" t="n">
        <f aca="false">SUM(N99:N100)*54.5/1000</f>
        <v>0</v>
      </c>
      <c r="Q99" s="255" t="n">
        <f aca="false">SUM(AE99:BG99)</f>
        <v>92</v>
      </c>
      <c r="R99" s="45" t="n">
        <f aca="false">SUM(Q99:Q100)*54.5/1000</f>
        <v>10.028</v>
      </c>
      <c r="S99" s="53" t="n">
        <f aca="false">SUM(E99+N99+Q99)</f>
        <v>469</v>
      </c>
      <c r="T99" s="344" t="n">
        <f aca="false">SUM(S99:S100)*54.5/1000</f>
        <v>54.1185</v>
      </c>
      <c r="U99" s="53" t="n">
        <f aca="false">SUM(M99-S99)</f>
        <v>576</v>
      </c>
      <c r="V99" s="356" t="n">
        <f aca="false">SUM(U99:U100)*54.5/1000</f>
        <v>59.7865</v>
      </c>
      <c r="W99" s="196" t="n">
        <f aca="false">S99/M99</f>
        <v>0.448803827751196</v>
      </c>
      <c r="X99" s="357" t="n">
        <f aca="false">(G99+P99+R99)/'Building Capability'!C113</f>
        <v>0.235297826086956</v>
      </c>
      <c r="Y99" s="358"/>
      <c r="Z99" s="56" t="n">
        <f aca="false">(G99+P99+R99)/'Building Capability'!D113</f>
        <v>0.751645833333333</v>
      </c>
      <c r="AA99" s="346"/>
      <c r="AB99" s="79"/>
      <c r="AC99" s="80"/>
      <c r="AD99" s="160" t="s">
        <v>191</v>
      </c>
      <c r="AE99" s="161" t="n">
        <v>44</v>
      </c>
      <c r="AF99" s="96" t="s">
        <v>196</v>
      </c>
      <c r="AG99" s="97" t="n">
        <v>48</v>
      </c>
      <c r="AH99" s="81"/>
      <c r="AI99" s="82"/>
      <c r="AJ99" s="160"/>
      <c r="AK99" s="161"/>
      <c r="AL99" s="81"/>
      <c r="AM99" s="359"/>
      <c r="AN99" s="81"/>
      <c r="AO99" s="82"/>
      <c r="AP99" s="81"/>
      <c r="AQ99" s="82"/>
      <c r="AR99" s="81"/>
      <c r="AS99" s="82"/>
      <c r="AT99" s="81"/>
      <c r="AU99" s="82"/>
      <c r="AV99" s="81"/>
      <c r="AW99" s="82"/>
      <c r="AX99" s="81"/>
      <c r="AY99" s="82"/>
      <c r="AZ99" s="81"/>
      <c r="BA99" s="82"/>
      <c r="BB99" s="81"/>
      <c r="BC99" s="82"/>
      <c r="BD99" s="81"/>
      <c r="BE99" s="82"/>
      <c r="BF99" s="81"/>
      <c r="BG99" s="83"/>
    </row>
    <row r="100" customFormat="false" ht="13.9" hidden="false" customHeight="true" outlineLevel="0" collapsed="false">
      <c r="A100" s="90" t="s">
        <v>194</v>
      </c>
      <c r="B100" s="35" t="s">
        <v>197</v>
      </c>
      <c r="C100" s="162" t="s">
        <v>187</v>
      </c>
      <c r="D100" s="36" t="n">
        <v>426</v>
      </c>
      <c r="E100" s="36" t="n">
        <v>432</v>
      </c>
      <c r="F100" s="207" t="n">
        <f aca="false">E100/M100</f>
        <v>0.413397129186603</v>
      </c>
      <c r="G100" s="348" t="n">
        <f aca="false">G99/'Building Capability'!D113</f>
        <v>0.612368055555556</v>
      </c>
      <c r="H100" s="164" t="n">
        <v>36</v>
      </c>
      <c r="I100" s="165" t="n">
        <v>3.2</v>
      </c>
      <c r="J100" s="35" t="n">
        <f aca="false">INT(H100*I100)</f>
        <v>115</v>
      </c>
      <c r="K100" s="35" t="n">
        <v>18</v>
      </c>
      <c r="L100" s="35" t="n">
        <f aca="false">INT((H100-K100)*I100)</f>
        <v>57</v>
      </c>
      <c r="M100" s="35" t="n">
        <f aca="false">INT((L100*1000)/54.5)</f>
        <v>1045</v>
      </c>
      <c r="N100" s="35" t="n">
        <f aca="false">SUM(AC100)</f>
        <v>0</v>
      </c>
      <c r="O100" s="309" t="n">
        <f aca="false">(E100+N100)/M100</f>
        <v>0.413397129186603</v>
      </c>
      <c r="P100" s="360" t="n">
        <f aca="false">SUM(N100:N101)*54.5/1000</f>
        <v>0</v>
      </c>
      <c r="Q100" s="111" t="n">
        <f aca="false">SUM(AE100:BG100)</f>
        <v>92</v>
      </c>
      <c r="R100" s="361" t="n">
        <f aca="false">R99/'Building Capability'!D113</f>
        <v>0.139277777777778</v>
      </c>
      <c r="S100" s="36" t="n">
        <f aca="false">SUM(E100+N100+Q100)</f>
        <v>524</v>
      </c>
      <c r="T100" s="166" t="n">
        <f aca="false">T99/'Building Capability'!D113</f>
        <v>0.751645833333333</v>
      </c>
      <c r="U100" s="36" t="n">
        <f aca="false">SUM(M100-S100)</f>
        <v>521</v>
      </c>
      <c r="V100" s="350" t="n">
        <f aca="false">V99/'Building Capability'!D113</f>
        <v>0.830368055555555</v>
      </c>
      <c r="W100" s="351" t="n">
        <f aca="false">S100/M100</f>
        <v>0.501435406698565</v>
      </c>
      <c r="X100" s="357"/>
      <c r="Y100" s="362"/>
      <c r="Z100" s="56"/>
      <c r="AA100" s="346"/>
      <c r="AB100" s="79"/>
      <c r="AC100" s="80"/>
      <c r="AD100" s="160" t="s">
        <v>191</v>
      </c>
      <c r="AE100" s="161" t="n">
        <v>44</v>
      </c>
      <c r="AF100" s="96" t="s">
        <v>196</v>
      </c>
      <c r="AG100" s="97" t="n">
        <v>48</v>
      </c>
      <c r="AH100" s="81"/>
      <c r="AI100" s="82"/>
      <c r="AJ100" s="160"/>
      <c r="AK100" s="161"/>
      <c r="AL100" s="81"/>
      <c r="AM100" s="359"/>
      <c r="AN100" s="81"/>
      <c r="AO100" s="82"/>
      <c r="AP100" s="81"/>
      <c r="AQ100" s="82"/>
      <c r="AR100" s="118"/>
      <c r="AS100" s="82"/>
      <c r="AT100" s="81"/>
      <c r="AU100" s="82"/>
      <c r="AV100" s="81"/>
      <c r="AW100" s="82"/>
      <c r="AX100" s="81"/>
      <c r="AY100" s="82"/>
      <c r="AZ100" s="81"/>
      <c r="BA100" s="82"/>
      <c r="BB100" s="81"/>
      <c r="BC100" s="82"/>
      <c r="BD100" s="81"/>
      <c r="BE100" s="82"/>
      <c r="BF100" s="81"/>
      <c r="BG100" s="83"/>
    </row>
    <row r="101" customFormat="false" ht="13.5" hidden="false" customHeight="false" outlineLevel="0" collapsed="false">
      <c r="A101" s="40" t="s">
        <v>198</v>
      </c>
      <c r="B101" s="41" t="s">
        <v>199</v>
      </c>
      <c r="C101" s="42" t="s">
        <v>187</v>
      </c>
      <c r="D101" s="53" t="n">
        <v>260</v>
      </c>
      <c r="E101" s="53" t="n">
        <v>261</v>
      </c>
      <c r="F101" s="44" t="n">
        <f aca="false">E101/M101</f>
        <v>0.249760765550239</v>
      </c>
      <c r="G101" s="171" t="n">
        <f aca="false">SUM(E101:E102)*54.5/1000</f>
        <v>33.136</v>
      </c>
      <c r="H101" s="53" t="n">
        <v>36</v>
      </c>
      <c r="I101" s="47" t="n">
        <v>3.2</v>
      </c>
      <c r="J101" s="41" t="n">
        <f aca="false">INT(I101*H101)</f>
        <v>115</v>
      </c>
      <c r="K101" s="41" t="n">
        <v>18</v>
      </c>
      <c r="L101" s="41" t="n">
        <f aca="false">INT((H101-K101)*I101)</f>
        <v>57</v>
      </c>
      <c r="M101" s="41" t="n">
        <f aca="false">INT((L101*1000)/54.5)</f>
        <v>1045</v>
      </c>
      <c r="N101" s="41" t="n">
        <f aca="false">SUM(AC101)</f>
        <v>0</v>
      </c>
      <c r="O101" s="154" t="n">
        <f aca="false">(E101+N101)/M101</f>
        <v>0.249760765550239</v>
      </c>
      <c r="P101" s="363" t="n">
        <f aca="false">SUM(N101:N102)*54.5/1000</f>
        <v>0</v>
      </c>
      <c r="Q101" s="255" t="n">
        <f aca="false">SUM(AE101:BG101)</f>
        <v>44</v>
      </c>
      <c r="R101" s="45" t="n">
        <f aca="false">SUM(Q101:Q102)*54.5/1000</f>
        <v>4.796</v>
      </c>
      <c r="S101" s="53" t="n">
        <f aca="false">SUM(E101+N101+Q101)</f>
        <v>305</v>
      </c>
      <c r="T101" s="344" t="n">
        <f aca="false">SUM(S101:S102)*54.5/1000</f>
        <v>37.932</v>
      </c>
      <c r="U101" s="53" t="n">
        <f aca="false">SUM(M101-S101)</f>
        <v>740</v>
      </c>
      <c r="V101" s="356" t="n">
        <f aca="false">SUM(U101:U102)*54.5/1000</f>
        <v>75.973</v>
      </c>
      <c r="W101" s="196" t="n">
        <f aca="false">S101/M101</f>
        <v>0.291866028708134</v>
      </c>
      <c r="X101" s="197" t="n">
        <f aca="false">(G101+P101+R101)/'Building Capability'!D114</f>
        <v>0.332736842105263</v>
      </c>
      <c r="Y101" s="364"/>
      <c r="Z101" s="56" t="n">
        <f aca="false">(G101+P101+R101)/'Building Capability'!D114</f>
        <v>0.332736842105263</v>
      </c>
      <c r="AA101" s="346"/>
      <c r="AB101" s="60"/>
      <c r="AC101" s="61"/>
      <c r="AD101" s="64" t="s">
        <v>191</v>
      </c>
      <c r="AE101" s="65" t="n">
        <v>44</v>
      </c>
      <c r="AF101" s="62"/>
      <c r="AG101" s="63"/>
      <c r="AH101" s="62"/>
      <c r="AI101" s="63"/>
      <c r="AJ101" s="62"/>
      <c r="AK101" s="63"/>
      <c r="AL101" s="62"/>
      <c r="AM101" s="63"/>
      <c r="AN101" s="62"/>
      <c r="AO101" s="63"/>
      <c r="AP101" s="62"/>
      <c r="AQ101" s="63"/>
      <c r="AR101" s="81"/>
      <c r="AS101" s="63"/>
      <c r="AT101" s="62"/>
      <c r="AU101" s="63"/>
      <c r="AV101" s="62"/>
      <c r="AW101" s="63"/>
      <c r="AX101" s="62"/>
      <c r="AY101" s="63"/>
      <c r="AZ101" s="62"/>
      <c r="BA101" s="63"/>
      <c r="BB101" s="62"/>
      <c r="BC101" s="63"/>
      <c r="BD101" s="62"/>
      <c r="BE101" s="63"/>
      <c r="BF101" s="62"/>
      <c r="BG101" s="66"/>
    </row>
    <row r="102" customFormat="false" ht="13.15" hidden="false" customHeight="true" outlineLevel="0" collapsed="false">
      <c r="A102" s="90" t="s">
        <v>198</v>
      </c>
      <c r="B102" s="35" t="s">
        <v>200</v>
      </c>
      <c r="C102" s="162" t="s">
        <v>187</v>
      </c>
      <c r="D102" s="36" t="n">
        <v>354</v>
      </c>
      <c r="E102" s="36" t="n">
        <v>347</v>
      </c>
      <c r="F102" s="207" t="n">
        <f aca="false">E102/M102</f>
        <v>0.332057416267943</v>
      </c>
      <c r="G102" s="348" t="n">
        <f aca="false">G101/'Building Capability'!D114</f>
        <v>0.290666666666667</v>
      </c>
      <c r="H102" s="164" t="n">
        <v>36</v>
      </c>
      <c r="I102" s="165" t="n">
        <v>3.2</v>
      </c>
      <c r="J102" s="35" t="n">
        <f aca="false">INT(H102*I102)</f>
        <v>115</v>
      </c>
      <c r="K102" s="35" t="n">
        <v>18</v>
      </c>
      <c r="L102" s="35" t="n">
        <f aca="false">INT((H102-K102)*I102)</f>
        <v>57</v>
      </c>
      <c r="M102" s="35" t="n">
        <f aca="false">INT((L102*1000)/54.5)</f>
        <v>1045</v>
      </c>
      <c r="N102" s="35" t="n">
        <f aca="false">SUM(AC102)</f>
        <v>0</v>
      </c>
      <c r="O102" s="309" t="n">
        <f aca="false">(E102+N102)/M102</f>
        <v>0.332057416267943</v>
      </c>
      <c r="P102" s="363"/>
      <c r="Q102" s="111" t="n">
        <f aca="false">SUM(AE102:BG102)</f>
        <v>44</v>
      </c>
      <c r="R102" s="181" t="n">
        <f aca="false">R101/'Building Capability'!D114</f>
        <v>0.0420701754385965</v>
      </c>
      <c r="S102" s="36" t="n">
        <f aca="false">SUM(E102+N102+Q102)</f>
        <v>391</v>
      </c>
      <c r="T102" s="166" t="n">
        <f aca="false">T101/'Building Capability'!D114</f>
        <v>0.332736842105263</v>
      </c>
      <c r="U102" s="36" t="n">
        <f aca="false">SUM(M102-S102)</f>
        <v>654</v>
      </c>
      <c r="V102" s="350" t="n">
        <f aca="false">V101/'Building Capability'!D114</f>
        <v>0.666429824561404</v>
      </c>
      <c r="W102" s="351" t="n">
        <f aca="false">S102/M102</f>
        <v>0.374162679425837</v>
      </c>
      <c r="X102" s="197"/>
      <c r="Y102" s="365"/>
      <c r="Z102" s="56"/>
      <c r="AA102" s="346"/>
      <c r="AB102" s="116"/>
      <c r="AC102" s="117"/>
      <c r="AD102" s="311" t="s">
        <v>191</v>
      </c>
      <c r="AE102" s="312" t="n">
        <v>44</v>
      </c>
      <c r="AF102" s="118"/>
      <c r="AG102" s="119"/>
      <c r="AH102" s="118"/>
      <c r="AI102" s="119"/>
      <c r="AJ102" s="118"/>
      <c r="AK102" s="119"/>
      <c r="AL102" s="118"/>
      <c r="AM102" s="119"/>
      <c r="AN102" s="118"/>
      <c r="AO102" s="119"/>
      <c r="AP102" s="118"/>
      <c r="AQ102" s="119"/>
      <c r="AR102" s="118"/>
      <c r="AS102" s="119"/>
      <c r="AT102" s="118"/>
      <c r="AU102" s="119"/>
      <c r="AV102" s="118"/>
      <c r="AW102" s="119"/>
      <c r="AX102" s="118"/>
      <c r="AY102" s="119"/>
      <c r="AZ102" s="118"/>
      <c r="BA102" s="119"/>
      <c r="BB102" s="118"/>
      <c r="BC102" s="119"/>
      <c r="BD102" s="118"/>
      <c r="BE102" s="119"/>
      <c r="BF102" s="118"/>
      <c r="BG102" s="125"/>
    </row>
    <row r="103" customFormat="false" ht="12.75" hidden="false" customHeight="false" outlineLevel="0" collapsed="false">
      <c r="A103" s="40" t="s">
        <v>201</v>
      </c>
      <c r="B103" s="41" t="s">
        <v>202</v>
      </c>
      <c r="C103" s="42" t="s">
        <v>39</v>
      </c>
      <c r="D103" s="169" t="n">
        <v>93</v>
      </c>
      <c r="E103" s="169" t="n">
        <v>92</v>
      </c>
      <c r="F103" s="170" t="n">
        <f aca="false">E103/M103</f>
        <v>0.238961038961039</v>
      </c>
      <c r="G103" s="171" t="n">
        <f aca="false">SUM(E103:E104)*54.5/1000</f>
        <v>9.7555</v>
      </c>
      <c r="H103" s="46" t="n">
        <v>9</v>
      </c>
      <c r="I103" s="47" t="n">
        <v>3.5</v>
      </c>
      <c r="J103" s="41" t="n">
        <f aca="false">INT(H103*I103)</f>
        <v>31</v>
      </c>
      <c r="K103" s="41" t="n">
        <v>3</v>
      </c>
      <c r="L103" s="41" t="n">
        <f aca="false">INT((H103-K103)*I103)</f>
        <v>21</v>
      </c>
      <c r="M103" s="41" t="n">
        <f aca="false">INT((L103*1000)/54.5)</f>
        <v>385</v>
      </c>
      <c r="N103" s="41" t="n">
        <f aca="false">SUM(AC103)</f>
        <v>0</v>
      </c>
      <c r="O103" s="154" t="n">
        <f aca="false">(E103+N103)/M103</f>
        <v>0.238961038961039</v>
      </c>
      <c r="P103" s="366" t="n">
        <f aca="false">(SUM(N103:N104)*54.5)/1000</f>
        <v>0</v>
      </c>
      <c r="Q103" s="255" t="n">
        <f aca="false">SUM(AE103:BG103)</f>
        <v>0</v>
      </c>
      <c r="R103" s="45" t="n">
        <f aca="false">SUM(Q103:Q104)*54.5/1000</f>
        <v>0</v>
      </c>
      <c r="S103" s="53" t="n">
        <f aca="false">SUM(E103+N103+Q103)</f>
        <v>92</v>
      </c>
      <c r="T103" s="344" t="n">
        <f aca="false">SUM(S103:S104)*54.5/1000</f>
        <v>9.7555</v>
      </c>
      <c r="U103" s="53" t="n">
        <f aca="false">SUM(M103-S103)</f>
        <v>293</v>
      </c>
      <c r="V103" s="356" t="n">
        <f aca="false">SUM(U103:U104)*54.5/1000</f>
        <v>32.2095</v>
      </c>
      <c r="W103" s="55" t="n">
        <f aca="false">S103/M103</f>
        <v>0.238961038961039</v>
      </c>
      <c r="X103" s="56" t="n">
        <f aca="false">(G103+P103+R103)/'Building Capability'!D115</f>
        <v>0.232273809523809</v>
      </c>
      <c r="Y103" s="367"/>
      <c r="Z103" s="368" t="n">
        <f aca="false">(G103+P103+R103)/'Building Capability'!D115</f>
        <v>0.232273809523809</v>
      </c>
      <c r="AA103" s="346"/>
      <c r="AB103" s="60"/>
      <c r="AC103" s="61"/>
      <c r="AD103" s="81"/>
      <c r="AE103" s="63"/>
      <c r="AF103" s="62"/>
      <c r="AG103" s="63"/>
      <c r="AH103" s="62"/>
      <c r="AI103" s="63"/>
      <c r="AJ103" s="62"/>
      <c r="AK103" s="63"/>
      <c r="AL103" s="62"/>
      <c r="AM103" s="63"/>
      <c r="AN103" s="62"/>
      <c r="AO103" s="63"/>
      <c r="AP103" s="62"/>
      <c r="AQ103" s="63"/>
      <c r="AR103" s="81"/>
      <c r="AS103" s="63"/>
      <c r="AT103" s="62"/>
      <c r="AU103" s="63"/>
      <c r="AV103" s="62"/>
      <c r="AW103" s="63"/>
      <c r="AX103" s="62"/>
      <c r="AY103" s="63"/>
      <c r="AZ103" s="62"/>
      <c r="BA103" s="63"/>
      <c r="BB103" s="62"/>
      <c r="BC103" s="63"/>
      <c r="BD103" s="62"/>
      <c r="BE103" s="63"/>
      <c r="BF103" s="62"/>
      <c r="BG103" s="66"/>
    </row>
    <row r="104" customFormat="false" ht="13.15" hidden="false" customHeight="true" outlineLevel="0" collapsed="false">
      <c r="A104" s="103" t="s">
        <v>201</v>
      </c>
      <c r="B104" s="104" t="s">
        <v>203</v>
      </c>
      <c r="C104" s="105" t="s">
        <v>39</v>
      </c>
      <c r="D104" s="113" t="n">
        <v>85</v>
      </c>
      <c r="E104" s="113" t="n">
        <v>87</v>
      </c>
      <c r="F104" s="187" t="n">
        <f aca="false">E104/M104</f>
        <v>0.225974025974026</v>
      </c>
      <c r="G104" s="369" t="n">
        <f aca="false">G103/'Building Capability'!D115</f>
        <v>0.232273809523809</v>
      </c>
      <c r="H104" s="108" t="n">
        <v>9</v>
      </c>
      <c r="I104" s="109" t="n">
        <v>3.5</v>
      </c>
      <c r="J104" s="104" t="n">
        <f aca="false">INT(H104*I104)</f>
        <v>31</v>
      </c>
      <c r="K104" s="104" t="n">
        <v>3</v>
      </c>
      <c r="L104" s="104" t="n">
        <f aca="false">INT((H104-K104)*I104)</f>
        <v>21</v>
      </c>
      <c r="M104" s="104" t="n">
        <f aca="false">INT((L104*1000)/54.5)</f>
        <v>385</v>
      </c>
      <c r="N104" s="104" t="n">
        <f aca="false">SUM(AC104)</f>
        <v>0</v>
      </c>
      <c r="O104" s="309" t="n">
        <f aca="false">(E104+N104)/M104</f>
        <v>0.225974025974026</v>
      </c>
      <c r="P104" s="366"/>
      <c r="Q104" s="111" t="n">
        <f aca="false">SUM(AE104:BG104)</f>
        <v>0</v>
      </c>
      <c r="R104" s="149" t="n">
        <f aca="false">R103/'Building Capability'!D115</f>
        <v>0</v>
      </c>
      <c r="S104" s="113" t="n">
        <f aca="false">SUM(E104+N104+Q104)</f>
        <v>87</v>
      </c>
      <c r="T104" s="110" t="n">
        <f aca="false">T103/'Building Capability'!D115</f>
        <v>0.232273809523809</v>
      </c>
      <c r="U104" s="113" t="n">
        <f aca="false">SUM(M104-S104)</f>
        <v>298</v>
      </c>
      <c r="V104" s="370" t="n">
        <f aca="false">V103/'Building Capability'!D115</f>
        <v>0.766892857142857</v>
      </c>
      <c r="W104" s="114" t="n">
        <f aca="false">S104/M104</f>
        <v>0.225974025974026</v>
      </c>
      <c r="X104" s="56"/>
      <c r="Y104" s="367"/>
      <c r="Z104" s="368"/>
      <c r="AA104" s="346"/>
      <c r="AB104" s="116"/>
      <c r="AC104" s="117"/>
      <c r="AD104" s="81"/>
      <c r="AE104" s="119"/>
      <c r="AF104" s="118"/>
      <c r="AG104" s="119"/>
      <c r="AH104" s="118"/>
      <c r="AI104" s="119"/>
      <c r="AJ104" s="118"/>
      <c r="AK104" s="119"/>
      <c r="AL104" s="118"/>
      <c r="AM104" s="119"/>
      <c r="AN104" s="118"/>
      <c r="AO104" s="119"/>
      <c r="AP104" s="118"/>
      <c r="AQ104" s="119"/>
      <c r="AR104" s="118"/>
      <c r="AS104" s="119"/>
      <c r="AT104" s="118"/>
      <c r="AU104" s="119"/>
      <c r="AV104" s="118"/>
      <c r="AW104" s="119"/>
      <c r="AX104" s="118"/>
      <c r="AY104" s="119"/>
      <c r="AZ104" s="118"/>
      <c r="BA104" s="119"/>
      <c r="BB104" s="118"/>
      <c r="BC104" s="119"/>
      <c r="BD104" s="118"/>
      <c r="BE104" s="119"/>
      <c r="BF104" s="118"/>
      <c r="BG104" s="125"/>
    </row>
    <row r="105" customFormat="false" ht="12.75" hidden="false" customHeight="false" outlineLevel="0" collapsed="false">
      <c r="A105" s="68" t="s">
        <v>204</v>
      </c>
      <c r="B105" s="127" t="s">
        <v>205</v>
      </c>
      <c r="C105" s="128" t="s">
        <v>187</v>
      </c>
      <c r="D105" s="132" t="n">
        <v>545</v>
      </c>
      <c r="E105" s="132" t="n">
        <v>546</v>
      </c>
      <c r="F105" s="326" t="n">
        <f aca="false">E105/M105</f>
        <v>0.522488038277512</v>
      </c>
      <c r="G105" s="171" t="n">
        <f aca="false">SUM(E105:E106)*54.5/1000</f>
        <v>54.5545</v>
      </c>
      <c r="H105" s="127" t="n">
        <v>36</v>
      </c>
      <c r="I105" s="127" t="n">
        <v>3.2</v>
      </c>
      <c r="J105" s="127" t="n">
        <f aca="false">INT(H105*I105)</f>
        <v>115</v>
      </c>
      <c r="K105" s="127" t="n">
        <v>18</v>
      </c>
      <c r="L105" s="127" t="n">
        <f aca="false">INT((H105-K105)*I105)</f>
        <v>57</v>
      </c>
      <c r="M105" s="127" t="n">
        <f aca="false">INT((L105*1000)/54.5)</f>
        <v>1045</v>
      </c>
      <c r="N105" s="127" t="n">
        <f aca="false">SUM(AC105)</f>
        <v>0</v>
      </c>
      <c r="O105" s="154" t="n">
        <f aca="false">(E105+N105)/M105</f>
        <v>0.522488038277512</v>
      </c>
      <c r="P105" s="366" t="n">
        <f aca="false">SUM(N105:N106)*54.5/1000</f>
        <v>0</v>
      </c>
      <c r="Q105" s="255" t="n">
        <f aca="false">SUM(AE105:BG105)</f>
        <v>0</v>
      </c>
      <c r="R105" s="297" t="n">
        <f aca="false">SUM(Q105:Q106)*54.5/1000</f>
        <v>0</v>
      </c>
      <c r="S105" s="136" t="n">
        <f aca="false">SUM(E105+N105+Q105)</f>
        <v>546</v>
      </c>
      <c r="T105" s="371" t="n">
        <f aca="false">SUM(S105:S106)*54.5/1000</f>
        <v>54.5545</v>
      </c>
      <c r="U105" s="136" t="n">
        <f aca="false">SUM(M105-S105)</f>
        <v>499</v>
      </c>
      <c r="V105" s="372" t="n">
        <f aca="false">SUM(U105:U106)*54.5/1000</f>
        <v>59.3505</v>
      </c>
      <c r="W105" s="156" t="n">
        <f aca="false">S105/M105</f>
        <v>0.522488038277512</v>
      </c>
      <c r="X105" s="56" t="n">
        <f aca="false">(G105+P105+R105)/'Building Capability'!D116</f>
        <v>0.478548245614035</v>
      </c>
      <c r="Y105" s="362"/>
      <c r="Z105" s="56" t="n">
        <f aca="false">(G105+P105+R105)/'Building Capability'!D116</f>
        <v>0.478548245614035</v>
      </c>
      <c r="AA105" s="346"/>
      <c r="AB105" s="60"/>
      <c r="AC105" s="61"/>
      <c r="AD105" s="62"/>
      <c r="AE105" s="63"/>
      <c r="AF105" s="62"/>
      <c r="AG105" s="63"/>
      <c r="AH105" s="62"/>
      <c r="AI105" s="63"/>
      <c r="AJ105" s="62"/>
      <c r="AK105" s="63"/>
      <c r="AL105" s="62"/>
      <c r="AM105" s="63"/>
      <c r="AN105" s="62"/>
      <c r="AO105" s="63"/>
      <c r="AP105" s="62"/>
      <c r="AQ105" s="63"/>
      <c r="AR105" s="81"/>
      <c r="AS105" s="63"/>
      <c r="AT105" s="62"/>
      <c r="AU105" s="63"/>
      <c r="AV105" s="62"/>
      <c r="AW105" s="63"/>
      <c r="AX105" s="62"/>
      <c r="AY105" s="63"/>
      <c r="AZ105" s="62"/>
      <c r="BA105" s="63"/>
      <c r="BB105" s="62"/>
      <c r="BC105" s="63"/>
      <c r="BD105" s="62"/>
      <c r="BE105" s="63"/>
      <c r="BF105" s="62"/>
      <c r="BG105" s="66"/>
    </row>
    <row r="106" customFormat="false" ht="13.15" hidden="false" customHeight="true" outlineLevel="0" collapsed="false">
      <c r="A106" s="103" t="s">
        <v>204</v>
      </c>
      <c r="B106" s="104" t="s">
        <v>206</v>
      </c>
      <c r="C106" s="105" t="s">
        <v>187</v>
      </c>
      <c r="D106" s="108" t="n">
        <v>456</v>
      </c>
      <c r="E106" s="108" t="n">
        <v>455</v>
      </c>
      <c r="F106" s="373" t="n">
        <f aca="false">E106/M106</f>
        <v>0.435406698564593</v>
      </c>
      <c r="G106" s="374" t="n">
        <f aca="false">G105/'Building Capability'!D116</f>
        <v>0.478548245614035</v>
      </c>
      <c r="H106" s="108" t="n">
        <v>36</v>
      </c>
      <c r="I106" s="109" t="n">
        <v>3.2</v>
      </c>
      <c r="J106" s="104" t="n">
        <f aca="false">INT(H106*I106)</f>
        <v>115</v>
      </c>
      <c r="K106" s="104" t="n">
        <v>18</v>
      </c>
      <c r="L106" s="104" t="n">
        <f aca="false">INT((H106-K106)*I106)</f>
        <v>57</v>
      </c>
      <c r="M106" s="104" t="n">
        <f aca="false">INT((L106*1000)/54.5)</f>
        <v>1045</v>
      </c>
      <c r="N106" s="104" t="n">
        <f aca="false">SUM(AC106)</f>
        <v>0</v>
      </c>
      <c r="O106" s="309" t="n">
        <f aca="false">(E106+N106)/M106</f>
        <v>0.435406698564593</v>
      </c>
      <c r="P106" s="366"/>
      <c r="Q106" s="111" t="n">
        <f aca="false">SUM(AE106:BG106)</f>
        <v>0</v>
      </c>
      <c r="R106" s="149" t="n">
        <f aca="false">R105/'Building Capability'!D116</f>
        <v>0</v>
      </c>
      <c r="S106" s="113" t="n">
        <f aca="false">SUM(E106+N106+Q106)</f>
        <v>455</v>
      </c>
      <c r="T106" s="110" t="n">
        <f aca="false">T105/'Building Capability'!D116</f>
        <v>0.478548245614035</v>
      </c>
      <c r="U106" s="113" t="n">
        <f aca="false">SUM(M106-S106)</f>
        <v>590</v>
      </c>
      <c r="V106" s="370" t="n">
        <f aca="false">V105/'Building Capability'!D116</f>
        <v>0.520618421052632</v>
      </c>
      <c r="W106" s="114" t="n">
        <f aca="false">S106/M106</f>
        <v>0.435406698564593</v>
      </c>
      <c r="X106" s="56"/>
      <c r="Y106" s="375"/>
      <c r="Z106" s="56"/>
      <c r="AA106" s="346"/>
      <c r="AB106" s="116"/>
      <c r="AC106" s="117"/>
      <c r="AD106" s="118"/>
      <c r="AE106" s="119"/>
      <c r="AF106" s="118"/>
      <c r="AG106" s="119"/>
      <c r="AH106" s="118"/>
      <c r="AI106" s="119"/>
      <c r="AJ106" s="118"/>
      <c r="AK106" s="119"/>
      <c r="AL106" s="118"/>
      <c r="AM106" s="119"/>
      <c r="AN106" s="118"/>
      <c r="AO106" s="119"/>
      <c r="AP106" s="118"/>
      <c r="AQ106" s="119"/>
      <c r="AR106" s="118"/>
      <c r="AS106" s="119"/>
      <c r="AT106" s="118"/>
      <c r="AU106" s="119"/>
      <c r="AV106" s="118"/>
      <c r="AW106" s="119"/>
      <c r="AX106" s="118"/>
      <c r="AY106" s="119"/>
      <c r="AZ106" s="118"/>
      <c r="BA106" s="119"/>
      <c r="BB106" s="118"/>
      <c r="BC106" s="119"/>
      <c r="BD106" s="118"/>
      <c r="BE106" s="119"/>
      <c r="BF106" s="118"/>
      <c r="BG106" s="125"/>
    </row>
    <row r="107" customFormat="false" ht="12.75" hidden="false" customHeight="false" outlineLevel="0" collapsed="false">
      <c r="A107" s="68" t="s">
        <v>207</v>
      </c>
      <c r="B107" s="127" t="s">
        <v>208</v>
      </c>
      <c r="C107" s="128" t="s">
        <v>187</v>
      </c>
      <c r="D107" s="136" t="n">
        <v>276</v>
      </c>
      <c r="E107" s="136" t="n">
        <v>276</v>
      </c>
      <c r="F107" s="134" t="n">
        <f aca="false">E107/M107</f>
        <v>0.264114832535885</v>
      </c>
      <c r="G107" s="131" t="n">
        <f aca="false">SUM(E107:E108)*54.5/1000</f>
        <v>29.212</v>
      </c>
      <c r="H107" s="132" t="n">
        <v>36</v>
      </c>
      <c r="I107" s="133" t="n">
        <v>3.2</v>
      </c>
      <c r="J107" s="127" t="n">
        <f aca="false">INT(H107*I107)</f>
        <v>115</v>
      </c>
      <c r="K107" s="127" t="n">
        <v>18</v>
      </c>
      <c r="L107" s="127" t="n">
        <f aca="false">INT((H107-K107)*I107)</f>
        <v>57</v>
      </c>
      <c r="M107" s="127" t="n">
        <f aca="false">INT((L107*1000)/54.5)</f>
        <v>1045</v>
      </c>
      <c r="N107" s="127" t="n">
        <f aca="false">SUM(AC107)</f>
        <v>0</v>
      </c>
      <c r="O107" s="154" t="n">
        <f aca="false">(E107+N107)/M107</f>
        <v>0.264114832535885</v>
      </c>
      <c r="P107" s="360" t="n">
        <f aca="false">SUM(N107:N108)*54.5/1000</f>
        <v>0</v>
      </c>
      <c r="Q107" s="155" t="n">
        <f aca="false">SUM(AE107:BG107)</f>
        <v>0</v>
      </c>
      <c r="R107" s="297" t="n">
        <f aca="false">SUM(Q107:Q108)*54.5/1000</f>
        <v>0</v>
      </c>
      <c r="S107" s="136" t="n">
        <f aca="false">SUM(E107+N107+Q107)</f>
        <v>276</v>
      </c>
      <c r="T107" s="371" t="n">
        <f aca="false">SUM(S107:S108)*54.5/1000</f>
        <v>29.212</v>
      </c>
      <c r="U107" s="136" t="n">
        <f aca="false">SUM(M107-S107)</f>
        <v>769</v>
      </c>
      <c r="V107" s="372" t="n">
        <f aca="false">SUM(U107:U108)*54.5/1000</f>
        <v>84.693</v>
      </c>
      <c r="W107" s="236" t="n">
        <f aca="false">S107/M107</f>
        <v>0.264114832535885</v>
      </c>
      <c r="X107" s="197" t="n">
        <f aca="false">(G107+P107+R107)/'Building Capability'!D117</f>
        <v>0.256245614035088</v>
      </c>
      <c r="Y107" s="362"/>
      <c r="Z107" s="56" t="n">
        <f aca="false">(G107+P107+R107)/'Building Capability'!D117</f>
        <v>0.256245614035088</v>
      </c>
      <c r="AA107" s="346"/>
      <c r="AB107" s="60"/>
      <c r="AC107" s="61"/>
      <c r="AD107" s="62"/>
      <c r="AE107" s="63"/>
      <c r="AF107" s="62"/>
      <c r="AG107" s="63"/>
      <c r="AH107" s="62"/>
      <c r="AI107" s="63"/>
      <c r="AJ107" s="62"/>
      <c r="AK107" s="63"/>
      <c r="AL107" s="62"/>
      <c r="AM107" s="63"/>
      <c r="AN107" s="62"/>
      <c r="AO107" s="63"/>
      <c r="AP107" s="62"/>
      <c r="AQ107" s="63"/>
      <c r="AR107" s="81"/>
      <c r="AS107" s="63"/>
      <c r="AT107" s="62"/>
      <c r="AU107" s="63"/>
      <c r="AV107" s="62"/>
      <c r="AW107" s="63"/>
      <c r="AX107" s="62"/>
      <c r="AY107" s="63"/>
      <c r="AZ107" s="62"/>
      <c r="BA107" s="63"/>
      <c r="BB107" s="62"/>
      <c r="BC107" s="63"/>
      <c r="BD107" s="62"/>
      <c r="BE107" s="63"/>
      <c r="BF107" s="62"/>
      <c r="BG107" s="66"/>
    </row>
    <row r="108" customFormat="false" ht="13.15" hidden="false" customHeight="true" outlineLevel="0" collapsed="false">
      <c r="A108" s="143" t="s">
        <v>207</v>
      </c>
      <c r="B108" s="69" t="s">
        <v>209</v>
      </c>
      <c r="C108" s="70" t="s">
        <v>187</v>
      </c>
      <c r="D108" s="77" t="n">
        <v>260</v>
      </c>
      <c r="E108" s="77" t="n">
        <v>260</v>
      </c>
      <c r="F108" s="72" t="n">
        <f aca="false">E108/M108</f>
        <v>0.248803827751196</v>
      </c>
      <c r="G108" s="376" t="n">
        <f aca="false">G107/'Building Capability'!D117</f>
        <v>0.256245614035088</v>
      </c>
      <c r="H108" s="73" t="n">
        <v>36</v>
      </c>
      <c r="I108" s="74" t="n">
        <v>3.2</v>
      </c>
      <c r="J108" s="69" t="n">
        <f aca="false">INT(H108*I108)</f>
        <v>115</v>
      </c>
      <c r="K108" s="69" t="n">
        <v>18</v>
      </c>
      <c r="L108" s="69" t="n">
        <f aca="false">INT((H108-K108)*I108)</f>
        <v>57</v>
      </c>
      <c r="M108" s="69" t="n">
        <f aca="false">INT((L108*1000)/54.5)</f>
        <v>1045</v>
      </c>
      <c r="N108" s="69" t="n">
        <f aca="false">SUM(AC108)</f>
        <v>0</v>
      </c>
      <c r="O108" s="309" t="n">
        <f aca="false">(E108+N108)/M108</f>
        <v>0.248803827751196</v>
      </c>
      <c r="P108" s="360"/>
      <c r="Q108" s="111" t="n">
        <f aca="false">SUM(AE108:BG108)</f>
        <v>0</v>
      </c>
      <c r="R108" s="377" t="n">
        <f aca="false">R107/'Building Capability'!D117</f>
        <v>0</v>
      </c>
      <c r="S108" s="77" t="n">
        <f aca="false">SUM(E108+N108+Q108)</f>
        <v>260</v>
      </c>
      <c r="T108" s="48" t="n">
        <f aca="false">T107/'Building Capability'!D117</f>
        <v>0.256245614035088</v>
      </c>
      <c r="U108" s="77" t="n">
        <f aca="false">SUM(M108-S108)</f>
        <v>785</v>
      </c>
      <c r="V108" s="378" t="n">
        <f aca="false">V107/'Building Capability'!D117</f>
        <v>0.742921052631579</v>
      </c>
      <c r="W108" s="203" t="n">
        <f aca="false">S108/M108</f>
        <v>0.248803827751196</v>
      </c>
      <c r="X108" s="197"/>
      <c r="Y108" s="37"/>
      <c r="Z108" s="56"/>
      <c r="AB108" s="79"/>
      <c r="AC108" s="80"/>
      <c r="AD108" s="81"/>
      <c r="AE108" s="82"/>
      <c r="AF108" s="81"/>
      <c r="AG108" s="82"/>
      <c r="AH108" s="81"/>
      <c r="AI108" s="82"/>
      <c r="AJ108" s="81"/>
      <c r="AK108" s="82"/>
      <c r="AL108" s="81"/>
      <c r="AM108" s="82"/>
      <c r="AN108" s="81"/>
      <c r="AO108" s="82"/>
      <c r="AP108" s="81"/>
      <c r="AQ108" s="82"/>
      <c r="AR108" s="118"/>
      <c r="AS108" s="82"/>
      <c r="AT108" s="81"/>
      <c r="AU108" s="82"/>
      <c r="AV108" s="81"/>
      <c r="AW108" s="82"/>
      <c r="AX108" s="81"/>
      <c r="AY108" s="82"/>
      <c r="AZ108" s="81"/>
      <c r="BA108" s="82"/>
      <c r="BB108" s="81"/>
      <c r="BC108" s="82"/>
      <c r="BD108" s="81"/>
      <c r="BE108" s="82"/>
      <c r="BF108" s="81"/>
      <c r="BG108" s="83"/>
    </row>
    <row r="109" customFormat="false" ht="12.75" hidden="false" customHeight="false" outlineLevel="0" collapsed="false">
      <c r="A109" s="40" t="s">
        <v>210</v>
      </c>
      <c r="B109" s="41" t="s">
        <v>211</v>
      </c>
      <c r="C109" s="42" t="s">
        <v>187</v>
      </c>
      <c r="D109" s="379" t="n">
        <v>244</v>
      </c>
      <c r="E109" s="379" t="n">
        <v>244</v>
      </c>
      <c r="F109" s="314" t="n">
        <f aca="false">E109/M109</f>
        <v>0.233492822966507</v>
      </c>
      <c r="G109" s="171" t="n">
        <f aca="false">SUM(E109:E111)*54.5/1000</f>
        <v>38.695</v>
      </c>
      <c r="H109" s="46" t="n">
        <v>36</v>
      </c>
      <c r="I109" s="47" t="n">
        <v>3.2</v>
      </c>
      <c r="J109" s="41" t="n">
        <f aca="false">INT(H109*I109)</f>
        <v>115</v>
      </c>
      <c r="K109" s="41" t="n">
        <v>18</v>
      </c>
      <c r="L109" s="41" t="n">
        <f aca="false">INT((H109-K109)*I109)</f>
        <v>57</v>
      </c>
      <c r="M109" s="41" t="n">
        <f aca="false">INT((L109*1000)/54.5)</f>
        <v>1045</v>
      </c>
      <c r="N109" s="41" t="n">
        <f aca="false">SUM(AC109)</f>
        <v>0</v>
      </c>
      <c r="O109" s="154" t="n">
        <f aca="false">(E109+N109)/M109</f>
        <v>0.233492822966507</v>
      </c>
      <c r="P109" s="363" t="n">
        <f aca="false">SUM(N109:N111)*54.5/1000</f>
        <v>0</v>
      </c>
      <c r="Q109" s="155" t="n">
        <f aca="false">SUM(AE109:BG109)</f>
        <v>0</v>
      </c>
      <c r="R109" s="45" t="n">
        <f aca="false">SUM(Q109:Q111)*54.5/1000</f>
        <v>0</v>
      </c>
      <c r="S109" s="53" t="n">
        <f aca="false">SUM(E109+N109+Q109)</f>
        <v>244</v>
      </c>
      <c r="T109" s="344" t="n">
        <f aca="false">SUM(S109:S111)*54.5/1000</f>
        <v>38.695</v>
      </c>
      <c r="U109" s="53" t="n">
        <f aca="false">SUM(M109-S109)</f>
        <v>801</v>
      </c>
      <c r="V109" s="356" t="n">
        <f aca="false">SUM(U109:U111)*54.5/1000</f>
        <v>103.1685</v>
      </c>
      <c r="W109" s="196" t="n">
        <f aca="false">S109/M109</f>
        <v>0.233492822966507</v>
      </c>
      <c r="X109" s="197" t="n">
        <f aca="false">(G109+P109+R109)/'Building Capability'!D118</f>
        <v>0.2725</v>
      </c>
      <c r="Y109" s="362"/>
      <c r="Z109" s="56" t="n">
        <f aca="false">(G109+P109+R109)/'Building Capability'!D118</f>
        <v>0.2725</v>
      </c>
      <c r="AA109" s="346"/>
      <c r="AB109" s="60"/>
      <c r="AC109" s="61"/>
      <c r="AD109" s="239"/>
      <c r="AE109" s="240"/>
      <c r="AF109" s="62"/>
      <c r="AG109" s="63"/>
      <c r="AH109" s="62"/>
      <c r="AI109" s="63"/>
      <c r="AJ109" s="62"/>
      <c r="AK109" s="63"/>
      <c r="AL109" s="62"/>
      <c r="AM109" s="63"/>
      <c r="AN109" s="62"/>
      <c r="AO109" s="63"/>
      <c r="AP109" s="62"/>
      <c r="AQ109" s="63"/>
      <c r="AR109" s="81"/>
      <c r="AS109" s="63"/>
      <c r="AT109" s="62"/>
      <c r="AU109" s="63"/>
      <c r="AV109" s="62"/>
      <c r="AW109" s="63"/>
      <c r="AX109" s="62"/>
      <c r="AY109" s="63"/>
      <c r="AZ109" s="62"/>
      <c r="BA109" s="63"/>
      <c r="BB109" s="62"/>
      <c r="BC109" s="63"/>
      <c r="BD109" s="62"/>
      <c r="BE109" s="63"/>
      <c r="BF109" s="62"/>
      <c r="BG109" s="66"/>
    </row>
    <row r="110" customFormat="false" ht="13.15" hidden="false" customHeight="true" outlineLevel="0" collapsed="false">
      <c r="A110" s="143" t="s">
        <v>210</v>
      </c>
      <c r="B110" s="69" t="s">
        <v>212</v>
      </c>
      <c r="C110" s="70" t="s">
        <v>187</v>
      </c>
      <c r="D110" s="144" t="n">
        <v>375</v>
      </c>
      <c r="E110" s="144" t="n">
        <v>341</v>
      </c>
      <c r="F110" s="157" t="n">
        <f aca="false">E110/M110</f>
        <v>0.326315789473684</v>
      </c>
      <c r="G110" s="171"/>
      <c r="H110" s="73" t="n">
        <v>36</v>
      </c>
      <c r="I110" s="74" t="n">
        <v>3.2</v>
      </c>
      <c r="J110" s="69" t="n">
        <f aca="false">INT(H110*I110)</f>
        <v>115</v>
      </c>
      <c r="K110" s="69" t="n">
        <v>18</v>
      </c>
      <c r="L110" s="69" t="n">
        <f aca="false">INT((H110-K110)*I110)</f>
        <v>57</v>
      </c>
      <c r="M110" s="69" t="n">
        <f aca="false">INT((L110*1000)/54.5)</f>
        <v>1045</v>
      </c>
      <c r="N110" s="69" t="n">
        <f aca="false">SUM(AC110)</f>
        <v>0</v>
      </c>
      <c r="O110" s="154" t="n">
        <f aca="false">(E110+N110)/M110</f>
        <v>0.326315789473684</v>
      </c>
      <c r="P110" s="363"/>
      <c r="Q110" s="167" t="n">
        <f aca="false">SUM(AE110:BG110)</f>
        <v>0</v>
      </c>
      <c r="R110" s="149" t="n">
        <f aca="false">R109/'Building Capability'!D118</f>
        <v>0</v>
      </c>
      <c r="S110" s="77" t="n">
        <f aca="false">SUM(E110+N110+Q110)</f>
        <v>341</v>
      </c>
      <c r="T110" s="149" t="n">
        <f aca="false">T109/'Building Capability'!D118</f>
        <v>0.2725</v>
      </c>
      <c r="U110" s="77" t="n">
        <f aca="false">SUM(M110-S110)</f>
        <v>704</v>
      </c>
      <c r="V110" s="149" t="n">
        <f aca="false">V109/'Building Capability'!D118</f>
        <v>0.726538732394366</v>
      </c>
      <c r="W110" s="203" t="n">
        <f aca="false">S110/M110</f>
        <v>0.326315789473684</v>
      </c>
      <c r="X110" s="197"/>
      <c r="Y110" s="362"/>
      <c r="Z110" s="56"/>
      <c r="AA110" s="346"/>
      <c r="AB110" s="79"/>
      <c r="AC110" s="80"/>
      <c r="AD110" s="98"/>
      <c r="AE110" s="99"/>
      <c r="AF110" s="96"/>
      <c r="AG110" s="97"/>
      <c r="AH110" s="81"/>
      <c r="AI110" s="82"/>
      <c r="AJ110" s="81"/>
      <c r="AK110" s="82"/>
      <c r="AL110" s="81"/>
      <c r="AM110" s="82"/>
      <c r="AN110" s="81"/>
      <c r="AO110" s="82"/>
      <c r="AP110" s="81"/>
      <c r="AQ110" s="82"/>
      <c r="AR110" s="81"/>
      <c r="AS110" s="82"/>
      <c r="AT110" s="81"/>
      <c r="AU110" s="82"/>
      <c r="AV110" s="81"/>
      <c r="AW110" s="82"/>
      <c r="AX110" s="81"/>
      <c r="AY110" s="82"/>
      <c r="AZ110" s="81"/>
      <c r="BA110" s="82"/>
      <c r="BB110" s="81"/>
      <c r="BC110" s="82"/>
      <c r="BD110" s="81"/>
      <c r="BE110" s="82"/>
      <c r="BF110" s="81"/>
      <c r="BG110" s="83"/>
    </row>
    <row r="111" customFormat="false" ht="13.15" hidden="false" customHeight="true" outlineLevel="0" collapsed="false">
      <c r="A111" s="90" t="s">
        <v>210</v>
      </c>
      <c r="B111" s="35" t="s">
        <v>213</v>
      </c>
      <c r="C111" s="162" t="s">
        <v>187</v>
      </c>
      <c r="D111" s="342" t="n">
        <v>122</v>
      </c>
      <c r="E111" s="342" t="n">
        <v>125</v>
      </c>
      <c r="F111" s="176" t="n">
        <f aca="false">E111/M111</f>
        <v>0.243664717348928</v>
      </c>
      <c r="G111" s="348" t="n">
        <f aca="false">G109/'Building Capability'!D118</f>
        <v>0.2725</v>
      </c>
      <c r="H111" s="164" t="n">
        <v>18</v>
      </c>
      <c r="I111" s="165" t="n">
        <v>3.2</v>
      </c>
      <c r="J111" s="35" t="n">
        <f aca="false">INT(H111*I111)</f>
        <v>57</v>
      </c>
      <c r="K111" s="35" t="n">
        <v>9</v>
      </c>
      <c r="L111" s="35" t="n">
        <f aca="false">INT((H111-K111)*I111)</f>
        <v>28</v>
      </c>
      <c r="M111" s="35" t="n">
        <f aca="false">INT((L111*1000)/54.5)</f>
        <v>513</v>
      </c>
      <c r="N111" s="35" t="n">
        <f aca="false">SUM(AC111)</f>
        <v>0</v>
      </c>
      <c r="O111" s="309" t="n">
        <f aca="false">(E111+N111)/M111</f>
        <v>0.243664717348928</v>
      </c>
      <c r="P111" s="363"/>
      <c r="Q111" s="111" t="n">
        <f aca="false">SUM(AE111:BG111)</f>
        <v>0</v>
      </c>
      <c r="R111" s="149"/>
      <c r="S111" s="36" t="n">
        <f aca="false">SUM(E111+N111+Q111)</f>
        <v>125</v>
      </c>
      <c r="T111" s="149"/>
      <c r="U111" s="36" t="n">
        <f aca="false">SUM(M111-S111)</f>
        <v>388</v>
      </c>
      <c r="V111" s="149"/>
      <c r="W111" s="351" t="n">
        <f aca="false">S111/M111</f>
        <v>0.243664717348928</v>
      </c>
      <c r="X111" s="197"/>
      <c r="Y111" s="380"/>
      <c r="Z111" s="56"/>
      <c r="AA111" s="346"/>
      <c r="AB111" s="116"/>
      <c r="AC111" s="117"/>
      <c r="AD111" s="118"/>
      <c r="AE111" s="119"/>
      <c r="AF111" s="118"/>
      <c r="AG111" s="119"/>
      <c r="AH111" s="118"/>
      <c r="AI111" s="119"/>
      <c r="AJ111" s="118"/>
      <c r="AK111" s="119"/>
      <c r="AL111" s="118"/>
      <c r="AM111" s="119"/>
      <c r="AN111" s="118"/>
      <c r="AO111" s="119"/>
      <c r="AP111" s="118"/>
      <c r="AQ111" s="119"/>
      <c r="AR111" s="118"/>
      <c r="AS111" s="119"/>
      <c r="AT111" s="118"/>
      <c r="AU111" s="119"/>
      <c r="AV111" s="118"/>
      <c r="AW111" s="119"/>
      <c r="AX111" s="118"/>
      <c r="AY111" s="119"/>
      <c r="AZ111" s="118"/>
      <c r="BA111" s="119"/>
      <c r="BB111" s="118"/>
      <c r="BC111" s="119"/>
      <c r="BD111" s="118"/>
      <c r="BE111" s="119"/>
      <c r="BF111" s="118"/>
      <c r="BG111" s="125"/>
    </row>
    <row r="112" customFormat="false" ht="13.5" hidden="false" customHeight="false" outlineLevel="0" collapsed="false">
      <c r="A112" s="40" t="s">
        <v>214</v>
      </c>
      <c r="B112" s="41" t="s">
        <v>215</v>
      </c>
      <c r="C112" s="42" t="s">
        <v>187</v>
      </c>
      <c r="D112" s="381" t="n">
        <v>187</v>
      </c>
      <c r="E112" s="381" t="n">
        <v>187</v>
      </c>
      <c r="F112" s="382" t="n">
        <f aca="false">E112/M112</f>
        <v>0.178947368421053</v>
      </c>
      <c r="G112" s="171" t="n">
        <f aca="false">SUM(E112:E113)*54.5/1000</f>
        <v>16.132</v>
      </c>
      <c r="H112" s="46" t="n">
        <v>36</v>
      </c>
      <c r="I112" s="47" t="n">
        <v>3.2</v>
      </c>
      <c r="J112" s="41" t="n">
        <f aca="false">INT(H112*I112)</f>
        <v>115</v>
      </c>
      <c r="K112" s="41" t="n">
        <v>18</v>
      </c>
      <c r="L112" s="41" t="n">
        <f aca="false">INT((H112-K112)*I112)</f>
        <v>57</v>
      </c>
      <c r="M112" s="41" t="n">
        <f aca="false">INT((L112*1000)/54.5)</f>
        <v>1045</v>
      </c>
      <c r="N112" s="41" t="n">
        <f aca="false">SUM(AC112)</f>
        <v>0</v>
      </c>
      <c r="O112" s="154" t="n">
        <f aca="false">(E112+N112)/M112</f>
        <v>0.178947368421053</v>
      </c>
      <c r="P112" s="363" t="n">
        <f aca="false">SUM(N112:N113)*54.5/1000</f>
        <v>0</v>
      </c>
      <c r="Q112" s="255" t="n">
        <f aca="false">SUM(AE112:BG112)</f>
        <v>107</v>
      </c>
      <c r="R112" s="45" t="n">
        <f aca="false">SUM(Q112:Q113)*54.5/1000</f>
        <v>11.663</v>
      </c>
      <c r="S112" s="53" t="n">
        <f aca="false">SUM(E112+N112+Q112)</f>
        <v>294</v>
      </c>
      <c r="T112" s="344" t="n">
        <f aca="false">SUM(S112:S113)*54.5/1000</f>
        <v>27.795</v>
      </c>
      <c r="U112" s="53" t="n">
        <f aca="false">SUM(M112-S112)</f>
        <v>751</v>
      </c>
      <c r="V112" s="356" t="n">
        <f aca="false">SUM(U112:U113)*54.5/1000</f>
        <v>77.1175</v>
      </c>
      <c r="W112" s="196" t="n">
        <f aca="false">S112/M112</f>
        <v>0.28133971291866</v>
      </c>
      <c r="X112" s="197" t="n">
        <f aca="false">(G112+P112+R112)/'Building Capability'!D119</f>
        <v>0.264714285714286</v>
      </c>
      <c r="Y112" s="354"/>
      <c r="Z112" s="197" t="n">
        <f aca="false">(G112+P112+R112)/'Building Capability'!D119</f>
        <v>0.264714285714286</v>
      </c>
      <c r="AB112" s="60"/>
      <c r="AC112" s="61"/>
      <c r="AD112" s="239" t="s">
        <v>176</v>
      </c>
      <c r="AE112" s="240" t="n">
        <v>107</v>
      </c>
      <c r="AF112" s="62"/>
      <c r="AG112" s="63"/>
      <c r="AH112" s="62"/>
      <c r="AI112" s="63"/>
      <c r="AJ112" s="62"/>
      <c r="AK112" s="63"/>
      <c r="AL112" s="62"/>
      <c r="AM112" s="63"/>
      <c r="AN112" s="62"/>
      <c r="AO112" s="63"/>
      <c r="AP112" s="62"/>
      <c r="AQ112" s="63"/>
      <c r="AR112" s="81"/>
      <c r="AS112" s="63"/>
      <c r="AT112" s="62"/>
      <c r="AU112" s="63"/>
      <c r="AV112" s="62"/>
      <c r="AW112" s="63"/>
      <c r="AX112" s="62"/>
      <c r="AY112" s="63"/>
      <c r="AZ112" s="62"/>
      <c r="BA112" s="63"/>
      <c r="BB112" s="62"/>
      <c r="BC112" s="63"/>
      <c r="BD112" s="62"/>
      <c r="BE112" s="63"/>
      <c r="BF112" s="62"/>
      <c r="BG112" s="66"/>
    </row>
    <row r="113" customFormat="false" ht="13.15" hidden="false" customHeight="true" outlineLevel="0" collapsed="false">
      <c r="A113" s="90" t="s">
        <v>214</v>
      </c>
      <c r="B113" s="35" t="s">
        <v>216</v>
      </c>
      <c r="C113" s="162" t="s">
        <v>187</v>
      </c>
      <c r="D113" s="164" t="n">
        <v>109</v>
      </c>
      <c r="E113" s="164" t="n">
        <v>109</v>
      </c>
      <c r="F113" s="383" t="n">
        <f aca="false">E113/M113</f>
        <v>0.123863636363636</v>
      </c>
      <c r="G113" s="348" t="n">
        <f aca="false">G112/'Building Capability'!D119</f>
        <v>0.153638095238095</v>
      </c>
      <c r="H113" s="164" t="n">
        <v>30</v>
      </c>
      <c r="I113" s="165" t="n">
        <v>3.2</v>
      </c>
      <c r="J113" s="35" t="n">
        <f aca="false">INT(H113*I113)</f>
        <v>96</v>
      </c>
      <c r="K113" s="35" t="n">
        <v>15</v>
      </c>
      <c r="L113" s="35" t="n">
        <f aca="false">INT((H113-K113)*I113)</f>
        <v>48</v>
      </c>
      <c r="M113" s="35" t="n">
        <f aca="false">INT((L113*1000)/54.5)</f>
        <v>880</v>
      </c>
      <c r="N113" s="35" t="n">
        <f aca="false">SUM(AC113)</f>
        <v>0</v>
      </c>
      <c r="O113" s="309" t="n">
        <f aca="false">(E113+N113)/M113</f>
        <v>0.123863636363636</v>
      </c>
      <c r="P113" s="363"/>
      <c r="Q113" s="111" t="n">
        <f aca="false">SUM(AE113:BG113)</f>
        <v>107</v>
      </c>
      <c r="R113" s="181" t="n">
        <f aca="false">R112/'Building Capability'!D119</f>
        <v>0.11107619047619</v>
      </c>
      <c r="S113" s="36" t="n">
        <f aca="false">SUM(E113+N113+Q113)</f>
        <v>216</v>
      </c>
      <c r="T113" s="166" t="n">
        <f aca="false">T112/'Building Capability'!D119</f>
        <v>0.264714285714286</v>
      </c>
      <c r="U113" s="36" t="n">
        <f aca="false">SUM(M113-S113)</f>
        <v>664</v>
      </c>
      <c r="V113" s="350" t="n">
        <f aca="false">V112/'Building Capability'!D119</f>
        <v>0.734452380952381</v>
      </c>
      <c r="W113" s="351" t="n">
        <f aca="false">S113/M113</f>
        <v>0.245454545454545</v>
      </c>
      <c r="X113" s="197"/>
      <c r="Y113" s="355"/>
      <c r="Z113" s="197"/>
      <c r="AA113" s="146"/>
      <c r="AB113" s="296"/>
      <c r="AC113" s="117"/>
      <c r="AD113" s="120" t="s">
        <v>176</v>
      </c>
      <c r="AE113" s="121" t="n">
        <v>107</v>
      </c>
      <c r="AF113" s="118"/>
      <c r="AG113" s="119"/>
      <c r="AH113" s="118"/>
      <c r="AI113" s="119"/>
      <c r="AJ113" s="118"/>
      <c r="AK113" s="119"/>
      <c r="AL113" s="118"/>
      <c r="AM113" s="119"/>
      <c r="AN113" s="118"/>
      <c r="AO113" s="119"/>
      <c r="AP113" s="118"/>
      <c r="AQ113" s="119"/>
      <c r="AR113" s="118"/>
      <c r="AS113" s="119"/>
      <c r="AT113" s="118"/>
      <c r="AU113" s="119"/>
      <c r="AV113" s="118"/>
      <c r="AW113" s="119"/>
      <c r="AX113" s="118"/>
      <c r="AY113" s="119"/>
      <c r="AZ113" s="118"/>
      <c r="BA113" s="119"/>
      <c r="BB113" s="118"/>
      <c r="BC113" s="119"/>
      <c r="BD113" s="118"/>
      <c r="BE113" s="119"/>
      <c r="BF113" s="118"/>
      <c r="BG113" s="125"/>
    </row>
    <row r="114" customFormat="false" ht="12.75" hidden="false" customHeight="false" outlineLevel="0" collapsed="false">
      <c r="A114" s="40" t="s">
        <v>217</v>
      </c>
      <c r="B114" s="41" t="s">
        <v>218</v>
      </c>
      <c r="C114" s="42" t="s">
        <v>187</v>
      </c>
      <c r="D114" s="46" t="n">
        <v>385</v>
      </c>
      <c r="E114" s="46" t="n">
        <v>383</v>
      </c>
      <c r="F114" s="314" t="n">
        <f aca="false">E114/M114</f>
        <v>0.366507177033493</v>
      </c>
      <c r="G114" s="171" t="n">
        <f aca="false">SUM(E114:E115)*54.5/1000</f>
        <v>43.927</v>
      </c>
      <c r="H114" s="46" t="n">
        <v>36</v>
      </c>
      <c r="I114" s="47" t="n">
        <v>3.2</v>
      </c>
      <c r="J114" s="53" t="n">
        <f aca="false">INT(H114*I114)</f>
        <v>115</v>
      </c>
      <c r="K114" s="41" t="n">
        <v>18</v>
      </c>
      <c r="L114" s="41" t="n">
        <f aca="false">INT((H114-K114)*I114)</f>
        <v>57</v>
      </c>
      <c r="M114" s="41" t="n">
        <f aca="false">INT((L114*1000)/54.5)</f>
        <v>1045</v>
      </c>
      <c r="N114" s="41" t="n">
        <f aca="false">SUM(AC114)</f>
        <v>0</v>
      </c>
      <c r="O114" s="154" t="n">
        <f aca="false">(E114+N114)/M114</f>
        <v>0.366507177033493</v>
      </c>
      <c r="P114" s="363" t="n">
        <f aca="false">SUM(N114:N115)*54.5/1000</f>
        <v>0</v>
      </c>
      <c r="Q114" s="255" t="n">
        <f aca="false">SUM(AE114:BG114)</f>
        <v>0</v>
      </c>
      <c r="R114" s="45" t="n">
        <f aca="false">SUM(Q114:Q115)*54.5/1000</f>
        <v>0</v>
      </c>
      <c r="S114" s="53" t="n">
        <f aca="false">SUM(E114+N114+Q114)</f>
        <v>383</v>
      </c>
      <c r="T114" s="344" t="n">
        <f aca="false">SUM(S114:S115)*54.5/1000</f>
        <v>43.927</v>
      </c>
      <c r="U114" s="53" t="n">
        <f aca="false">SUM(M114-S114)</f>
        <v>662</v>
      </c>
      <c r="V114" s="356" t="n">
        <f aca="false">SUM(U114:U115)*54.5/1000</f>
        <v>69.978</v>
      </c>
      <c r="W114" s="196" t="n">
        <f aca="false">S114/M114</f>
        <v>0.366507177033493</v>
      </c>
      <c r="X114" s="197" t="n">
        <f aca="false">(G114+P114+R114)/'Building Capability'!D120</f>
        <v>0.385324561403509</v>
      </c>
      <c r="Y114" s="362"/>
      <c r="Z114" s="56" t="n">
        <f aca="false">(G114+P114+R114)/'Building Capability'!D120</f>
        <v>0.385324561403509</v>
      </c>
      <c r="AA114" s="384"/>
      <c r="AB114" s="290"/>
      <c r="AC114" s="61"/>
      <c r="AD114" s="62"/>
      <c r="AE114" s="63"/>
      <c r="AF114" s="239"/>
      <c r="AG114" s="240"/>
      <c r="AH114" s="62"/>
      <c r="AI114" s="63"/>
      <c r="AJ114" s="81"/>
      <c r="AK114" s="385"/>
      <c r="AL114" s="62"/>
      <c r="AM114" s="63"/>
      <c r="AN114" s="62"/>
      <c r="AO114" s="63"/>
      <c r="AP114" s="62"/>
      <c r="AQ114" s="63"/>
      <c r="AR114" s="81"/>
      <c r="AS114" s="63"/>
      <c r="AT114" s="62"/>
      <c r="AU114" s="63"/>
      <c r="AV114" s="62"/>
      <c r="AW114" s="63"/>
      <c r="AX114" s="62"/>
      <c r="AY114" s="63"/>
      <c r="AZ114" s="62"/>
      <c r="BA114" s="63"/>
      <c r="BB114" s="62"/>
      <c r="BC114" s="63"/>
      <c r="BD114" s="62"/>
      <c r="BE114" s="63"/>
      <c r="BF114" s="62"/>
      <c r="BG114" s="66"/>
    </row>
    <row r="115" customFormat="false" ht="13.15" hidden="false" customHeight="true" outlineLevel="0" collapsed="false">
      <c r="A115" s="90" t="s">
        <v>217</v>
      </c>
      <c r="B115" s="35" t="s">
        <v>219</v>
      </c>
      <c r="C115" s="162" t="s">
        <v>187</v>
      </c>
      <c r="D115" s="164" t="n">
        <v>423</v>
      </c>
      <c r="E115" s="164" t="n">
        <v>423</v>
      </c>
      <c r="F115" s="383" t="n">
        <f aca="false">E115/M115</f>
        <v>0.404784688995215</v>
      </c>
      <c r="G115" s="348" t="n">
        <f aca="false">G114/'Building Capability'!D120</f>
        <v>0.385324561403509</v>
      </c>
      <c r="H115" s="164" t="n">
        <v>36</v>
      </c>
      <c r="I115" s="165" t="n">
        <v>3.2</v>
      </c>
      <c r="J115" s="35" t="n">
        <f aca="false">INT(H115*I115)</f>
        <v>115</v>
      </c>
      <c r="K115" s="35" t="n">
        <v>18</v>
      </c>
      <c r="L115" s="35" t="n">
        <f aca="false">INT((H115-K115)*I115)</f>
        <v>57</v>
      </c>
      <c r="M115" s="35" t="n">
        <f aca="false">INT((L115*1000)/54.5)</f>
        <v>1045</v>
      </c>
      <c r="N115" s="35" t="n">
        <f aca="false">SUM(AC115)</f>
        <v>0</v>
      </c>
      <c r="O115" s="309" t="n">
        <f aca="false">(E115+N115)/M115</f>
        <v>0.404784688995215</v>
      </c>
      <c r="P115" s="363"/>
      <c r="Q115" s="111" t="n">
        <f aca="false">SUM(AE115:BG115)</f>
        <v>0</v>
      </c>
      <c r="R115" s="181" t="n">
        <f aca="false">R114/'Building Capability'!D120</f>
        <v>0</v>
      </c>
      <c r="S115" s="36" t="n">
        <f aca="false">SUM(E115+N115+Q115)</f>
        <v>423</v>
      </c>
      <c r="T115" s="166" t="n">
        <f aca="false">T114/'Building Capability'!D120</f>
        <v>0.385324561403509</v>
      </c>
      <c r="U115" s="36" t="n">
        <f aca="false">SUM(M115-S115)</f>
        <v>622</v>
      </c>
      <c r="V115" s="350" t="n">
        <f aca="false">V114/'Building Capability'!D120</f>
        <v>0.613842105263158</v>
      </c>
      <c r="W115" s="351" t="n">
        <f aca="false">S115/M115</f>
        <v>0.404784688995215</v>
      </c>
      <c r="X115" s="197"/>
      <c r="Y115" s="346"/>
      <c r="Z115" s="56"/>
      <c r="AA115" s="346"/>
      <c r="AB115" s="79"/>
      <c r="AC115" s="80"/>
      <c r="AD115" s="81"/>
      <c r="AE115" s="82"/>
      <c r="AF115" s="96"/>
      <c r="AG115" s="97"/>
      <c r="AH115" s="81"/>
      <c r="AI115" s="82"/>
      <c r="AJ115" s="81"/>
      <c r="AK115" s="359"/>
      <c r="AL115" s="81"/>
      <c r="AM115" s="82"/>
      <c r="AN115" s="81"/>
      <c r="AO115" s="82"/>
      <c r="AP115" s="81"/>
      <c r="AQ115" s="82"/>
      <c r="AR115" s="81"/>
      <c r="AS115" s="82"/>
      <c r="AT115" s="81"/>
      <c r="AU115" s="82"/>
      <c r="AV115" s="81"/>
      <c r="AW115" s="82"/>
      <c r="AX115" s="81"/>
      <c r="AY115" s="82"/>
      <c r="AZ115" s="81"/>
      <c r="BA115" s="82"/>
      <c r="BB115" s="81"/>
      <c r="BC115" s="82"/>
      <c r="BD115" s="81"/>
      <c r="BE115" s="82"/>
      <c r="BF115" s="81"/>
      <c r="BG115" s="83"/>
    </row>
    <row r="116" customFormat="false" ht="15" hidden="false" customHeight="true" outlineLevel="0" collapsed="false">
      <c r="A116" s="40" t="s">
        <v>220</v>
      </c>
      <c r="B116" s="41" t="s">
        <v>221</v>
      </c>
      <c r="C116" s="42" t="s">
        <v>187</v>
      </c>
      <c r="D116" s="169" t="n">
        <v>207</v>
      </c>
      <c r="E116" s="386" t="n">
        <v>207</v>
      </c>
      <c r="F116" s="170" t="n">
        <f aca="false">E116/M116</f>
        <v>0.403508771929825</v>
      </c>
      <c r="G116" s="171" t="n">
        <f aca="false">SUM(E116:E118)*54.5/1000</f>
        <v>45.126</v>
      </c>
      <c r="H116" s="46" t="n">
        <v>18</v>
      </c>
      <c r="I116" s="47" t="n">
        <v>3.2</v>
      </c>
      <c r="J116" s="41" t="n">
        <f aca="false">INT(H116*I116)</f>
        <v>57</v>
      </c>
      <c r="K116" s="41" t="n">
        <v>9</v>
      </c>
      <c r="L116" s="41" t="n">
        <f aca="false">INT((H116-K116)*I116)</f>
        <v>28</v>
      </c>
      <c r="M116" s="41" t="n">
        <f aca="false">INT((L116*1000)/54.5)</f>
        <v>513</v>
      </c>
      <c r="N116" s="41" t="n">
        <f aca="false">SUM(AC116)</f>
        <v>0</v>
      </c>
      <c r="O116" s="154" t="n">
        <f aca="false">(E116+N116)/M116</f>
        <v>0.403508771929825</v>
      </c>
      <c r="P116" s="366" t="n">
        <f aca="false">SUM(N116:N118)*54.5/1000</f>
        <v>0</v>
      </c>
      <c r="Q116" s="155" t="n">
        <f aca="false">SUM(AE116:BG116)</f>
        <v>0</v>
      </c>
      <c r="R116" s="45" t="n">
        <f aca="false">SUM(Q116:Q118)*54.5/1000</f>
        <v>0</v>
      </c>
      <c r="S116" s="53" t="n">
        <f aca="false">SUM(E116+N116+Q116)</f>
        <v>207</v>
      </c>
      <c r="T116" s="344" t="n">
        <f aca="false">SUM(S116:S118)*54.5/1000</f>
        <v>45.126</v>
      </c>
      <c r="U116" s="53" t="n">
        <f aca="false">SUM(M116-S116)</f>
        <v>306</v>
      </c>
      <c r="V116" s="356" t="n">
        <f aca="false">SUM(U116:U118)*54.5/1000</f>
        <v>38.7495</v>
      </c>
      <c r="W116" s="55" t="n">
        <f aca="false">S116/M116</f>
        <v>0.403508771929825</v>
      </c>
      <c r="X116" s="387" t="n">
        <f aca="false">(G116+P116+R116)/'Building Capability'!D121</f>
        <v>0.537214285714286</v>
      </c>
      <c r="Y116" s="57"/>
      <c r="Z116" s="138" t="n">
        <f aca="false">(G116+P116+R116)/'Building Capability'!D121</f>
        <v>0.537214285714286</v>
      </c>
      <c r="AA116" s="346"/>
      <c r="AB116" s="60"/>
      <c r="AC116" s="61"/>
      <c r="AD116" s="62"/>
      <c r="AE116" s="63"/>
      <c r="AF116" s="62"/>
      <c r="AG116" s="63"/>
      <c r="AH116" s="62"/>
      <c r="AI116" s="63"/>
      <c r="AJ116" s="62"/>
      <c r="AK116" s="63"/>
      <c r="AL116" s="62"/>
      <c r="AM116" s="63"/>
      <c r="AN116" s="62"/>
      <c r="AO116" s="63"/>
      <c r="AP116" s="62"/>
      <c r="AQ116" s="63"/>
      <c r="AR116" s="62"/>
      <c r="AS116" s="63"/>
      <c r="AT116" s="62"/>
      <c r="AU116" s="63"/>
      <c r="AV116" s="62"/>
      <c r="AW116" s="63"/>
      <c r="AX116" s="62"/>
      <c r="AY116" s="63"/>
      <c r="AZ116" s="62"/>
      <c r="BA116" s="63"/>
      <c r="BB116" s="62"/>
      <c r="BC116" s="63"/>
      <c r="BD116" s="62"/>
      <c r="BE116" s="63"/>
      <c r="BF116" s="62"/>
      <c r="BG116" s="66"/>
    </row>
    <row r="117" customFormat="false" ht="13.15" hidden="false" customHeight="true" outlineLevel="0" collapsed="false">
      <c r="A117" s="143" t="s">
        <v>220</v>
      </c>
      <c r="B117" s="69" t="s">
        <v>222</v>
      </c>
      <c r="C117" s="70" t="s">
        <v>187</v>
      </c>
      <c r="D117" s="144" t="n">
        <v>189</v>
      </c>
      <c r="E117" s="144" t="n">
        <v>189</v>
      </c>
      <c r="F117" s="157" t="n">
        <f aca="false">E117/M117</f>
        <v>0.368421052631579</v>
      </c>
      <c r="G117" s="171"/>
      <c r="H117" s="73" t="n">
        <v>18</v>
      </c>
      <c r="I117" s="74" t="n">
        <v>3.2</v>
      </c>
      <c r="J117" s="69" t="n">
        <f aca="false">INT(H117*I117)</f>
        <v>57</v>
      </c>
      <c r="K117" s="69" t="n">
        <v>9</v>
      </c>
      <c r="L117" s="69" t="n">
        <f aca="false">INT((H117-K117)*I117)</f>
        <v>28</v>
      </c>
      <c r="M117" s="69" t="n">
        <f aca="false">INT((L117*1000)/54.5)</f>
        <v>513</v>
      </c>
      <c r="N117" s="69" t="n">
        <f aca="false">SUM(AC117)</f>
        <v>0</v>
      </c>
      <c r="O117" s="154" t="n">
        <f aca="false">(E117+N117)/M117</f>
        <v>0.368421052631579</v>
      </c>
      <c r="P117" s="366"/>
      <c r="Q117" s="167" t="n">
        <f aca="false">SUM(AE117:BG117)</f>
        <v>0</v>
      </c>
      <c r="R117" s="149" t="n">
        <f aca="false">R116/'Building Capability'!D121</f>
        <v>0</v>
      </c>
      <c r="S117" s="77" t="n">
        <f aca="false">SUM(E117+N117+Q117)</f>
        <v>189</v>
      </c>
      <c r="T117" s="149" t="n">
        <f aca="false">T116/'Building Capability'!D121</f>
        <v>0.537214285714286</v>
      </c>
      <c r="U117" s="77" t="n">
        <f aca="false">SUM(M117-S117)</f>
        <v>324</v>
      </c>
      <c r="V117" s="149" t="n">
        <f aca="false">V116/'Building Capability'!D121</f>
        <v>0.461303571428571</v>
      </c>
      <c r="W117" s="78" t="n">
        <f aca="false">S117/M117</f>
        <v>0.368421052631579</v>
      </c>
      <c r="X117" s="387"/>
      <c r="Z117" s="138"/>
      <c r="AA117" s="346"/>
      <c r="AB117" s="79"/>
      <c r="AC117" s="80"/>
      <c r="AD117" s="81"/>
      <c r="AE117" s="82"/>
      <c r="AF117" s="81"/>
      <c r="AG117" s="359"/>
      <c r="AH117" s="388"/>
      <c r="AI117" s="359"/>
      <c r="AJ117" s="81"/>
      <c r="AK117" s="82"/>
      <c r="AL117" s="81"/>
      <c r="AM117" s="82"/>
      <c r="AN117" s="81"/>
      <c r="AO117" s="82"/>
      <c r="AP117" s="81"/>
      <c r="AQ117" s="82"/>
      <c r="AR117" s="81"/>
      <c r="AS117" s="82"/>
      <c r="AT117" s="81"/>
      <c r="AU117" s="82"/>
      <c r="AV117" s="81"/>
      <c r="AW117" s="82"/>
      <c r="AX117" s="81"/>
      <c r="AY117" s="82"/>
      <c r="AZ117" s="81"/>
      <c r="BA117" s="82"/>
      <c r="BB117" s="81"/>
      <c r="BC117" s="82"/>
      <c r="BD117" s="81"/>
      <c r="BE117" s="82"/>
      <c r="BF117" s="81"/>
      <c r="BG117" s="83"/>
    </row>
    <row r="118" customFormat="false" ht="13.15" hidden="false" customHeight="true" outlineLevel="0" collapsed="false">
      <c r="A118" s="103" t="s">
        <v>220</v>
      </c>
      <c r="B118" s="104" t="s">
        <v>223</v>
      </c>
      <c r="C118" s="105" t="s">
        <v>187</v>
      </c>
      <c r="D118" s="113" t="n">
        <v>433</v>
      </c>
      <c r="E118" s="113" t="n">
        <v>432</v>
      </c>
      <c r="F118" s="187" t="n">
        <f aca="false">E118/M118</f>
        <v>0.842105263157895</v>
      </c>
      <c r="G118" s="369" t="n">
        <f aca="false">G116/'Building Capability'!D121</f>
        <v>0.537214285714286</v>
      </c>
      <c r="H118" s="108" t="n">
        <v>18</v>
      </c>
      <c r="I118" s="109" t="n">
        <v>3.2</v>
      </c>
      <c r="J118" s="104" t="n">
        <f aca="false">INT(H118*I118)</f>
        <v>57</v>
      </c>
      <c r="K118" s="104" t="n">
        <v>9</v>
      </c>
      <c r="L118" s="104" t="n">
        <f aca="false">INT((H118-K118)*I118)</f>
        <v>28</v>
      </c>
      <c r="M118" s="104" t="n">
        <f aca="false">INT((L118*1000)/54.5)</f>
        <v>513</v>
      </c>
      <c r="N118" s="104" t="n">
        <f aca="false">SUM(AC118)</f>
        <v>0</v>
      </c>
      <c r="O118" s="309" t="n">
        <f aca="false">(E118+N118)/M118</f>
        <v>0.842105263157895</v>
      </c>
      <c r="P118" s="366"/>
      <c r="Q118" s="111" t="n">
        <f aca="false">SUM(AE118:BG118)</f>
        <v>0</v>
      </c>
      <c r="R118" s="149"/>
      <c r="S118" s="113" t="n">
        <f aca="false">SUM(E118+N118+Q118)</f>
        <v>432</v>
      </c>
      <c r="T118" s="149"/>
      <c r="U118" s="113" t="n">
        <f aca="false">SUM(M118-S118)</f>
        <v>81</v>
      </c>
      <c r="V118" s="149"/>
      <c r="W118" s="114" t="n">
        <f aca="false">S118/M118</f>
        <v>0.842105263157895</v>
      </c>
      <c r="X118" s="387"/>
      <c r="Y118" s="115"/>
      <c r="Z118" s="138"/>
      <c r="AA118" s="346"/>
      <c r="AB118" s="116"/>
      <c r="AC118" s="117"/>
      <c r="AD118" s="118"/>
      <c r="AE118" s="389"/>
      <c r="AF118" s="118"/>
      <c r="AG118" s="119"/>
      <c r="AH118" s="118"/>
      <c r="AI118" s="119"/>
      <c r="AJ118" s="118"/>
      <c r="AK118" s="119"/>
      <c r="AL118" s="118"/>
      <c r="AM118" s="119"/>
      <c r="AN118" s="118"/>
      <c r="AO118" s="119"/>
      <c r="AP118" s="118"/>
      <c r="AQ118" s="119"/>
      <c r="AR118" s="118"/>
      <c r="AS118" s="119"/>
      <c r="AT118" s="118"/>
      <c r="AU118" s="119"/>
      <c r="AV118" s="118"/>
      <c r="AW118" s="119"/>
      <c r="AX118" s="118"/>
      <c r="AY118" s="119"/>
      <c r="AZ118" s="118"/>
      <c r="BA118" s="119"/>
      <c r="BB118" s="118"/>
      <c r="BC118" s="119"/>
      <c r="BD118" s="118"/>
      <c r="BE118" s="119"/>
      <c r="BF118" s="118"/>
      <c r="BG118" s="125"/>
    </row>
    <row r="119" customFormat="false" ht="12.75" hidden="false" customHeight="false" outlineLevel="0" collapsed="false">
      <c r="AR119" s="390"/>
    </row>
    <row r="120" customFormat="false" ht="13.35" hidden="false" customHeight="true" outlineLevel="0" collapsed="false">
      <c r="F120" s="391"/>
      <c r="G120" s="391"/>
      <c r="H120" s="391"/>
      <c r="I120" s="391"/>
      <c r="J120" s="391"/>
      <c r="K120" s="391"/>
      <c r="L120" s="391"/>
      <c r="M120" s="391"/>
      <c r="N120" s="391"/>
      <c r="O120" s="391"/>
      <c r="P120" s="391"/>
      <c r="Q120" s="391"/>
      <c r="R120" s="392"/>
      <c r="S120" s="393"/>
      <c r="T120" s="392"/>
      <c r="AW120" s="115"/>
    </row>
    <row r="121" customFormat="false" ht="13.35" hidden="false" customHeight="true" outlineLevel="0" collapsed="false">
      <c r="F121" s="394"/>
      <c r="G121" s="395"/>
      <c r="H121" s="1"/>
      <c r="I121" s="1"/>
      <c r="J121" s="1"/>
      <c r="K121" s="1"/>
      <c r="O121" s="396"/>
      <c r="P121" s="395"/>
      <c r="R121" s="395"/>
      <c r="AB121" s="390"/>
      <c r="AC121" s="397"/>
      <c r="AD121" s="390"/>
      <c r="AE121" s="397"/>
      <c r="AF121" s="390"/>
      <c r="AG121" s="397"/>
      <c r="AH121" s="390"/>
      <c r="AI121" s="397"/>
      <c r="AJ121" s="390"/>
      <c r="AK121" s="398"/>
      <c r="AL121" s="390"/>
      <c r="AM121" s="397"/>
      <c r="AN121" s="390"/>
      <c r="AO121" s="390"/>
      <c r="AP121" s="390"/>
      <c r="AQ121" s="397"/>
      <c r="AR121" s="390"/>
      <c r="AS121" s="397"/>
      <c r="AT121" s="390"/>
      <c r="AU121" s="397"/>
      <c r="AV121" s="390"/>
      <c r="AW121" s="397"/>
      <c r="AX121" s="390"/>
      <c r="AY121" s="397"/>
      <c r="AZ121" s="390"/>
      <c r="BA121" s="397"/>
      <c r="BB121" s="390"/>
      <c r="BC121" s="397"/>
      <c r="BD121" s="390"/>
      <c r="BE121" s="397"/>
      <c r="BF121" s="390"/>
      <c r="BG121" s="397"/>
    </row>
    <row r="122" customFormat="false" ht="13.15" hidden="false" customHeight="false" outlineLevel="0" collapsed="false">
      <c r="H122" s="1"/>
      <c r="I122" s="1"/>
      <c r="J122" s="1"/>
      <c r="K122" s="1"/>
    </row>
    <row r="123" customFormat="false" ht="15" hidden="false" customHeight="true" outlineLevel="0" collapsed="false">
      <c r="B123" s="399" t="s">
        <v>224</v>
      </c>
      <c r="C123" s="399"/>
      <c r="D123" s="399"/>
      <c r="E123" s="399"/>
      <c r="F123" s="399"/>
      <c r="G123" s="399"/>
      <c r="H123" s="400" t="s">
        <v>225</v>
      </c>
      <c r="I123" s="400"/>
      <c r="J123" s="400"/>
      <c r="K123" s="400"/>
      <c r="W123" s="391"/>
      <c r="X123" s="391"/>
      <c r="Y123" s="391"/>
      <c r="Z123" s="391"/>
    </row>
    <row r="124" customFormat="false" ht="13.35" hidden="false" customHeight="true" outlineLevel="0" collapsed="false">
      <c r="B124" s="401" t="s">
        <v>226</v>
      </c>
      <c r="C124" s="401" t="s">
        <v>227</v>
      </c>
      <c r="D124" s="402"/>
      <c r="E124" s="403" t="s">
        <v>228</v>
      </c>
      <c r="F124" s="403"/>
      <c r="G124" s="403"/>
      <c r="H124" s="403" t="s">
        <v>229</v>
      </c>
      <c r="I124" s="403" t="s">
        <v>230</v>
      </c>
      <c r="J124" s="403" t="s">
        <v>228</v>
      </c>
      <c r="K124" s="403"/>
      <c r="W124" s="404"/>
      <c r="X124" s="404"/>
      <c r="Y124" s="404"/>
      <c r="Z124" s="404"/>
      <c r="AN124" s="405"/>
    </row>
    <row r="125" customFormat="false" ht="13.35" hidden="false" customHeight="true" outlineLevel="0" collapsed="false">
      <c r="B125" s="401"/>
      <c r="C125" s="401"/>
      <c r="D125" s="406" t="s">
        <v>231</v>
      </c>
      <c r="E125" s="406" t="s">
        <v>231</v>
      </c>
      <c r="F125" s="397"/>
      <c r="G125" s="407" t="s">
        <v>232</v>
      </c>
      <c r="H125" s="403"/>
      <c r="I125" s="403"/>
      <c r="J125" s="406" t="s">
        <v>231</v>
      </c>
      <c r="K125" s="407" t="s">
        <v>232</v>
      </c>
    </row>
    <row r="126" customFormat="false" ht="13.15" hidden="false" customHeight="false" outlineLevel="0" collapsed="false">
      <c r="A126" s="405" t="s">
        <v>187</v>
      </c>
      <c r="B126" s="69" t="n">
        <f aca="false">COUNTIF(C4:C118,"NetSure")</f>
        <v>23</v>
      </c>
      <c r="C126" s="77" t="n">
        <f aca="false">SUMIFS(H4:H118,C4:C118,"=NetSure")</f>
        <v>714</v>
      </c>
      <c r="D126" s="69" t="n">
        <f aca="false">SUMIFS(I4:I118,B4:B118,"=NetSure")</f>
        <v>0</v>
      </c>
      <c r="E126" s="69" t="n">
        <f aca="false">SUMIFS(J4:J118,C4:C118,"=NetSure")</f>
        <v>2278</v>
      </c>
      <c r="F126" s="69"/>
      <c r="G126" s="69" t="n">
        <f aca="false">E126/1000</f>
        <v>2.278</v>
      </c>
      <c r="H126" s="69" t="n">
        <f aca="false">COUNTIF(C4:C93,"Netsure")</f>
        <v>0</v>
      </c>
      <c r="I126" s="69" t="n">
        <f aca="false">SUMIFS(H4:H93,C4:C93,"=NetSure")</f>
        <v>0</v>
      </c>
      <c r="J126" s="69" t="n">
        <f aca="false">SUMIFS(J4:J93,C4:C93,"=NetSure")</f>
        <v>0</v>
      </c>
      <c r="K126" s="69" t="n">
        <f aca="false">J126/1000</f>
        <v>0</v>
      </c>
    </row>
    <row r="127" customFormat="false" ht="13.15" hidden="false" customHeight="false" outlineLevel="0" collapsed="false">
      <c r="A127" s="405" t="s">
        <v>39</v>
      </c>
      <c r="B127" s="69" t="n">
        <f aca="false">COUNTIF(C4:C118,"eSure")</f>
        <v>64</v>
      </c>
      <c r="C127" s="69" t="n">
        <f aca="false">SUMIFS(H4:H118,C4:C118,"=eSure")</f>
        <v>2184</v>
      </c>
      <c r="D127" s="69" t="n">
        <f aca="false">SUMIFS(I4:I118,B4:B118,"=eSure")</f>
        <v>0</v>
      </c>
      <c r="E127" s="69" t="n">
        <f aca="false">SUMIFS(J4:J118,C4:C118,"=eSure")</f>
        <v>7643</v>
      </c>
      <c r="F127" s="69"/>
      <c r="G127" s="69" t="n">
        <f aca="false">E127/1000</f>
        <v>7.643</v>
      </c>
      <c r="H127" s="69" t="n">
        <f aca="false">COUNTIF(C4:C93,"eSure")</f>
        <v>62</v>
      </c>
      <c r="I127" s="69" t="n">
        <f aca="false">SUMIFS(H4:H93,C4:C93,"=eSure")</f>
        <v>2166</v>
      </c>
      <c r="J127" s="69" t="n">
        <f aca="false">SUMIFS(J4:J93,C4:C93,"=eSure")</f>
        <v>7581</v>
      </c>
      <c r="K127" s="69" t="n">
        <f aca="false">J127/1000</f>
        <v>7.581</v>
      </c>
    </row>
    <row r="128" customFormat="false" ht="13.15" hidden="false" customHeight="false" outlineLevel="0" collapsed="false">
      <c r="A128" s="405" t="s">
        <v>105</v>
      </c>
      <c r="B128" s="69" t="n">
        <f aca="false">COUNTIF(C4:C118,"NPR48-ES")</f>
        <v>10</v>
      </c>
      <c r="C128" s="69" t="n">
        <f aca="false">SUMIFS(H4:H118,C4:C118,"=NPR48-ES")</f>
        <v>334</v>
      </c>
      <c r="D128" s="69"/>
      <c r="E128" s="69"/>
      <c r="F128" s="69"/>
      <c r="G128" s="69"/>
      <c r="H128" s="2"/>
    </row>
    <row r="129" customFormat="false" ht="13.15" hidden="false" customHeight="false" outlineLevel="0" collapsed="false">
      <c r="A129" s="405" t="s">
        <v>109</v>
      </c>
      <c r="B129" s="69" t="n">
        <f aca="false">COUNTIF(C4:C118,"HDR48-ES")</f>
        <v>18</v>
      </c>
      <c r="C129" s="69" t="n">
        <f aca="false">SUMIFS(H4:H118,C4:C118,"=HDR48-ES")</f>
        <v>782</v>
      </c>
      <c r="D129" s="69"/>
      <c r="E129" s="69"/>
      <c r="F129" s="69"/>
      <c r="G129" s="69"/>
      <c r="H129" s="2"/>
    </row>
    <row r="130" customFormat="false" ht="13.15" hidden="false" customHeight="false" outlineLevel="0" collapsed="false"/>
    <row r="131" customFormat="false" ht="39.6" hidden="false" customHeight="false" outlineLevel="0" collapsed="false">
      <c r="A131" s="408" t="s">
        <v>233</v>
      </c>
      <c r="B131" s="409" t="n">
        <f aca="false">SUM(K126:K127)</f>
        <v>7.581</v>
      </c>
    </row>
    <row r="132" customFormat="false" ht="52.9" hidden="false" customHeight="false" outlineLevel="0" collapsed="false">
      <c r="A132" s="410" t="s">
        <v>234</v>
      </c>
      <c r="B132" s="411" t="n">
        <f aca="false">K127/B131</f>
        <v>1</v>
      </c>
    </row>
    <row r="133" customFormat="false" ht="39.6" hidden="false" customHeight="false" outlineLevel="0" collapsed="false">
      <c r="A133" s="410" t="s">
        <v>235</v>
      </c>
      <c r="B133" s="409" t="n">
        <f aca="false">(SUM('Battery Log'!R8:R97)+42)*330</f>
        <v>265320</v>
      </c>
    </row>
    <row r="134" customFormat="false" ht="13.15" hidden="false" customHeight="false" outlineLevel="0" collapsed="false">
      <c r="A134" s="412"/>
      <c r="B134" s="413"/>
    </row>
    <row r="135" customFormat="false" ht="52.9" hidden="false" customHeight="false" outlineLevel="0" collapsed="false">
      <c r="A135" s="410" t="s">
        <v>236</v>
      </c>
      <c r="B135" s="409" t="n">
        <f aca="false">SUM('Inverter Loading'!G2:G40)</f>
        <v>1557.6</v>
      </c>
    </row>
    <row r="136" customFormat="false" ht="52.9" hidden="false" customHeight="false" outlineLevel="0" collapsed="false">
      <c r="A136" s="410" t="s">
        <v>237</v>
      </c>
      <c r="B136" s="411" t="n">
        <f aca="false">SUMIFS('Inverter Loading'!G2:G40,'Inverter Loading'!C2:C40,"=TSI")/B135</f>
        <v>0.0385208012326656</v>
      </c>
    </row>
  </sheetData>
  <mergeCells count="230">
    <mergeCell ref="J1:M1"/>
    <mergeCell ref="N1:Q1"/>
    <mergeCell ref="G4:G6"/>
    <mergeCell ref="P4:P6"/>
    <mergeCell ref="R4:R6"/>
    <mergeCell ref="T4:T6"/>
    <mergeCell ref="V4:V6"/>
    <mergeCell ref="X4:X8"/>
    <mergeCell ref="Z4:Z8"/>
    <mergeCell ref="AA4:AA8"/>
    <mergeCell ref="BL4:BM4"/>
    <mergeCell ref="G7:G8"/>
    <mergeCell ref="P7:P8"/>
    <mergeCell ref="R7:R8"/>
    <mergeCell ref="T7:T8"/>
    <mergeCell ref="V7:V8"/>
    <mergeCell ref="G9:G12"/>
    <mergeCell ref="P9:P12"/>
    <mergeCell ref="R9:R12"/>
    <mergeCell ref="T9:T12"/>
    <mergeCell ref="V9:V12"/>
    <mergeCell ref="X9:X16"/>
    <mergeCell ref="Z9:Z16"/>
    <mergeCell ref="G13:G16"/>
    <mergeCell ref="P13:P16"/>
    <mergeCell ref="R13:R16"/>
    <mergeCell ref="T13:T16"/>
    <mergeCell ref="V13:V16"/>
    <mergeCell ref="G17:G19"/>
    <mergeCell ref="P17:P19"/>
    <mergeCell ref="R17:R19"/>
    <mergeCell ref="T17:T19"/>
    <mergeCell ref="V17:V19"/>
    <mergeCell ref="X17:X21"/>
    <mergeCell ref="Z17:Z21"/>
    <mergeCell ref="G20:G21"/>
    <mergeCell ref="P20:P21"/>
    <mergeCell ref="R20:R21"/>
    <mergeCell ref="T20:T21"/>
    <mergeCell ref="V20:V21"/>
    <mergeCell ref="G22:G24"/>
    <mergeCell ref="P22:P24"/>
    <mergeCell ref="R22:R24"/>
    <mergeCell ref="T22:T24"/>
    <mergeCell ref="V22:V24"/>
    <mergeCell ref="X22:X27"/>
    <mergeCell ref="Z22:Z27"/>
    <mergeCell ref="AA22:AA27"/>
    <mergeCell ref="G25:G27"/>
    <mergeCell ref="P25:P27"/>
    <mergeCell ref="R25:R27"/>
    <mergeCell ref="T25:T27"/>
    <mergeCell ref="V25:V27"/>
    <mergeCell ref="G28:G29"/>
    <mergeCell ref="P28:P29"/>
    <mergeCell ref="R28:R29"/>
    <mergeCell ref="T28:T29"/>
    <mergeCell ref="V28:V29"/>
    <mergeCell ref="X28:X31"/>
    <mergeCell ref="Z28:Z31"/>
    <mergeCell ref="G30:G31"/>
    <mergeCell ref="P30:P31"/>
    <mergeCell ref="R30:R31"/>
    <mergeCell ref="T30:T31"/>
    <mergeCell ref="V30:V31"/>
    <mergeCell ref="G32:G34"/>
    <mergeCell ref="P32:P34"/>
    <mergeCell ref="R32:R34"/>
    <mergeCell ref="T32:T34"/>
    <mergeCell ref="V32:V34"/>
    <mergeCell ref="X32:X38"/>
    <mergeCell ref="Z32:Z38"/>
    <mergeCell ref="AA32:AA36"/>
    <mergeCell ref="G35:G38"/>
    <mergeCell ref="P35:P38"/>
    <mergeCell ref="R35:R38"/>
    <mergeCell ref="T35:T38"/>
    <mergeCell ref="V35:V38"/>
    <mergeCell ref="G39:G41"/>
    <mergeCell ref="P39:P41"/>
    <mergeCell ref="R39:R41"/>
    <mergeCell ref="T39:T41"/>
    <mergeCell ref="V39:V41"/>
    <mergeCell ref="X39:X46"/>
    <mergeCell ref="Z39:Z46"/>
    <mergeCell ref="AA39:AA44"/>
    <mergeCell ref="G42:G46"/>
    <mergeCell ref="P42:P46"/>
    <mergeCell ref="R42:R46"/>
    <mergeCell ref="T42:T46"/>
    <mergeCell ref="V42:V46"/>
    <mergeCell ref="G47:G51"/>
    <mergeCell ref="P47:P51"/>
    <mergeCell ref="R47:R51"/>
    <mergeCell ref="T47:T51"/>
    <mergeCell ref="V47:V51"/>
    <mergeCell ref="X47:X55"/>
    <mergeCell ref="Z47:Z55"/>
    <mergeCell ref="G52:G55"/>
    <mergeCell ref="P52:P55"/>
    <mergeCell ref="R52:R55"/>
    <mergeCell ref="T52:T55"/>
    <mergeCell ref="V52:V55"/>
    <mergeCell ref="G56:G58"/>
    <mergeCell ref="P56:P58"/>
    <mergeCell ref="R56:R58"/>
    <mergeCell ref="T56:T58"/>
    <mergeCell ref="V56:V58"/>
    <mergeCell ref="X56:X63"/>
    <mergeCell ref="Z56:Z63"/>
    <mergeCell ref="AA56:AA61"/>
    <mergeCell ref="G59:G63"/>
    <mergeCell ref="P59:P63"/>
    <mergeCell ref="R59:R63"/>
    <mergeCell ref="T59:T63"/>
    <mergeCell ref="V59:V63"/>
    <mergeCell ref="G64:G66"/>
    <mergeCell ref="P64:P66"/>
    <mergeCell ref="R64:R66"/>
    <mergeCell ref="T64:T66"/>
    <mergeCell ref="V64:V66"/>
    <mergeCell ref="X64:X71"/>
    <mergeCell ref="Z64:Z71"/>
    <mergeCell ref="AA64:AA69"/>
    <mergeCell ref="G67:G71"/>
    <mergeCell ref="P67:P71"/>
    <mergeCell ref="R67:R71"/>
    <mergeCell ref="T67:T71"/>
    <mergeCell ref="V67:V71"/>
    <mergeCell ref="G72:G74"/>
    <mergeCell ref="P72:P74"/>
    <mergeCell ref="R72:R74"/>
    <mergeCell ref="T72:T74"/>
    <mergeCell ref="V72:V74"/>
    <mergeCell ref="X72:X79"/>
    <mergeCell ref="Z72:Z79"/>
    <mergeCell ref="AA72:AA77"/>
    <mergeCell ref="G75:G79"/>
    <mergeCell ref="P75:P79"/>
    <mergeCell ref="R75:R79"/>
    <mergeCell ref="T75:T79"/>
    <mergeCell ref="V75:V79"/>
    <mergeCell ref="G80:G82"/>
    <mergeCell ref="P80:P82"/>
    <mergeCell ref="R80:R82"/>
    <mergeCell ref="T80:T82"/>
    <mergeCell ref="V80:V82"/>
    <mergeCell ref="X80:X84"/>
    <mergeCell ref="Z80:Z84"/>
    <mergeCell ref="G83:G84"/>
    <mergeCell ref="P83:P84"/>
    <mergeCell ref="R83:R84"/>
    <mergeCell ref="T83:T84"/>
    <mergeCell ref="V83:V84"/>
    <mergeCell ref="G85:G86"/>
    <mergeCell ref="P85:P86"/>
    <mergeCell ref="R85:R86"/>
    <mergeCell ref="T85:T86"/>
    <mergeCell ref="V85:V86"/>
    <mergeCell ref="X85:X88"/>
    <mergeCell ref="Z85:Z88"/>
    <mergeCell ref="G87:G88"/>
    <mergeCell ref="P87:P88"/>
    <mergeCell ref="R87:R88"/>
    <mergeCell ref="T87:T88"/>
    <mergeCell ref="V87:V88"/>
    <mergeCell ref="G89:G91"/>
    <mergeCell ref="P89:P91"/>
    <mergeCell ref="R89:R91"/>
    <mergeCell ref="T89:T91"/>
    <mergeCell ref="V89:V91"/>
    <mergeCell ref="X89:X93"/>
    <mergeCell ref="Z89:Z93"/>
    <mergeCell ref="G92:G93"/>
    <mergeCell ref="P92:P93"/>
    <mergeCell ref="R92:R93"/>
    <mergeCell ref="T92:T93"/>
    <mergeCell ref="V92:V93"/>
    <mergeCell ref="P94:P95"/>
    <mergeCell ref="X94:X95"/>
    <mergeCell ref="Z94:Z95"/>
    <mergeCell ref="G96:G97"/>
    <mergeCell ref="P96:P98"/>
    <mergeCell ref="X96:X98"/>
    <mergeCell ref="Z96:Z98"/>
    <mergeCell ref="R97:R98"/>
    <mergeCell ref="T97:T98"/>
    <mergeCell ref="V97:V98"/>
    <mergeCell ref="X99:X100"/>
    <mergeCell ref="Z99:Z100"/>
    <mergeCell ref="P101:P102"/>
    <mergeCell ref="X101:X102"/>
    <mergeCell ref="Z101:Z102"/>
    <mergeCell ref="P103:P104"/>
    <mergeCell ref="X103:X104"/>
    <mergeCell ref="Z103:Z104"/>
    <mergeCell ref="P105:P106"/>
    <mergeCell ref="X105:X106"/>
    <mergeCell ref="Z105:Z106"/>
    <mergeCell ref="P107:P108"/>
    <mergeCell ref="X107:X108"/>
    <mergeCell ref="Z107:Z108"/>
    <mergeCell ref="G109:G110"/>
    <mergeCell ref="P109:P111"/>
    <mergeCell ref="X109:X111"/>
    <mergeCell ref="Z109:Z111"/>
    <mergeCell ref="R110:R111"/>
    <mergeCell ref="T110:T111"/>
    <mergeCell ref="V110:V111"/>
    <mergeCell ref="P112:P113"/>
    <mergeCell ref="X112:X113"/>
    <mergeCell ref="Z112:Z113"/>
    <mergeCell ref="P114:P115"/>
    <mergeCell ref="X114:X115"/>
    <mergeCell ref="Z114:Z115"/>
    <mergeCell ref="G116:G117"/>
    <mergeCell ref="P116:P118"/>
    <mergeCell ref="X116:X118"/>
    <mergeCell ref="Z116:Z118"/>
    <mergeCell ref="R117:R118"/>
    <mergeCell ref="T117:T118"/>
    <mergeCell ref="V117:V118"/>
    <mergeCell ref="B123:G123"/>
    <mergeCell ref="H123:K123"/>
    <mergeCell ref="B124:B125"/>
    <mergeCell ref="C124:C125"/>
    <mergeCell ref="E124:G124"/>
    <mergeCell ref="H124:H125"/>
    <mergeCell ref="I124:I125"/>
    <mergeCell ref="J124:K124"/>
  </mergeCells>
  <conditionalFormatting sqref="F36:F38">
    <cfRule type="cellIs" priority="2" operator="lessThanOrEqual" aboveAverage="0" equalAverage="0" bottom="0" percent="0" rank="0" text="" dxfId="0">
      <formula>70%</formula>
    </cfRule>
    <cfRule type="cellIs" priority="3" operator="between" aboveAverage="0" equalAverage="0" bottom="0" percent="0" rank="0" text="" dxfId="1">
      <formula>70%</formula>
      <formula>80%</formula>
    </cfRule>
    <cfRule type="cellIs" priority="4" operator="between" aboveAverage="0" equalAverage="0" bottom="0" percent="0" rank="0" text="" dxfId="2">
      <formula>80%</formula>
      <formula>90%</formula>
    </cfRule>
  </conditionalFormatting>
  <conditionalFormatting sqref="F37:F38 W117:W118 X116">
    <cfRule type="cellIs" priority="5" operator="greaterThanOrEqual" aboveAverage="0" equalAverage="0" bottom="0" percent="0" rank="0" text="" dxfId="3">
      <formula>90%</formula>
    </cfRule>
  </conditionalFormatting>
  <conditionalFormatting sqref="F64:G67 F4:G7 F9:G13 F17:G20 F22:G25 F28:G30 F32:G35 F39:G42 F47:G52 F56:G59 F72:G75 F80:G83 F85:G87 F89:G92 W4:X4 Z4:Z32 W5:W8 F8 W9:X9 W10:W16 F14:F16 W17:X17 W18:W21 F21 W22:X22 W23:W27 F26:F27 W28:X28 W29:W31 F31 W32:X32 W33:W38 W39:X39 Z39 W47:X47 Z47:Z56 W48:W55 F53:F55 W56:X56 W57:W63 F60:F63 W64:X64 Z64 W65:W71 F68:F71 W72:X72 Z72 W80:X80 Z80:Z96 W81:W84 F84 W85:X85 W86:W88 F88 W89:X89 W90:W93 F93 W94:X94 F94:G96 W95 W96:X96 F97 W97:W98 F98:G109 W99:X99 W100 W101:X101 W102 W103:X103 W106 W107:X107 W108 W109:X109 F110 W110:W111 F111:G116 W112:X112 W113 W114:X114 F117 F118:G118 W105:X105 W104 W115:W118 X116 Z99:Z109 Z112:Z118">
    <cfRule type="cellIs" priority="6" operator="lessThanOrEqual" aboveAverage="0" equalAverage="0" bottom="0" percent="0" rank="0" text="" dxfId="4">
      <formula>70%</formula>
    </cfRule>
  </conditionalFormatting>
  <conditionalFormatting sqref="G7">
    <cfRule type="cellIs" priority="7" operator="greaterThanOrEqual" aboveAverage="0" equalAverage="0" bottom="0" percent="0" rank="0" text="" dxfId="5">
      <formula>90%</formula>
    </cfRule>
  </conditionalFormatting>
  <conditionalFormatting sqref="G13">
    <cfRule type="cellIs" priority="8" operator="greaterThanOrEqual" aboveAverage="0" equalAverage="0" bottom="0" percent="0" rank="0" text="" dxfId="6">
      <formula>90%</formula>
    </cfRule>
  </conditionalFormatting>
  <conditionalFormatting sqref="G20">
    <cfRule type="cellIs" priority="9" operator="greaterThanOrEqual" aboveAverage="0" equalAverage="0" bottom="0" percent="0" rank="0" text="" dxfId="7">
      <formula>90%</formula>
    </cfRule>
  </conditionalFormatting>
  <conditionalFormatting sqref="G25">
    <cfRule type="cellIs" priority="10" operator="greaterThanOrEqual" aboveAverage="0" equalAverage="0" bottom="0" percent="0" rank="0" text="" dxfId="8">
      <formula>90%</formula>
    </cfRule>
  </conditionalFormatting>
  <conditionalFormatting sqref="G30">
    <cfRule type="cellIs" priority="11" operator="greaterThanOrEqual" aboveAverage="0" equalAverage="0" bottom="0" percent="0" rank="0" text="" dxfId="9">
      <formula>90%</formula>
    </cfRule>
  </conditionalFormatting>
  <conditionalFormatting sqref="G35">
    <cfRule type="cellIs" priority="12" operator="greaterThanOrEqual" aboveAverage="0" equalAverage="0" bottom="0" percent="0" rank="0" text="" dxfId="10">
      <formula>90%</formula>
    </cfRule>
  </conditionalFormatting>
  <conditionalFormatting sqref="G42">
    <cfRule type="cellIs" priority="13" operator="greaterThanOrEqual" aboveAverage="0" equalAverage="0" bottom="0" percent="0" rank="0" text="" dxfId="11">
      <formula>90%</formula>
    </cfRule>
  </conditionalFormatting>
  <conditionalFormatting sqref="G52">
    <cfRule type="cellIs" priority="14" operator="greaterThanOrEqual" aboveAverage="0" equalAverage="0" bottom="0" percent="0" rank="0" text="" dxfId="12">
      <formula>90%</formula>
    </cfRule>
  </conditionalFormatting>
  <conditionalFormatting sqref="G59">
    <cfRule type="cellIs" priority="15" operator="greaterThanOrEqual" aboveAverage="0" equalAverage="0" bottom="0" percent="0" rank="0" text="" dxfId="13">
      <formula>90%</formula>
    </cfRule>
  </conditionalFormatting>
  <conditionalFormatting sqref="G67">
    <cfRule type="cellIs" priority="16" operator="greaterThanOrEqual" aboveAverage="0" equalAverage="0" bottom="0" percent="0" rank="0" text="" dxfId="14">
      <formula>90%</formula>
    </cfRule>
  </conditionalFormatting>
  <conditionalFormatting sqref="G75">
    <cfRule type="cellIs" priority="17" operator="greaterThanOrEqual" aboveAverage="0" equalAverage="0" bottom="0" percent="0" rank="0" text="" dxfId="15">
      <formula>90%</formula>
    </cfRule>
  </conditionalFormatting>
  <conditionalFormatting sqref="G83">
    <cfRule type="cellIs" priority="18" operator="greaterThanOrEqual" aboveAverage="0" equalAverage="0" bottom="0" percent="0" rank="0" text="" dxfId="16">
      <formula>90%</formula>
    </cfRule>
  </conditionalFormatting>
  <conditionalFormatting sqref="G87">
    <cfRule type="cellIs" priority="19" operator="greaterThanOrEqual" aboveAverage="0" equalAverage="0" bottom="0" percent="0" rank="0" text="" dxfId="17">
      <formula>90%</formula>
    </cfRule>
  </conditionalFormatting>
  <conditionalFormatting sqref="G92">
    <cfRule type="cellIs" priority="20" operator="greaterThanOrEqual" aboveAverage="0" equalAverage="0" bottom="0" percent="0" rank="0" text="" dxfId="18">
      <formula>90%</formula>
    </cfRule>
  </conditionalFormatting>
  <conditionalFormatting sqref="O4:O118">
    <cfRule type="cellIs" priority="21" operator="lessThanOrEqual" aboveAverage="0" equalAverage="0" bottom="0" percent="0" rank="0" text="" dxfId="19">
      <formula>70%</formula>
    </cfRule>
    <cfRule type="cellIs" priority="22" operator="between" aboveAverage="0" equalAverage="0" bottom="0" percent="0" rank="0" text="" dxfId="20">
      <formula>70%</formula>
      <formula>80%</formula>
    </cfRule>
    <cfRule type="cellIs" priority="23" operator="between" aboveAverage="0" equalAverage="0" bottom="0" percent="0" rank="0" text="" dxfId="21">
      <formula>80%</formula>
      <formula>90%</formula>
    </cfRule>
    <cfRule type="cellIs" priority="24" operator="greaterThanOrEqual" aboveAverage="0" equalAverage="0" bottom="0" percent="0" rank="0" text="" dxfId="22">
      <formula>90%</formula>
    </cfRule>
  </conditionalFormatting>
  <conditionalFormatting sqref="V7:V8">
    <cfRule type="cellIs" priority="25" operator="lessThanOrEqual" aboveAverage="0" equalAverage="0" bottom="0" percent="0" rank="0" text="" dxfId="23">
      <formula>20%</formula>
    </cfRule>
  </conditionalFormatting>
  <conditionalFormatting sqref="V13">
    <cfRule type="cellIs" priority="26" operator="lessThanOrEqual" aboveAverage="0" equalAverage="0" bottom="0" percent="0" rank="0" text="" dxfId="24">
      <formula>0.2</formula>
    </cfRule>
  </conditionalFormatting>
  <conditionalFormatting sqref="V20:V21">
    <cfRule type="cellIs" priority="27" operator="lessThanOrEqual" aboveAverage="0" equalAverage="0" bottom="0" percent="0" rank="0" text="" dxfId="25">
      <formula>0.2</formula>
    </cfRule>
  </conditionalFormatting>
  <conditionalFormatting sqref="V25:V27">
    <cfRule type="cellIs" priority="28" operator="lessThanOrEqual" aboveAverage="0" equalAverage="0" bottom="0" percent="0" rank="0" text="" dxfId="26">
      <formula>0.2</formula>
    </cfRule>
  </conditionalFormatting>
  <conditionalFormatting sqref="V30">
    <cfRule type="cellIs" priority="29" operator="lessThanOrEqual" aboveAverage="0" equalAverage="0" bottom="0" percent="0" rank="0" text="" dxfId="27">
      <formula>0.2</formula>
    </cfRule>
  </conditionalFormatting>
  <conditionalFormatting sqref="V35">
    <cfRule type="cellIs" priority="30" operator="lessThanOrEqual" aboveAverage="0" equalAverage="0" bottom="0" percent="0" rank="0" text="" dxfId="28">
      <formula>0.2</formula>
    </cfRule>
  </conditionalFormatting>
  <conditionalFormatting sqref="V42">
    <cfRule type="cellIs" priority="31" operator="lessThanOrEqual" aboveAverage="0" equalAverage="0" bottom="0" percent="0" rank="0" text="" dxfId="29">
      <formula>0.2</formula>
    </cfRule>
  </conditionalFormatting>
  <conditionalFormatting sqref="V52">
    <cfRule type="cellIs" priority="32" operator="lessThanOrEqual" aboveAverage="0" equalAverage="0" bottom="0" percent="0" rank="0" text="" dxfId="30">
      <formula>0.2</formula>
    </cfRule>
  </conditionalFormatting>
  <conditionalFormatting sqref="V59">
    <cfRule type="cellIs" priority="33" operator="lessThanOrEqual" aboveAverage="0" equalAverage="0" bottom="0" percent="0" rank="0" text="" dxfId="31">
      <formula>0.2</formula>
    </cfRule>
  </conditionalFormatting>
  <conditionalFormatting sqref="V67">
    <cfRule type="cellIs" priority="34" operator="lessThanOrEqual" aboveAverage="0" equalAverage="0" bottom="0" percent="0" rank="0" text="" dxfId="32">
      <formula>0.2</formula>
    </cfRule>
  </conditionalFormatting>
  <conditionalFormatting sqref="V75">
    <cfRule type="cellIs" priority="35" operator="lessThanOrEqual" aboveAverage="0" equalAverage="0" bottom="0" percent="0" rank="0" text="" dxfId="33">
      <formula>0.2</formula>
    </cfRule>
  </conditionalFormatting>
  <conditionalFormatting sqref="V83">
    <cfRule type="cellIs" priority="36" operator="lessThanOrEqual" aboveAverage="0" equalAverage="0" bottom="0" percent="0" rank="0" text="" dxfId="34">
      <formula>0.2</formula>
    </cfRule>
  </conditionalFormatting>
  <conditionalFormatting sqref="V87">
    <cfRule type="cellIs" priority="37" operator="lessThanOrEqual" aboveAverage="0" equalAverage="0" bottom="0" percent="0" rank="0" text="" dxfId="35">
      <formula>0.2</formula>
    </cfRule>
  </conditionalFormatting>
  <conditionalFormatting sqref="V92">
    <cfRule type="cellIs" priority="38" operator="lessThanOrEqual" aboveAverage="0" equalAverage="0" bottom="0" percent="0" rank="0" text="" dxfId="36">
      <formula>0.2</formula>
    </cfRule>
  </conditionalFormatting>
  <conditionalFormatting sqref="W40:W46 F43:F46">
    <cfRule type="cellIs" priority="39" operator="lessThanOrEqual" aboveAverage="0" equalAverage="0" bottom="0" percent="0" rank="0" text="" dxfId="37">
      <formula>70%</formula>
    </cfRule>
    <cfRule type="cellIs" priority="40" operator="between" aboveAverage="0" equalAverage="0" bottom="0" percent="0" rank="0" text="" dxfId="38">
      <formula>70%</formula>
      <formula>80%</formula>
    </cfRule>
    <cfRule type="cellIs" priority="41" operator="between" aboveAverage="0" equalAverage="0" bottom="0" percent="0" rank="0" text="" dxfId="39">
      <formula>80%</formula>
      <formula>90%</formula>
    </cfRule>
  </conditionalFormatting>
  <conditionalFormatting sqref="W40:W46 F45:F46">
    <cfRule type="cellIs" priority="42" operator="greaterThanOrEqual" aboveAverage="0" equalAverage="0" bottom="0" percent="0" rank="0" text="" dxfId="40">
      <formula>90%</formula>
    </cfRule>
  </conditionalFormatting>
  <conditionalFormatting sqref="W73:W79 F76:F79">
    <cfRule type="cellIs" priority="43" operator="lessThanOrEqual" aboveAverage="0" equalAverage="0" bottom="0" percent="0" rank="0" text="" dxfId="41">
      <formula>70%</formula>
    </cfRule>
    <cfRule type="cellIs" priority="44" operator="between" aboveAverage="0" equalAverage="0" bottom="0" percent="0" rank="0" text="" dxfId="42">
      <formula>70%</formula>
      <formula>80%</formula>
    </cfRule>
    <cfRule type="cellIs" priority="45" operator="between" aboveAverage="0" equalAverage="0" bottom="0" percent="0" rank="0" text="" dxfId="43">
      <formula>80%</formula>
      <formula>90%</formula>
    </cfRule>
  </conditionalFormatting>
  <conditionalFormatting sqref="W73:W79 F78:F79">
    <cfRule type="cellIs" priority="46" operator="greaterThanOrEqual" aboveAverage="0" equalAverage="0" bottom="0" percent="0" rank="0" text="" dxfId="44">
      <formula>90%</formula>
    </cfRule>
  </conditionalFormatting>
  <conditionalFormatting sqref="W4:X4 F4:G7 Z4:Z32 W5:W8 F8 W9:X9 F9:G13 W10:W16 F14:F16 W17:X17 F17:G20 W18:W21 F21 W22:X22 F22:G25 W23:W27 F26:F27 W28:X28 F28:G30 W29:W31 F31 W32:X32 F32:G35 W33:W38 W39:X39 Z39 F39:G42 W47:X47 F47:G52 Z47:Z56 W48:W55 F53:F55 W56:X56 F56:G59 W57:W63 F60:F63 W64:X64 Z64 F64:G67 W65:W71 F68:F71 W72:X72 Z72 F72:G75 W80:X80 F80:G83 Z80:Z96 W81:W84 F84 W85:X85 F85:G87 W86:W88 F88 W89:X89 F89:G92 W90:W93 F93 W94:X94 F94:G96 W95 W96:X96 F97 W97:W98 F98:G109 W99:X99 W100 W101:X101 W102 W103:X103 W106 W107:X107 W108 W109:X109 F110 W110:W111 F111:G116 W112:X112 W113 W114:X114 F117 F118:G118 W105:X105 W104 W115:W118 X116 Z99:Z109 Z112:Z118">
    <cfRule type="cellIs" priority="47" operator="between" aboveAverage="0" equalAverage="0" bottom="0" percent="0" rank="0" text="" dxfId="45">
      <formula>70%</formula>
      <formula>80%</formula>
    </cfRule>
    <cfRule type="cellIs" priority="48" operator="between" aboveAverage="0" equalAverage="0" bottom="0" percent="0" rank="0" text="" dxfId="46">
      <formula>80%</formula>
      <formula>90%</formula>
    </cfRule>
  </conditionalFormatting>
  <conditionalFormatting sqref="W4:X4 Z4:Z32 F4:F36 W5:W8 W9:X9 W10:W16 W17:X17 W18:W21 W22:X22 W23:W27 W28:X28 W29:W31 W32:X32 W33:W38 W39:X39 Z39 F39:F44 W47:X47 Z47:Z56 F47:F77 W48:W55 W56:X56 W57:W63 W64:X64 Z64 W65:W71 W72:X72 Z72 W80:X80 F80:F118 Z80:Z96 W81:W84 W85:X85 W86:W88 W89:X89 W90:W93 W94:X94 W95 W96:X96 W97:W98 W99:X99 W100 W101:X101 W102 W103:X103 W106 W107:X107 W108 W109:X109 W110:W111 W112:X112 W113 W114:X114 W105:X105 W104 W115:W116 Z99:Z109 Z112:Z118">
    <cfRule type="cellIs" priority="49" operator="greaterThanOrEqual" aboveAverage="0" equalAverage="0" bottom="0" percent="0" rank="0" text="" dxfId="47">
      <formula>90%</formula>
    </cfRule>
  </conditionalFormatting>
  <dataValidations count="1">
    <dataValidation allowBlank="true" operator="between" showDropDown="false" showErrorMessage="true" showInputMessage="true" sqref="C4:C36 C39:C44 C47:C77 C80:C118" type="list">
      <formula1>PowerElementType</formula1>
      <formula2>0</formula2>
    </dataValidation>
  </dataValidations>
  <printOptions headings="false" gridLines="false" gridLinesSet="true" horizontalCentered="false" verticalCentered="false"/>
  <pageMargins left="0.75" right="0.75" top="1" bottom="1" header="0.511805555555555" footer="0.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&amp;L&amp;"Calibri,Regular"&amp;7C2 General</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1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ColWidth="10.66796875" defaultRowHeight="15" zeroHeight="false" outlineLevelRow="0" outlineLevelCol="0"/>
  <cols>
    <col collapsed="false" customWidth="true" hidden="false" outlineLevel="0" max="1" min="1" style="414" width="19.34"/>
    <col collapsed="false" customWidth="true" hidden="false" outlineLevel="0" max="2" min="2" style="415" width="41.33"/>
    <col collapsed="false" customWidth="true" hidden="false" outlineLevel="0" max="3" min="3" style="416" width="30.84"/>
    <col collapsed="false" customWidth="true" hidden="false" outlineLevel="0" max="4" min="4" style="414" width="27"/>
    <col collapsed="false" customWidth="true" hidden="false" outlineLevel="0" max="5" min="5" style="416" width="48.17"/>
    <col collapsed="false" customWidth="true" hidden="false" outlineLevel="0" max="6" min="6" style="414" width="24.66"/>
    <col collapsed="false" customWidth="true" hidden="false" outlineLevel="0" max="7" min="7" style="414" width="36.17"/>
    <col collapsed="false" customWidth="true" hidden="false" outlineLevel="0" max="8" min="8" style="414" width="61.5"/>
    <col collapsed="false" customWidth="true" hidden="false" outlineLevel="0" max="9" min="9" style="414" width="55.17"/>
    <col collapsed="false" customWidth="true" hidden="false" outlineLevel="0" max="10" min="10" style="414" width="37.5"/>
    <col collapsed="false" customWidth="true" hidden="false" outlineLevel="0" max="11" min="11" style="414" width="20.5"/>
    <col collapsed="false" customWidth="false" hidden="false" outlineLevel="0" max="1024" min="12" style="414" width="10.66"/>
  </cols>
  <sheetData>
    <row r="2" customFormat="false" ht="15" hidden="false" customHeight="false" outlineLevel="0" collapsed="false">
      <c r="A2" s="417" t="s">
        <v>8</v>
      </c>
      <c r="B2" s="418" t="s">
        <v>37</v>
      </c>
      <c r="C2" s="0"/>
      <c r="D2" s="0"/>
      <c r="E2" s="0"/>
      <c r="F2" s="0"/>
      <c r="G2" s="0"/>
      <c r="H2" s="0"/>
      <c r="I2" s="0"/>
    </row>
    <row r="3" customFormat="false" ht="15" hidden="false" customHeight="false" outlineLevel="0" collapsed="false">
      <c r="A3" s="0"/>
      <c r="B3" s="0"/>
      <c r="C3" s="0"/>
      <c r="D3" s="0"/>
      <c r="E3" s="0"/>
      <c r="F3" s="0"/>
      <c r="G3" s="0"/>
      <c r="H3" s="0"/>
      <c r="I3" s="0"/>
    </row>
    <row r="4" customFormat="false" ht="15" hidden="false" customHeight="false" outlineLevel="0" collapsed="false">
      <c r="A4" s="419"/>
      <c r="B4" s="420" t="s">
        <v>238</v>
      </c>
      <c r="C4" s="421"/>
      <c r="D4" s="421"/>
      <c r="E4" s="421"/>
      <c r="F4" s="421"/>
      <c r="G4" s="421"/>
      <c r="H4" s="421"/>
      <c r="I4" s="422"/>
    </row>
    <row r="5" customFormat="false" ht="15" hidden="false" customHeight="false" outlineLevel="0" collapsed="false">
      <c r="A5" s="423" t="s">
        <v>9</v>
      </c>
      <c r="B5" s="424" t="s">
        <v>239</v>
      </c>
      <c r="C5" s="425" t="s">
        <v>240</v>
      </c>
      <c r="D5" s="425" t="s">
        <v>241</v>
      </c>
      <c r="E5" s="425" t="s">
        <v>242</v>
      </c>
      <c r="F5" s="425" t="s">
        <v>243</v>
      </c>
      <c r="G5" s="425" t="s">
        <v>244</v>
      </c>
      <c r="H5" s="425" t="s">
        <v>245</v>
      </c>
      <c r="I5" s="426" t="s">
        <v>246</v>
      </c>
    </row>
    <row r="6" customFormat="false" ht="15" hidden="false" customHeight="false" outlineLevel="0" collapsed="false">
      <c r="A6" s="427" t="s">
        <v>38</v>
      </c>
      <c r="B6" s="428" t="n">
        <v>760</v>
      </c>
      <c r="C6" s="429" t="n">
        <v>0.658008658008658</v>
      </c>
      <c r="D6" s="429" t="n">
        <v>61</v>
      </c>
      <c r="E6" s="429" t="n">
        <v>0.710822510822511</v>
      </c>
      <c r="F6" s="429" t="n">
        <v>0</v>
      </c>
      <c r="G6" s="429" t="n">
        <v>0</v>
      </c>
      <c r="H6" s="429" t="n">
        <v>821</v>
      </c>
      <c r="I6" s="430" t="n">
        <v>0.710822510822511</v>
      </c>
    </row>
    <row r="7" customFormat="false" ht="15" hidden="false" customHeight="false" outlineLevel="0" collapsed="false">
      <c r="A7" s="431" t="s">
        <v>42</v>
      </c>
      <c r="B7" s="432" t="n">
        <v>741</v>
      </c>
      <c r="C7" s="433" t="n">
        <v>0.641558441558442</v>
      </c>
      <c r="D7" s="433" t="n">
        <v>61</v>
      </c>
      <c r="E7" s="433" t="n">
        <v>0.694372294372294</v>
      </c>
      <c r="F7" s="433" t="n">
        <v>0</v>
      </c>
      <c r="G7" s="434"/>
      <c r="H7" s="433" t="n">
        <v>802</v>
      </c>
      <c r="I7" s="435" t="n">
        <v>0.694372294372294</v>
      </c>
    </row>
    <row r="8" customFormat="false" ht="15" hidden="false" customHeight="false" outlineLevel="0" collapsed="false">
      <c r="A8" s="431" t="s">
        <v>45</v>
      </c>
      <c r="B8" s="432" t="n">
        <v>653</v>
      </c>
      <c r="C8" s="433" t="n">
        <v>0.565367965367966</v>
      </c>
      <c r="D8" s="433" t="n">
        <v>61</v>
      </c>
      <c r="E8" s="433" t="n">
        <v>0.618181818181818</v>
      </c>
      <c r="F8" s="433" t="n">
        <v>0</v>
      </c>
      <c r="G8" s="434"/>
      <c r="H8" s="433" t="n">
        <v>714</v>
      </c>
      <c r="I8" s="435" t="n">
        <v>0.618181818181818</v>
      </c>
    </row>
    <row r="9" customFormat="false" ht="15" hidden="false" customHeight="false" outlineLevel="0" collapsed="false">
      <c r="A9" s="431" t="s">
        <v>47</v>
      </c>
      <c r="B9" s="432" t="n">
        <v>753</v>
      </c>
      <c r="C9" s="433" t="n">
        <v>0.651948051948052</v>
      </c>
      <c r="D9" s="433" t="n">
        <v>63</v>
      </c>
      <c r="E9" s="433" t="n">
        <v>0.706493506493506</v>
      </c>
      <c r="F9" s="433" t="n">
        <v>0</v>
      </c>
      <c r="G9" s="433" t="n">
        <v>0</v>
      </c>
      <c r="H9" s="433" t="n">
        <v>816</v>
      </c>
      <c r="I9" s="435" t="n">
        <v>0.706493506493506</v>
      </c>
    </row>
    <row r="10" customFormat="false" ht="15" hidden="false" customHeight="false" outlineLevel="0" collapsed="false">
      <c r="A10" s="436" t="s">
        <v>49</v>
      </c>
      <c r="B10" s="437" t="n">
        <v>735</v>
      </c>
      <c r="C10" s="438" t="n">
        <v>0.636363636363636</v>
      </c>
      <c r="D10" s="438" t="n">
        <v>63</v>
      </c>
      <c r="E10" s="438" t="n">
        <v>0.690909090909091</v>
      </c>
      <c r="F10" s="438" t="n">
        <v>0</v>
      </c>
      <c r="G10" s="439"/>
      <c r="H10" s="438" t="n">
        <v>798</v>
      </c>
      <c r="I10" s="440" t="n">
        <v>0.690909090909091</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L15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8" activeCellId="0" sqref="E8"/>
    </sheetView>
  </sheetViews>
  <sheetFormatPr defaultColWidth="8.66796875" defaultRowHeight="10.15" zeroHeight="false" outlineLevelRow="0" outlineLevelCol="0"/>
  <cols>
    <col collapsed="false" customWidth="true" hidden="false" outlineLevel="0" max="1" min="1" style="0" width="26.66"/>
    <col collapsed="false" customWidth="true" hidden="false" outlineLevel="0" max="2" min="2" style="0" width="25.66"/>
    <col collapsed="false" customWidth="true" hidden="false" outlineLevel="0" max="3" min="3" style="0" width="41.66"/>
    <col collapsed="false" customWidth="true" hidden="false" outlineLevel="0" max="4" min="4" style="0" width="44.5"/>
    <col collapsed="false" customWidth="true" hidden="false" outlineLevel="0" max="5" min="5" style="0" width="27.5"/>
    <col collapsed="false" customWidth="true" hidden="false" outlineLevel="0" max="6" min="6" style="0" width="33.5"/>
    <col collapsed="false" customWidth="true" hidden="false" outlineLevel="0" max="7" min="7" style="0" width="36"/>
    <col collapsed="false" customWidth="true" hidden="false" outlineLevel="0" max="8" min="8" style="0" width="37.66"/>
    <col collapsed="false" customWidth="true" hidden="false" outlineLevel="0" max="9" min="9" style="0" width="29.17"/>
    <col collapsed="false" customWidth="true" hidden="false" outlineLevel="0" max="10" min="10" style="0" width="29.66"/>
    <col collapsed="false" customWidth="true" hidden="false" outlineLevel="0" max="11" min="11" style="0" width="33.5"/>
    <col collapsed="false" customWidth="true" hidden="false" outlineLevel="0" max="12" min="12" style="0" width="32"/>
    <col collapsed="false" customWidth="true" hidden="false" outlineLevel="0" max="13" min="13" style="0" width="3.5"/>
  </cols>
  <sheetData>
    <row r="2" customFormat="false" ht="24.6" hidden="false" customHeight="false" outlineLevel="0" collapsed="false">
      <c r="B2" s="441" t="s">
        <v>247</v>
      </c>
      <c r="C2" s="441"/>
      <c r="D2" s="441"/>
      <c r="E2" s="441"/>
    </row>
    <row r="4" customFormat="false" ht="10.15" hidden="false" customHeight="false" outlineLevel="0" collapsed="false">
      <c r="B4" s="442" t="s">
        <v>248</v>
      </c>
    </row>
    <row r="5" customFormat="false" ht="10.9" hidden="false" customHeight="false" outlineLevel="0" collapsed="false"/>
    <row r="6" customFormat="false" ht="10.15" hidden="false" customHeight="false" outlineLevel="0" collapsed="false">
      <c r="B6" s="443" t="s">
        <v>8</v>
      </c>
      <c r="C6" s="444" t="s">
        <v>249</v>
      </c>
      <c r="D6" s="444" t="s">
        <v>250</v>
      </c>
      <c r="E6" s="444" t="s">
        <v>251</v>
      </c>
      <c r="F6" s="445" t="s">
        <v>252</v>
      </c>
      <c r="G6" s="442"/>
      <c r="H6" s="442"/>
    </row>
    <row r="7" customFormat="false" ht="10.15" hidden="false" customHeight="false" outlineLevel="0" collapsed="false">
      <c r="B7" s="446" t="s">
        <v>253</v>
      </c>
      <c r="C7" s="447" t="n">
        <f aca="false">'Plant loading'!G4</f>
        <v>164.154</v>
      </c>
      <c r="D7" s="447" t="n">
        <f aca="false">('Plant loading'!P4)+('Plant loading'!R4)</f>
        <v>13.8975</v>
      </c>
      <c r="E7" s="447" t="n">
        <f aca="false">'Power figures'!G2</f>
        <v>315</v>
      </c>
      <c r="F7" s="448" t="n">
        <f aca="false">'Power figures'!I2</f>
        <v>315</v>
      </c>
      <c r="G7" s="449"/>
      <c r="H7" s="450"/>
    </row>
    <row r="8" customFormat="false" ht="10.9" hidden="false" customHeight="false" outlineLevel="0" collapsed="false">
      <c r="B8" s="446" t="s">
        <v>254</v>
      </c>
      <c r="C8" s="447" t="n">
        <f aca="false">'Plant loading'!G9</f>
        <v>382.372</v>
      </c>
      <c r="D8" s="447" t="n">
        <f aca="false">('Plant loading'!P9)+('Plant loading'!R9)</f>
        <v>62.6532</v>
      </c>
      <c r="E8" s="447" t="n">
        <f aca="false">'Power figures'!G3</f>
        <v>504</v>
      </c>
      <c r="F8" s="448" t="n">
        <f aca="false">'Power figures'!I3</f>
        <v>504</v>
      </c>
      <c r="G8" s="449"/>
      <c r="H8" s="450"/>
      <c r="I8" s="451" t="s">
        <v>255</v>
      </c>
      <c r="J8" s="451"/>
    </row>
    <row r="9" customFormat="false" ht="10.15" hidden="false" customHeight="false" outlineLevel="0" collapsed="false">
      <c r="B9" s="446" t="s">
        <v>256</v>
      </c>
      <c r="C9" s="447" t="n">
        <f aca="false">'Plant loading'!G17</f>
        <v>114.123</v>
      </c>
      <c r="D9" s="447" t="n">
        <f aca="false">('Plant loading'!P17)+('Plant loading'!R17)</f>
        <v>5.777</v>
      </c>
      <c r="E9" s="447" t="n">
        <f aca="false">'Power figures'!G4</f>
        <v>315</v>
      </c>
      <c r="F9" s="448" t="n">
        <f aca="false">'Power figures'!I4</f>
        <v>315</v>
      </c>
      <c r="G9" s="449"/>
      <c r="H9" s="443" t="s">
        <v>8</v>
      </c>
      <c r="I9" s="444" t="s">
        <v>257</v>
      </c>
      <c r="J9" s="444" t="s">
        <v>258</v>
      </c>
      <c r="K9" s="444" t="s">
        <v>251</v>
      </c>
      <c r="L9" s="445" t="s">
        <v>252</v>
      </c>
    </row>
    <row r="10" customFormat="false" ht="10.15" hidden="false" customHeight="false" outlineLevel="0" collapsed="false">
      <c r="B10" s="446" t="s">
        <v>259</v>
      </c>
      <c r="C10" s="447" t="n">
        <f aca="false">'Plant loading'!G22</f>
        <v>294.736</v>
      </c>
      <c r="D10" s="447" t="n">
        <f aca="false">('Plant loading'!P22)+('Plant loading'!R22)</f>
        <v>67.6345</v>
      </c>
      <c r="E10" s="447" t="n">
        <f aca="false">'Power figures'!G5</f>
        <v>378</v>
      </c>
      <c r="F10" s="448" t="n">
        <f aca="false">'Power figures'!I5</f>
        <v>378</v>
      </c>
      <c r="G10" s="449"/>
      <c r="H10" s="446" t="s">
        <v>260</v>
      </c>
      <c r="I10" s="447" t="n">
        <f aca="false">'Power figures'!C77</f>
        <v>36.515</v>
      </c>
      <c r="J10" s="447" t="n">
        <f aca="false">'Power figures'!E77</f>
        <v>0</v>
      </c>
      <c r="K10" s="447" t="n">
        <f aca="false">'Power figures'!G77</f>
        <v>115.5</v>
      </c>
      <c r="L10" s="452" t="n">
        <f aca="false">'Power figures'!H77</f>
        <v>120</v>
      </c>
    </row>
    <row r="11" customFormat="false" ht="10.15" hidden="false" customHeight="false" outlineLevel="0" collapsed="false">
      <c r="B11" s="446" t="s">
        <v>261</v>
      </c>
      <c r="C11" s="447" t="n">
        <f aca="false">'Plant loading'!G28</f>
        <v>68.7245</v>
      </c>
      <c r="D11" s="447" t="n">
        <f aca="false">('Plant loading'!P28)+('Plant loading'!R28)</f>
        <v>0.99552</v>
      </c>
      <c r="E11" s="447" t="n">
        <f aca="false">'Power figures'!G6</f>
        <v>252</v>
      </c>
      <c r="F11" s="448" t="n">
        <f aca="false">'Power figures'!I6</f>
        <v>300</v>
      </c>
      <c r="G11" s="449"/>
      <c r="H11" s="446" t="s">
        <v>262</v>
      </c>
      <c r="I11" s="447" t="n">
        <f aca="false">'Power figures'!C78</f>
        <v>62.7295</v>
      </c>
      <c r="J11" s="447" t="n">
        <f aca="false">'Power figures'!E78</f>
        <v>0</v>
      </c>
      <c r="K11" s="447" t="n">
        <f aca="false">'Power figures'!G78</f>
        <v>178.5</v>
      </c>
      <c r="L11" s="452" t="n">
        <f aca="false">'Power figures'!H78</f>
        <v>120</v>
      </c>
    </row>
    <row r="12" customFormat="false" ht="10.9" hidden="false" customHeight="false" outlineLevel="0" collapsed="false">
      <c r="B12" s="446" t="s">
        <v>263</v>
      </c>
      <c r="C12" s="447" t="n">
        <f aca="false">'Plant loading'!G32</f>
        <v>309.2875</v>
      </c>
      <c r="D12" s="447" t="n">
        <f aca="false">('Plant loading'!P32)+('Plant loading'!R32)</f>
        <v>119.8237</v>
      </c>
      <c r="E12" s="447" t="n">
        <f aca="false">'Power figures'!G7</f>
        <v>465</v>
      </c>
      <c r="F12" s="448" t="n">
        <f aca="false">'Power figures'!I7</f>
        <v>465</v>
      </c>
      <c r="G12" s="449"/>
      <c r="H12" s="453" t="s">
        <v>264</v>
      </c>
      <c r="I12" s="454" t="n">
        <f aca="false">'Power figures'!C79</f>
        <v>21.4185</v>
      </c>
      <c r="J12" s="454" t="n">
        <f aca="false">'Power figures'!E79</f>
        <v>0</v>
      </c>
      <c r="K12" s="454" t="n">
        <f aca="false">'Power figures'!G79</f>
        <v>105</v>
      </c>
      <c r="L12" s="455" t="n">
        <f aca="false">'Power figures'!H79</f>
        <v>120</v>
      </c>
    </row>
    <row r="13" customFormat="false" ht="10.15" hidden="false" customHeight="false" outlineLevel="0" collapsed="false">
      <c r="B13" s="446" t="s">
        <v>265</v>
      </c>
      <c r="C13" s="447" t="n">
        <f aca="false">'Plant loading'!G39</f>
        <v>282.5825</v>
      </c>
      <c r="D13" s="447" t="n">
        <f aca="false">('Plant loading'!P39)+('Plant loading'!R39)</f>
        <v>78.9269</v>
      </c>
      <c r="E13" s="447" t="n">
        <f aca="false">'Power figures'!G8</f>
        <v>462</v>
      </c>
      <c r="F13" s="448" t="n">
        <f aca="false">'Power figures'!I8</f>
        <v>462</v>
      </c>
      <c r="G13" s="449"/>
      <c r="H13" s="450"/>
    </row>
    <row r="14" customFormat="false" ht="10.15" hidden="false" customHeight="false" outlineLevel="0" collapsed="false">
      <c r="B14" s="446" t="s">
        <v>266</v>
      </c>
      <c r="C14" s="447" t="n">
        <f aca="false">'Plant loading'!G47</f>
        <v>120.663</v>
      </c>
      <c r="D14" s="447" t="n">
        <f aca="false">('Plant loading'!P47)+('Plant loading'!R47)</f>
        <v>0</v>
      </c>
      <c r="E14" s="447" t="n">
        <f aca="false">'Power figures'!G9</f>
        <v>399</v>
      </c>
      <c r="F14" s="448" t="n">
        <f aca="false">'Power figures'!I9</f>
        <v>483</v>
      </c>
      <c r="G14" s="449"/>
      <c r="H14" s="450"/>
    </row>
    <row r="15" customFormat="false" ht="10.15" hidden="false" customHeight="false" outlineLevel="0" collapsed="false">
      <c r="B15" s="446" t="s">
        <v>267</v>
      </c>
      <c r="C15" s="447" t="n">
        <f aca="false">'Plant loading'!G56</f>
        <v>330.3245</v>
      </c>
      <c r="D15" s="447" t="n">
        <f aca="false">('Plant loading'!P56)+('Plant loading'!R56)</f>
        <v>61.99375</v>
      </c>
      <c r="E15" s="447" t="n">
        <f aca="false">'Power figures'!G10</f>
        <v>480</v>
      </c>
      <c r="F15" s="448" t="n">
        <f aca="false">'Power figures'!I10</f>
        <v>460</v>
      </c>
      <c r="G15" s="449"/>
      <c r="H15" s="450"/>
    </row>
    <row r="16" customFormat="false" ht="10.15" hidden="false" customHeight="false" outlineLevel="0" collapsed="false">
      <c r="B16" s="446" t="s">
        <v>268</v>
      </c>
      <c r="C16" s="447" t="n">
        <f aca="false">'Plant loading'!G64</f>
        <v>384.661</v>
      </c>
      <c r="D16" s="447" t="n">
        <f aca="false">('Plant loading'!P64)+('Plant loading'!R64)</f>
        <v>67.989295</v>
      </c>
      <c r="E16" s="447" t="n">
        <f aca="false">'Power figures'!G11</f>
        <v>480</v>
      </c>
      <c r="F16" s="448" t="n">
        <f aca="false">'Power figures'!I11</f>
        <v>481</v>
      </c>
      <c r="G16" s="449"/>
      <c r="H16" s="450"/>
    </row>
    <row r="17" customFormat="false" ht="10.15" hidden="false" customHeight="false" outlineLevel="0" collapsed="false">
      <c r="B17" s="446" t="s">
        <v>269</v>
      </c>
      <c r="C17" s="447" t="n">
        <f aca="false">'Plant loading'!G72</f>
        <v>271.737</v>
      </c>
      <c r="D17" s="447" t="n">
        <f aca="false">('Plant loading'!P72)+('Plant loading'!R72)</f>
        <v>109.327</v>
      </c>
      <c r="E17" s="447" t="n">
        <f aca="false">'Power figures'!G12</f>
        <v>465</v>
      </c>
      <c r="F17" s="448" t="n">
        <f aca="false">'Power figures'!I12</f>
        <v>468</v>
      </c>
    </row>
    <row r="18" customFormat="false" ht="10.15" hidden="false" customHeight="false" outlineLevel="0" collapsed="false">
      <c r="B18" s="446" t="s">
        <v>270</v>
      </c>
      <c r="C18" s="447" t="n">
        <f aca="false">'Plant loading'!G80</f>
        <v>100.389</v>
      </c>
      <c r="D18" s="447" t="n">
        <f aca="false">('Plant loading'!P80)+('Plant loading'!R80)</f>
        <v>6.97055</v>
      </c>
      <c r="E18" s="447" t="n">
        <f aca="false">'Power figures'!G13</f>
        <v>315</v>
      </c>
      <c r="F18" s="448" t="n">
        <f aca="false">'Power figures'!I13</f>
        <v>315</v>
      </c>
    </row>
    <row r="19" customFormat="false" ht="10.15" hidden="false" customHeight="false" outlineLevel="0" collapsed="false">
      <c r="B19" s="446" t="s">
        <v>271</v>
      </c>
      <c r="C19" s="447" t="n">
        <f aca="false">'Plant loading'!G85</f>
        <v>87.6905</v>
      </c>
      <c r="D19" s="447" t="n">
        <f aca="false">('Plant loading'!P85)+('Plant loading'!R85)</f>
        <v>11.663</v>
      </c>
      <c r="E19" s="447" t="n">
        <f aca="false">'Power figures'!G14</f>
        <v>252</v>
      </c>
      <c r="F19" s="448" t="n">
        <f aca="false">'Power figures'!I14</f>
        <v>300</v>
      </c>
    </row>
    <row r="20" customFormat="false" ht="10.9" hidden="false" customHeight="false" outlineLevel="0" collapsed="false">
      <c r="B20" s="453" t="s">
        <v>272</v>
      </c>
      <c r="C20" s="454" t="n">
        <f aca="false">'Plant loading'!G89</f>
        <v>108.8365</v>
      </c>
      <c r="D20" s="454" t="n">
        <f aca="false">('Plant loading'!P89)+('Plant loading'!R89)</f>
        <v>0</v>
      </c>
      <c r="E20" s="454" t="n">
        <f aca="false">'Power figures'!G15</f>
        <v>304.5</v>
      </c>
      <c r="F20" s="456" t="n">
        <f aca="false">'Power figures'!I15</f>
        <v>304.5</v>
      </c>
    </row>
    <row r="22" customFormat="false" ht="10.15" hidden="false" customHeight="false" outlineLevel="0" collapsed="false">
      <c r="B22" s="442" t="s">
        <v>273</v>
      </c>
    </row>
    <row r="23" customFormat="false" ht="10.9" hidden="false" customHeight="false" outlineLevel="0" collapsed="false"/>
    <row r="24" customFormat="false" ht="10.15" hidden="false" customHeight="false" outlineLevel="0" collapsed="false">
      <c r="B24" s="443" t="s">
        <v>8</v>
      </c>
      <c r="C24" s="444" t="s">
        <v>249</v>
      </c>
      <c r="D24" s="444" t="s">
        <v>250</v>
      </c>
      <c r="E24" s="444" t="s">
        <v>251</v>
      </c>
      <c r="F24" s="445" t="s">
        <v>252</v>
      </c>
    </row>
    <row r="25" customFormat="false" ht="10.15" hidden="false" customHeight="false" outlineLevel="0" collapsed="false">
      <c r="B25" s="446" t="s">
        <v>274</v>
      </c>
      <c r="C25" s="447" t="n">
        <f aca="false">'Plant loading'!G94</f>
        <v>41.2565</v>
      </c>
      <c r="D25" s="447" t="n">
        <f aca="false">('Plant loading'!P94)+('Plant loading'!R94)</f>
        <v>0</v>
      </c>
      <c r="E25" s="447" t="n">
        <f aca="false">'Power figures'!G46</f>
        <v>115</v>
      </c>
      <c r="F25" s="448" t="s">
        <v>275</v>
      </c>
    </row>
    <row r="26" customFormat="false" ht="10.15" hidden="false" customHeight="false" outlineLevel="0" collapsed="false">
      <c r="B26" s="446" t="s">
        <v>276</v>
      </c>
      <c r="C26" s="447" t="n">
        <f aca="false">'Plant loading'!G96</f>
        <v>39.5125</v>
      </c>
      <c r="D26" s="447" t="n">
        <f aca="false">('Plant loading'!P96)+('Plant loading'!R96)</f>
        <v>8.175</v>
      </c>
      <c r="E26" s="447" t="n">
        <f aca="false">'Power figures'!G48</f>
        <v>115</v>
      </c>
      <c r="F26" s="448" t="s">
        <v>275</v>
      </c>
    </row>
    <row r="27" customFormat="false" ht="10.15" hidden="false" customHeight="false" outlineLevel="0" collapsed="false">
      <c r="B27" s="446" t="s">
        <v>277</v>
      </c>
      <c r="C27" s="447" t="n">
        <f aca="false">'Plant loading'!G99</f>
        <v>44.0905</v>
      </c>
      <c r="D27" s="447" t="n">
        <f aca="false">('Plant loading'!P99)+('Plant loading'!R99)</f>
        <v>10.028</v>
      </c>
      <c r="E27" s="447" t="n">
        <f aca="false">'Power figures'!G47</f>
        <v>114.5</v>
      </c>
      <c r="F27" s="448" t="s">
        <v>275</v>
      </c>
    </row>
    <row r="28" customFormat="false" ht="10.15" hidden="false" customHeight="false" outlineLevel="0" collapsed="false">
      <c r="B28" s="446" t="s">
        <v>278</v>
      </c>
      <c r="C28" s="447" t="n">
        <f aca="false">'Plant loading'!G101</f>
        <v>33.136</v>
      </c>
      <c r="D28" s="447" t="n">
        <f aca="false">('Plant loading'!P101)+('Plant loading'!R101)</f>
        <v>4.796</v>
      </c>
      <c r="E28" s="447" t="n">
        <f aca="false">'Power figures'!G49</f>
        <v>115</v>
      </c>
      <c r="F28" s="448" t="s">
        <v>275</v>
      </c>
    </row>
    <row r="29" customFormat="false" ht="10.15" hidden="false" customHeight="false" outlineLevel="0" collapsed="false">
      <c r="B29" s="446" t="s">
        <v>279</v>
      </c>
      <c r="C29" s="447" t="n">
        <f aca="false">'Plant loading'!G103</f>
        <v>9.7555</v>
      </c>
      <c r="D29" s="447" t="n">
        <f aca="false">('Plant loading'!P103)+('Plant loading'!R103)</f>
        <v>0</v>
      </c>
      <c r="E29" s="447" t="n">
        <f aca="false">'Power figures'!G50</f>
        <v>31</v>
      </c>
      <c r="F29" s="448" t="s">
        <v>275</v>
      </c>
    </row>
    <row r="30" customFormat="false" ht="10.15" hidden="false" customHeight="false" outlineLevel="0" collapsed="false">
      <c r="B30" s="446" t="s">
        <v>280</v>
      </c>
      <c r="C30" s="447" t="n">
        <f aca="false">'Plant loading'!G105</f>
        <v>54.5545</v>
      </c>
      <c r="D30" s="447" t="n">
        <f aca="false">('Plant loading'!P105)+('Plant loading'!R105)</f>
        <v>0</v>
      </c>
      <c r="E30" s="447" t="n">
        <f aca="false">'Power figures'!G51</f>
        <v>115</v>
      </c>
      <c r="F30" s="448" t="s">
        <v>275</v>
      </c>
    </row>
    <row r="31" customFormat="false" ht="10.15" hidden="false" customHeight="false" outlineLevel="0" collapsed="false">
      <c r="B31" s="446" t="s">
        <v>281</v>
      </c>
      <c r="C31" s="447" t="n">
        <f aca="false">'Plant loading'!G107</f>
        <v>29.212</v>
      </c>
      <c r="D31" s="447" t="n">
        <f aca="false">('Plant loading'!P107)+('Plant loading'!R107)</f>
        <v>0</v>
      </c>
      <c r="E31" s="447" t="n">
        <f aca="false">'Power figures'!G53</f>
        <v>115</v>
      </c>
      <c r="F31" s="448" t="s">
        <v>275</v>
      </c>
    </row>
    <row r="32" customFormat="false" ht="10.15" hidden="false" customHeight="false" outlineLevel="0" collapsed="false">
      <c r="B32" s="446" t="s">
        <v>282</v>
      </c>
      <c r="C32" s="447" t="n">
        <f aca="false">'Plant loading'!G109</f>
        <v>38.695</v>
      </c>
      <c r="D32" s="447" t="n">
        <f aca="false">('Plant loading'!P109)+('Plant loading'!R109)</f>
        <v>0</v>
      </c>
      <c r="E32" s="447" t="n">
        <f aca="false">'Power figures'!G52</f>
        <v>143.5</v>
      </c>
      <c r="F32" s="448" t="s">
        <v>275</v>
      </c>
    </row>
    <row r="33" customFormat="false" ht="10.15" hidden="false" customHeight="false" outlineLevel="0" collapsed="false">
      <c r="B33" s="446" t="s">
        <v>283</v>
      </c>
      <c r="C33" s="447" t="n">
        <f aca="false">'Plant loading'!G112</f>
        <v>16.132</v>
      </c>
      <c r="D33" s="447" t="n">
        <f aca="false">('Plant loading'!P112)+('Plant loading'!R112)</f>
        <v>11.663</v>
      </c>
      <c r="E33" s="447" t="n">
        <f aca="false">'Power figures'!G54</f>
        <v>105.5</v>
      </c>
      <c r="F33" s="448" t="s">
        <v>275</v>
      </c>
      <c r="G33" s="449"/>
    </row>
    <row r="34" customFormat="false" ht="10.15" hidden="false" customHeight="false" outlineLevel="0" collapsed="false">
      <c r="B34" s="446" t="s">
        <v>284</v>
      </c>
      <c r="C34" s="447" t="n">
        <f aca="false">'Plant loading'!G114</f>
        <v>43.927</v>
      </c>
      <c r="D34" s="447" t="n">
        <f aca="false">('Plant loading'!P114)+('Plant loading'!R114)</f>
        <v>0</v>
      </c>
      <c r="E34" s="447" t="n">
        <f aca="false">'Power figures'!G55</f>
        <v>115</v>
      </c>
      <c r="F34" s="448" t="s">
        <v>275</v>
      </c>
      <c r="G34" s="449"/>
    </row>
    <row r="35" customFormat="false" ht="10.9" hidden="false" customHeight="false" outlineLevel="0" collapsed="false">
      <c r="B35" s="453" t="s">
        <v>285</v>
      </c>
      <c r="C35" s="454" t="n">
        <f aca="false">'Plant loading'!G116</f>
        <v>45.126</v>
      </c>
      <c r="D35" s="454" t="n">
        <f aca="false">('Plant loading'!P116)+('Plant loading'!R116)</f>
        <v>0</v>
      </c>
      <c r="E35" s="454" t="n">
        <f aca="false">'Power figures'!G56</f>
        <v>85.5</v>
      </c>
      <c r="F35" s="456" t="s">
        <v>275</v>
      </c>
      <c r="G35" s="449"/>
    </row>
    <row r="37" customFormat="false" ht="10.9" hidden="false" customHeight="false" outlineLevel="0" collapsed="false">
      <c r="A37" s="457" t="s">
        <v>9</v>
      </c>
      <c r="B37" s="458" t="s">
        <v>10</v>
      </c>
      <c r="C37" s="459" t="s">
        <v>286</v>
      </c>
      <c r="D37" s="459" t="s">
        <v>287</v>
      </c>
      <c r="E37" s="460" t="s">
        <v>15</v>
      </c>
      <c r="F37" s="460" t="s">
        <v>16</v>
      </c>
      <c r="G37" s="460" t="s">
        <v>288</v>
      </c>
      <c r="H37" s="461" t="s">
        <v>289</v>
      </c>
    </row>
    <row r="38" customFormat="false" ht="10.15" hidden="false" customHeight="false" outlineLevel="0" collapsed="false">
      <c r="A38" s="462" t="str">
        <f aca="false">'Plant loading'!B4</f>
        <v>PEAAN</v>
      </c>
      <c r="B38" s="463" t="str">
        <f aca="false">'Plant loading'!C4</f>
        <v>eSure</v>
      </c>
      <c r="C38" s="464" t="n">
        <f aca="false">('Plant loading'!E4)*(54.5/1000)</f>
        <v>31.828</v>
      </c>
      <c r="D38" s="465" t="n">
        <f aca="false">('Plant loading'!N4+'Plant loading'!Q4)*(54.5/1000)</f>
        <v>2.943</v>
      </c>
      <c r="E38" s="466" t="n">
        <f aca="false">'Plant loading'!H4</f>
        <v>36</v>
      </c>
      <c r="F38" s="467" t="n">
        <f aca="false">'Plant loading'!I4</f>
        <v>3.5</v>
      </c>
      <c r="G38" s="467" t="n">
        <f aca="false">'Plant loading'!L4</f>
        <v>63</v>
      </c>
      <c r="H38" s="468" t="n">
        <f aca="false">'Plant loading'!J4</f>
        <v>126</v>
      </c>
    </row>
    <row r="39" customFormat="false" ht="10.15" hidden="false" customHeight="false" outlineLevel="0" collapsed="false">
      <c r="A39" s="469" t="str">
        <f aca="false">'Plant loading'!B5</f>
        <v>PEBAN</v>
      </c>
      <c r="B39" s="470" t="str">
        <f aca="false">'Plant loading'!C5</f>
        <v>eSure</v>
      </c>
      <c r="C39" s="471" t="n">
        <f aca="false">('Plant loading'!E5)*(54.5/1000)</f>
        <v>29.8115</v>
      </c>
      <c r="D39" s="472" t="n">
        <f aca="false">('Plant loading'!N5+'Plant loading'!Q5)*(54.5/1000)</f>
        <v>2.943</v>
      </c>
      <c r="E39" s="473" t="n">
        <f aca="false">'Plant loading'!H5</f>
        <v>36</v>
      </c>
      <c r="F39" s="474" t="n">
        <f aca="false">'Plant loading'!I5</f>
        <v>3.5</v>
      </c>
      <c r="G39" s="474" t="n">
        <f aca="false">'Plant loading'!L5</f>
        <v>63</v>
      </c>
      <c r="H39" s="475" t="n">
        <f aca="false">'Plant loading'!J5</f>
        <v>126</v>
      </c>
    </row>
    <row r="40" customFormat="false" ht="10.15" hidden="false" customHeight="false" outlineLevel="0" collapsed="false">
      <c r="A40" s="469" t="str">
        <f aca="false">'Plant loading'!B6</f>
        <v>PECAN</v>
      </c>
      <c r="B40" s="470" t="str">
        <f aca="false">'Plant loading'!C6</f>
        <v>eSure</v>
      </c>
      <c r="C40" s="471" t="n">
        <f aca="false">('Plant loading'!E6)*(54.5/1000)</f>
        <v>24.4705</v>
      </c>
      <c r="D40" s="472" t="n">
        <f aca="false">('Plant loading'!N6+'Plant loading'!Q6)*(54.5/1000)</f>
        <v>2.616</v>
      </c>
      <c r="E40" s="473" t="n">
        <f aca="false">'Plant loading'!H6</f>
        <v>36</v>
      </c>
      <c r="F40" s="474" t="n">
        <f aca="false">'Plant loading'!I6</f>
        <v>3.5</v>
      </c>
      <c r="G40" s="474" t="n">
        <f aca="false">'Plant loading'!L6</f>
        <v>63</v>
      </c>
      <c r="H40" s="475" t="n">
        <f aca="false">'Plant loading'!J6</f>
        <v>126</v>
      </c>
    </row>
    <row r="41" customFormat="false" ht="10.15" hidden="false" customHeight="false" outlineLevel="0" collapsed="false">
      <c r="A41" s="469" t="str">
        <f aca="false">'Plant loading'!B7</f>
        <v>PEFAN</v>
      </c>
      <c r="B41" s="470" t="str">
        <f aca="false">'Plant loading'!C7</f>
        <v>eSure</v>
      </c>
      <c r="C41" s="471" t="n">
        <f aca="false">('Plant loading'!E7)*(54.5/1000)</f>
        <v>37.7685</v>
      </c>
      <c r="D41" s="472" t="n">
        <f aca="false">('Plant loading'!N7+'Plant loading'!Q7)*(54.5/1000)</f>
        <v>2.725</v>
      </c>
      <c r="E41" s="473" t="n">
        <f aca="false">'Plant loading'!H7</f>
        <v>36</v>
      </c>
      <c r="F41" s="474" t="n">
        <f aca="false">'Plant loading'!I7</f>
        <v>3.5</v>
      </c>
      <c r="G41" s="474" t="n">
        <f aca="false">'Plant loading'!L7</f>
        <v>63</v>
      </c>
      <c r="H41" s="475" t="n">
        <f aca="false">'Plant loading'!J7</f>
        <v>126</v>
      </c>
    </row>
    <row r="42" customFormat="false" ht="10.9" hidden="false" customHeight="false" outlineLevel="0" collapsed="false">
      <c r="A42" s="476" t="str">
        <f aca="false">'Plant loading'!B8</f>
        <v>PEGAN</v>
      </c>
      <c r="B42" s="477" t="str">
        <f aca="false">'Plant loading'!C8</f>
        <v>eSure</v>
      </c>
      <c r="C42" s="478" t="n">
        <f aca="false">('Plant loading'!E8)*(54.5/1000)</f>
        <v>40.2755</v>
      </c>
      <c r="D42" s="479" t="n">
        <f aca="false">('Plant loading'!N8+'Plant loading'!Q8)*(54.5/1000)</f>
        <v>2.6705</v>
      </c>
      <c r="E42" s="480" t="n">
        <f aca="false">'Plant loading'!H8</f>
        <v>36</v>
      </c>
      <c r="F42" s="481" t="n">
        <f aca="false">'Plant loading'!I8</f>
        <v>3.5</v>
      </c>
      <c r="G42" s="481" t="n">
        <f aca="false">'Plant loading'!L8</f>
        <v>63</v>
      </c>
      <c r="H42" s="482" t="n">
        <f aca="false">'Plant loading'!J8</f>
        <v>126</v>
      </c>
    </row>
    <row r="43" customFormat="false" ht="10.15" hidden="false" customHeight="false" outlineLevel="0" collapsed="false">
      <c r="A43" s="462" t="str">
        <f aca="false">'Plant loading'!B9</f>
        <v>PEABE</v>
      </c>
      <c r="B43" s="463" t="str">
        <f aca="false">'Plant loading'!C9</f>
        <v>eSure</v>
      </c>
      <c r="C43" s="464" t="n">
        <f aca="false">('Plant loading'!E9)*(54.5/1000)</f>
        <v>41.3655</v>
      </c>
      <c r="D43" s="465" t="n">
        <f aca="false">('Plant loading'!N9+'Plant loading'!Q9)*(54.5/1000)</f>
        <v>7.8371</v>
      </c>
      <c r="E43" s="466" t="n">
        <f aca="false">'Plant loading'!H9</f>
        <v>36</v>
      </c>
      <c r="F43" s="467" t="n">
        <f aca="false">'Plant loading'!I9</f>
        <v>3.5</v>
      </c>
      <c r="G43" s="467" t="n">
        <f aca="false">'Plant loading'!L9</f>
        <v>63</v>
      </c>
      <c r="H43" s="468" t="n">
        <f aca="false">'Plant loading'!J9</f>
        <v>126</v>
      </c>
    </row>
    <row r="44" customFormat="false" ht="10.15" hidden="false" customHeight="false" outlineLevel="0" collapsed="false">
      <c r="A44" s="469" t="str">
        <f aca="false">'Plant loading'!B10</f>
        <v>PEBBE</v>
      </c>
      <c r="B44" s="470" t="str">
        <f aca="false">'Plant loading'!C10</f>
        <v>eSure</v>
      </c>
      <c r="C44" s="471" t="n">
        <f aca="false">('Plant loading'!E10)*(54.5/1000)</f>
        <v>49.159</v>
      </c>
      <c r="D44" s="472" t="n">
        <f aca="false">('Plant loading'!N10+'Plant loading'!Q10)*(54.5/1000)</f>
        <v>11.9791</v>
      </c>
      <c r="E44" s="473" t="n">
        <f aca="false">'Plant loading'!H10</f>
        <v>36</v>
      </c>
      <c r="F44" s="474" t="n">
        <f aca="false">'Plant loading'!I10</f>
        <v>3.5</v>
      </c>
      <c r="G44" s="474" t="n">
        <f aca="false">'Plant loading'!L10</f>
        <v>63</v>
      </c>
      <c r="H44" s="475" t="n">
        <f aca="false">'Plant loading'!J10</f>
        <v>126</v>
      </c>
    </row>
    <row r="45" customFormat="false" ht="10.15" hidden="false" customHeight="false" outlineLevel="0" collapsed="false">
      <c r="A45" s="469" t="str">
        <f aca="false">'Plant loading'!B11</f>
        <v>PECBE</v>
      </c>
      <c r="B45" s="470" t="str">
        <f aca="false">'Plant loading'!C11</f>
        <v>eSure</v>
      </c>
      <c r="C45" s="471" t="n">
        <f aca="false">('Plant loading'!E11)*(54.5/1000)</f>
        <v>46.2705</v>
      </c>
      <c r="D45" s="472" t="n">
        <f aca="false">('Plant loading'!N11+'Plant loading'!Q11)*(54.5/1000)</f>
        <v>6.3874</v>
      </c>
      <c r="E45" s="473" t="n">
        <f aca="false">'Plant loading'!H11</f>
        <v>36</v>
      </c>
      <c r="F45" s="474" t="n">
        <f aca="false">'Plant loading'!I11</f>
        <v>3.5</v>
      </c>
      <c r="G45" s="474" t="n">
        <f aca="false">'Plant loading'!L11</f>
        <v>63</v>
      </c>
      <c r="H45" s="475" t="n">
        <f aca="false">'Plant loading'!J11</f>
        <v>126</v>
      </c>
    </row>
    <row r="46" customFormat="false" ht="10.15" hidden="false" customHeight="false" outlineLevel="0" collapsed="false">
      <c r="A46" s="469" t="str">
        <f aca="false">'Plant loading'!B12</f>
        <v>PEEBE</v>
      </c>
      <c r="B46" s="470" t="str">
        <f aca="false">'Plant loading'!C12</f>
        <v>eSure</v>
      </c>
      <c r="C46" s="471" t="n">
        <f aca="false">('Plant loading'!E12)*(54.5/1000)</f>
        <v>48.7775</v>
      </c>
      <c r="D46" s="472" t="n">
        <f aca="false">('Plant loading'!N12+'Plant loading'!Q12)*(54.5/1000)</f>
        <v>3.68965</v>
      </c>
      <c r="E46" s="473" t="n">
        <f aca="false">'Plant loading'!H12</f>
        <v>36</v>
      </c>
      <c r="F46" s="474" t="n">
        <f aca="false">'Plant loading'!I12</f>
        <v>3.5</v>
      </c>
      <c r="G46" s="474" t="n">
        <f aca="false">'Plant loading'!L12</f>
        <v>63</v>
      </c>
      <c r="H46" s="475" t="n">
        <f aca="false">'Plant loading'!J12</f>
        <v>126</v>
      </c>
    </row>
    <row r="47" customFormat="false" ht="10.15" hidden="false" customHeight="false" outlineLevel="0" collapsed="false">
      <c r="A47" s="469" t="str">
        <f aca="false">'Plant loading'!B13</f>
        <v>PEFBE</v>
      </c>
      <c r="B47" s="470" t="str">
        <f aca="false">'Plant loading'!C13</f>
        <v>eSure</v>
      </c>
      <c r="C47" s="471" t="n">
        <f aca="false">('Plant loading'!E13)*(54.5/1000)</f>
        <v>46.652</v>
      </c>
      <c r="D47" s="472" t="n">
        <f aca="false">('Plant loading'!N13+'Plant loading'!Q13)*(54.5/1000)</f>
        <v>9.51025</v>
      </c>
      <c r="E47" s="473" t="n">
        <f aca="false">'Plant loading'!H13</f>
        <v>36</v>
      </c>
      <c r="F47" s="474" t="n">
        <f aca="false">'Plant loading'!I13</f>
        <v>3.5</v>
      </c>
      <c r="G47" s="474" t="n">
        <f aca="false">'Plant loading'!L13</f>
        <v>63</v>
      </c>
      <c r="H47" s="475" t="n">
        <f aca="false">'Plant loading'!J13</f>
        <v>126</v>
      </c>
    </row>
    <row r="48" customFormat="false" ht="10.15" hidden="false" customHeight="false" outlineLevel="0" collapsed="false">
      <c r="A48" s="469" t="str">
        <f aca="false">'Plant loading'!B14</f>
        <v>PEGBE</v>
      </c>
      <c r="B48" s="470" t="str">
        <f aca="false">'Plant loading'!C14</f>
        <v>eSure</v>
      </c>
      <c r="C48" s="471" t="n">
        <f aca="false">('Plant loading'!E14)*(54.5/1000)</f>
        <v>50.9575</v>
      </c>
      <c r="D48" s="472" t="n">
        <f aca="false">('Plant loading'!N14+'Plant loading'!Q14)*(54.5/1000)</f>
        <v>7.5319</v>
      </c>
      <c r="E48" s="473" t="n">
        <f aca="false">'Plant loading'!H14</f>
        <v>36</v>
      </c>
      <c r="F48" s="474" t="n">
        <f aca="false">'Plant loading'!I14</f>
        <v>3.5</v>
      </c>
      <c r="G48" s="474" t="n">
        <f aca="false">'Plant loading'!L14</f>
        <v>63</v>
      </c>
      <c r="H48" s="475" t="n">
        <f aca="false">'Plant loading'!J14</f>
        <v>126</v>
      </c>
    </row>
    <row r="49" customFormat="false" ht="10.15" hidden="false" customHeight="false" outlineLevel="0" collapsed="false">
      <c r="A49" s="469" t="str">
        <f aca="false">'Plant loading'!B15</f>
        <v>PEHBE</v>
      </c>
      <c r="B49" s="470" t="str">
        <f aca="false">'Plant loading'!C15</f>
        <v>eSure</v>
      </c>
      <c r="C49" s="471" t="n">
        <f aca="false">('Plant loading'!E15)*(54.5/1000)</f>
        <v>48.287</v>
      </c>
      <c r="D49" s="472" t="n">
        <f aca="false">('Plant loading'!N15+'Plant loading'!Q15)*(54.5/1000)</f>
        <v>8.2404</v>
      </c>
      <c r="E49" s="473" t="n">
        <f aca="false">'Plant loading'!H15</f>
        <v>36</v>
      </c>
      <c r="F49" s="474" t="n">
        <f aca="false">'Plant loading'!I15</f>
        <v>3.5</v>
      </c>
      <c r="G49" s="474" t="n">
        <f aca="false">'Plant loading'!L15</f>
        <v>63</v>
      </c>
      <c r="H49" s="475" t="n">
        <f aca="false">'Plant loading'!J15</f>
        <v>126</v>
      </c>
    </row>
    <row r="50" customFormat="false" ht="10.9" hidden="false" customHeight="false" outlineLevel="0" collapsed="false">
      <c r="A50" s="476" t="str">
        <f aca="false">'Plant loading'!B16</f>
        <v>PEIBE</v>
      </c>
      <c r="B50" s="477" t="str">
        <f aca="false">'Plant loading'!C16</f>
        <v>eSure</v>
      </c>
      <c r="C50" s="478" t="n">
        <f aca="false">('Plant loading'!E16)*(54.5/1000)</f>
        <v>50.903</v>
      </c>
      <c r="D50" s="479" t="n">
        <f aca="false">('Plant loading'!N16+'Plant loading'!Q16)*(54.5/1000)</f>
        <v>7.4774</v>
      </c>
      <c r="E50" s="480" t="n">
        <f aca="false">'Plant loading'!H16</f>
        <v>36</v>
      </c>
      <c r="F50" s="481" t="n">
        <f aca="false">'Plant loading'!I16</f>
        <v>3.5</v>
      </c>
      <c r="G50" s="481" t="n">
        <f aca="false">'Plant loading'!L16</f>
        <v>63</v>
      </c>
      <c r="H50" s="482" t="n">
        <f aca="false">'Plant loading'!J16</f>
        <v>126</v>
      </c>
    </row>
    <row r="51" customFormat="false" ht="10.15" hidden="false" customHeight="false" outlineLevel="0" collapsed="false">
      <c r="A51" s="462" t="str">
        <f aca="false">'Plant loading'!B17</f>
        <v>PEACY</v>
      </c>
      <c r="B51" s="463" t="str">
        <f aca="false">'Plant loading'!C17</f>
        <v>eSure</v>
      </c>
      <c r="C51" s="464" t="n">
        <f aca="false">('Plant loading'!E17)*(54.5/1000)</f>
        <v>18.0395</v>
      </c>
      <c r="D51" s="465" t="n">
        <f aca="false">('Plant loading'!N17+'Plant loading'!Q17)*(54.5/1000)</f>
        <v>0</v>
      </c>
      <c r="E51" s="466" t="n">
        <f aca="false">'Plant loading'!H17</f>
        <v>36</v>
      </c>
      <c r="F51" s="467" t="n">
        <f aca="false">'Plant loading'!I17</f>
        <v>3.5</v>
      </c>
      <c r="G51" s="467" t="n">
        <f aca="false">'Plant loading'!L17</f>
        <v>63</v>
      </c>
      <c r="H51" s="468" t="n">
        <f aca="false">'Plant loading'!J17</f>
        <v>126</v>
      </c>
    </row>
    <row r="52" customFormat="false" ht="10.15" hidden="false" customHeight="false" outlineLevel="0" collapsed="false">
      <c r="A52" s="469" t="str">
        <f aca="false">'Plant loading'!B18</f>
        <v>PEBCY</v>
      </c>
      <c r="B52" s="470" t="str">
        <f aca="false">'Plant loading'!C18</f>
        <v>eSure</v>
      </c>
      <c r="C52" s="471" t="n">
        <f aca="false">('Plant loading'!E18)*(54.5/1000)</f>
        <v>20.7645</v>
      </c>
      <c r="D52" s="472" t="n">
        <f aca="false">('Plant loading'!N18+'Plant loading'!Q18)*(54.5/1000)</f>
        <v>0.4905</v>
      </c>
      <c r="E52" s="473" t="n">
        <f aca="false">'Plant loading'!H18</f>
        <v>36</v>
      </c>
      <c r="F52" s="474" t="n">
        <f aca="false">'Plant loading'!I18</f>
        <v>3.5</v>
      </c>
      <c r="G52" s="474" t="n">
        <f aca="false">'Plant loading'!L18</f>
        <v>63</v>
      </c>
      <c r="H52" s="475" t="n">
        <f aca="false">'Plant loading'!J18</f>
        <v>126</v>
      </c>
    </row>
    <row r="53" customFormat="false" ht="10.15" hidden="false" customHeight="false" outlineLevel="0" collapsed="false">
      <c r="A53" s="469" t="str">
        <f aca="false">'Plant loading'!B19</f>
        <v>PECCY</v>
      </c>
      <c r="B53" s="470" t="str">
        <f aca="false">'Plant loading'!C19</f>
        <v>eSure</v>
      </c>
      <c r="C53" s="471" t="n">
        <f aca="false">('Plant loading'!E19)*(54.5/1000)</f>
        <v>33.027</v>
      </c>
      <c r="D53" s="472" t="n">
        <f aca="false">('Plant loading'!N19+'Plant loading'!Q19)*(54.5/1000)</f>
        <v>0.4905</v>
      </c>
      <c r="E53" s="473" t="n">
        <f aca="false">'Plant loading'!H19</f>
        <v>36</v>
      </c>
      <c r="F53" s="474" t="n">
        <f aca="false">'Plant loading'!I19</f>
        <v>3.5</v>
      </c>
      <c r="G53" s="474" t="n">
        <f aca="false">'Plant loading'!L19</f>
        <v>63</v>
      </c>
      <c r="H53" s="475" t="n">
        <f aca="false">'Plant loading'!J19</f>
        <v>126</v>
      </c>
    </row>
    <row r="54" customFormat="false" ht="10.15" hidden="false" customHeight="false" outlineLevel="0" collapsed="false">
      <c r="A54" s="469" t="str">
        <f aca="false">'Plant loading'!B20</f>
        <v>PEDCY</v>
      </c>
      <c r="B54" s="470" t="str">
        <f aca="false">'Plant loading'!C20</f>
        <v>eSure</v>
      </c>
      <c r="C54" s="471" t="n">
        <f aca="false">('Plant loading'!E20)*(54.5/1000)</f>
        <v>26.4325</v>
      </c>
      <c r="D54" s="472" t="n">
        <f aca="false">('Plant loading'!N20+'Plant loading'!Q20)*(54.5/1000)</f>
        <v>2.398</v>
      </c>
      <c r="E54" s="473" t="n">
        <f aca="false">'Plant loading'!H20</f>
        <v>36</v>
      </c>
      <c r="F54" s="474" t="n">
        <f aca="false">'Plant loading'!I20</f>
        <v>3.5</v>
      </c>
      <c r="G54" s="474" t="n">
        <f aca="false">'Plant loading'!L20</f>
        <v>63</v>
      </c>
      <c r="H54" s="475" t="n">
        <f aca="false">'Plant loading'!J20</f>
        <v>126</v>
      </c>
    </row>
    <row r="55" customFormat="false" ht="10.9" hidden="false" customHeight="false" outlineLevel="0" collapsed="false">
      <c r="A55" s="476" t="str">
        <f aca="false">'Plant loading'!B21</f>
        <v>PEECY</v>
      </c>
      <c r="B55" s="477" t="str">
        <f aca="false">'Plant loading'!C21</f>
        <v>eSure</v>
      </c>
      <c r="C55" s="478" t="n">
        <f aca="false">('Plant loading'!E21)*(54.5/1000)</f>
        <v>15.8595</v>
      </c>
      <c r="D55" s="479" t="n">
        <f aca="false">('Plant loading'!N21+'Plant loading'!Q21)*(54.5/1000)</f>
        <v>2.398</v>
      </c>
      <c r="E55" s="480" t="n">
        <f aca="false">'Plant loading'!H21</f>
        <v>36</v>
      </c>
      <c r="F55" s="481" t="n">
        <f aca="false">'Plant loading'!I21</f>
        <v>3.5</v>
      </c>
      <c r="G55" s="481" t="n">
        <f aca="false">'Plant loading'!L21</f>
        <v>63</v>
      </c>
      <c r="H55" s="482" t="n">
        <f aca="false">'Plant loading'!J21</f>
        <v>126</v>
      </c>
    </row>
    <row r="56" customFormat="false" ht="10.15" hidden="false" customHeight="false" outlineLevel="0" collapsed="false">
      <c r="A56" s="462" t="str">
        <f aca="false">'Plant loading'!B22</f>
        <v>PECEH</v>
      </c>
      <c r="B56" s="463" t="str">
        <f aca="false">'Plant loading'!C22</f>
        <v>eSure</v>
      </c>
      <c r="C56" s="464" t="n">
        <f aca="false">('Plant loading'!E22)*(54.5/1000)</f>
        <v>48.0145</v>
      </c>
      <c r="D56" s="465" t="n">
        <f aca="false">('Plant loading'!N22+'Plant loading'!Q22)*(54.5/1000)</f>
        <v>12.3715</v>
      </c>
      <c r="E56" s="466" t="n">
        <f aca="false">'Plant loading'!H22</f>
        <v>36</v>
      </c>
      <c r="F56" s="467" t="n">
        <f aca="false">'Plant loading'!I22</f>
        <v>3.5</v>
      </c>
      <c r="G56" s="467" t="n">
        <f aca="false">'Plant loading'!L22</f>
        <v>63</v>
      </c>
      <c r="H56" s="468" t="n">
        <f aca="false">'Plant loading'!J22</f>
        <v>126</v>
      </c>
    </row>
    <row r="57" customFormat="false" ht="10.15" hidden="false" customHeight="false" outlineLevel="0" collapsed="false">
      <c r="A57" s="469" t="str">
        <f aca="false">'Plant loading'!B23</f>
        <v>PEDEH</v>
      </c>
      <c r="B57" s="470" t="str">
        <f aca="false">'Plant loading'!C23</f>
        <v>eSure</v>
      </c>
      <c r="C57" s="471" t="n">
        <f aca="false">('Plant loading'!E23)*(54.5/1000)</f>
        <v>51.775</v>
      </c>
      <c r="D57" s="472" t="n">
        <f aca="false">('Plant loading'!N23+'Plant loading'!Q23)*(54.5/1000)</f>
        <v>9.6465</v>
      </c>
      <c r="E57" s="473" t="n">
        <f aca="false">'Plant loading'!H23</f>
        <v>36</v>
      </c>
      <c r="F57" s="474" t="n">
        <f aca="false">'Plant loading'!I23</f>
        <v>3.5</v>
      </c>
      <c r="G57" s="474" t="n">
        <f aca="false">'Plant loading'!L23</f>
        <v>63</v>
      </c>
      <c r="H57" s="475" t="n">
        <f aca="false">'Plant loading'!J23</f>
        <v>126</v>
      </c>
    </row>
    <row r="58" customFormat="false" ht="10.15" hidden="false" customHeight="false" outlineLevel="0" collapsed="false">
      <c r="A58" s="469" t="str">
        <f aca="false">'Plant loading'!B24</f>
        <v>PEEEH</v>
      </c>
      <c r="B58" s="470" t="str">
        <f aca="false">'Plant loading'!C24</f>
        <v>eSure</v>
      </c>
      <c r="C58" s="471" t="n">
        <f aca="false">('Plant loading'!E24)*(54.5/1000)</f>
        <v>46.7065</v>
      </c>
      <c r="D58" s="472" t="n">
        <f aca="false">('Plant loading'!N24+'Plant loading'!Q24)*(54.5/1000)</f>
        <v>12.0445</v>
      </c>
      <c r="E58" s="473" t="n">
        <f aca="false">'Plant loading'!H24</f>
        <v>36</v>
      </c>
      <c r="F58" s="474" t="n">
        <f aca="false">'Plant loading'!I24</f>
        <v>3.5</v>
      </c>
      <c r="G58" s="474" t="n">
        <f aca="false">'Plant loading'!L24</f>
        <v>63</v>
      </c>
      <c r="H58" s="475" t="n">
        <f aca="false">'Plant loading'!J24</f>
        <v>126</v>
      </c>
    </row>
    <row r="59" customFormat="false" ht="10.15" hidden="false" customHeight="false" outlineLevel="0" collapsed="false">
      <c r="A59" s="469" t="str">
        <f aca="false">'Plant loading'!B25</f>
        <v>PEFEH</v>
      </c>
      <c r="B59" s="470" t="str">
        <f aca="false">'Plant loading'!C25</f>
        <v>eSure</v>
      </c>
      <c r="C59" s="471" t="n">
        <f aca="false">('Plant loading'!E25)*(54.5/1000)</f>
        <v>47.633</v>
      </c>
      <c r="D59" s="472" t="n">
        <f aca="false">('Plant loading'!N25+'Plant loading'!Q25)*(54.5/1000)</f>
        <v>9.374</v>
      </c>
      <c r="E59" s="473" t="n">
        <f aca="false">'Plant loading'!H25</f>
        <v>36</v>
      </c>
      <c r="F59" s="474" t="n">
        <f aca="false">'Plant loading'!I25</f>
        <v>3.5</v>
      </c>
      <c r="G59" s="474" t="n">
        <f aca="false">'Plant loading'!L25</f>
        <v>63</v>
      </c>
      <c r="H59" s="475" t="n">
        <f aca="false">'Plant loading'!J25</f>
        <v>126</v>
      </c>
    </row>
    <row r="60" customFormat="false" ht="10.15" hidden="false" customHeight="false" outlineLevel="0" collapsed="false">
      <c r="A60" s="469" t="str">
        <f aca="false">'Plant loading'!B26</f>
        <v>PEGEH</v>
      </c>
      <c r="B60" s="470" t="str">
        <f aca="false">'Plant loading'!C26</f>
        <v>eSure</v>
      </c>
      <c r="C60" s="471" t="n">
        <f aca="false">('Plant loading'!E26)*(54.5/1000)</f>
        <v>50.576</v>
      </c>
      <c r="D60" s="472" t="n">
        <f aca="false">('Plant loading'!N26+'Plant loading'!Q26)*(54.5/1000)</f>
        <v>9.9735</v>
      </c>
      <c r="E60" s="473" t="n">
        <f aca="false">'Plant loading'!H26</f>
        <v>36</v>
      </c>
      <c r="F60" s="474" t="n">
        <f aca="false">'Plant loading'!I26</f>
        <v>3.5</v>
      </c>
      <c r="G60" s="474" t="n">
        <f aca="false">'Plant loading'!L26</f>
        <v>63</v>
      </c>
      <c r="H60" s="475" t="n">
        <f aca="false">'Plant loading'!J26</f>
        <v>126</v>
      </c>
    </row>
    <row r="61" customFormat="false" ht="10.9" hidden="false" customHeight="false" outlineLevel="0" collapsed="false">
      <c r="A61" s="476" t="str">
        <f aca="false">'Plant loading'!B27</f>
        <v>PEHEH</v>
      </c>
      <c r="B61" s="477" t="str">
        <f aca="false">'Plant loading'!C27</f>
        <v>eSure</v>
      </c>
      <c r="C61" s="478" t="n">
        <f aca="false">('Plant loading'!E27)*(54.5/1000)</f>
        <v>50.031</v>
      </c>
      <c r="D61" s="479" t="n">
        <f aca="false">('Plant loading'!N27+'Plant loading'!Q27)*(54.5/1000)</f>
        <v>14.2245</v>
      </c>
      <c r="E61" s="480" t="n">
        <f aca="false">'Plant loading'!H27</f>
        <v>36</v>
      </c>
      <c r="F61" s="481" t="n">
        <f aca="false">'Plant loading'!I27</f>
        <v>3.5</v>
      </c>
      <c r="G61" s="481" t="n">
        <f aca="false">'Plant loading'!L27</f>
        <v>63</v>
      </c>
      <c r="H61" s="482" t="n">
        <f aca="false">'Plant loading'!J27</f>
        <v>126</v>
      </c>
    </row>
    <row r="62" customFormat="false" ht="10.15" hidden="false" customHeight="false" outlineLevel="0" collapsed="false">
      <c r="A62" s="462" t="str">
        <f aca="false">'Plant loading'!B28</f>
        <v>PEDER</v>
      </c>
      <c r="B62" s="463" t="str">
        <f aca="false">'Plant loading'!C28</f>
        <v>eSure</v>
      </c>
      <c r="C62" s="464" t="n">
        <f aca="false">('Plant loading'!E28)*(54.5/1000)</f>
        <v>20.6555</v>
      </c>
      <c r="D62" s="465" t="n">
        <f aca="false">('Plant loading'!N28+'Plant loading'!Q28)*(54.5/1000)</f>
        <v>0</v>
      </c>
      <c r="E62" s="466" t="n">
        <f aca="false">'Plant loading'!H28</f>
        <v>36</v>
      </c>
      <c r="F62" s="467" t="n">
        <f aca="false">'Plant loading'!I28</f>
        <v>3.5</v>
      </c>
      <c r="G62" s="467" t="n">
        <f aca="false">'Plant loading'!L28</f>
        <v>63</v>
      </c>
      <c r="H62" s="468" t="n">
        <f aca="false">'Plant loading'!J28</f>
        <v>126</v>
      </c>
    </row>
    <row r="63" customFormat="false" ht="10.15" hidden="false" customHeight="false" outlineLevel="0" collapsed="false">
      <c r="A63" s="469" t="str">
        <f aca="false">'Plant loading'!B29</f>
        <v>PEEER</v>
      </c>
      <c r="B63" s="470" t="str">
        <f aca="false">'Plant loading'!C29</f>
        <v>eSure</v>
      </c>
      <c r="C63" s="471" t="n">
        <f aca="false">('Plant loading'!E29)*(54.5/1000)</f>
        <v>16.5135</v>
      </c>
      <c r="D63" s="472" t="n">
        <f aca="false">('Plant loading'!N29+'Plant loading'!Q29)*(54.5/1000)</f>
        <v>0.498675</v>
      </c>
      <c r="E63" s="473" t="n">
        <f aca="false">'Plant loading'!H29</f>
        <v>36</v>
      </c>
      <c r="F63" s="474" t="n">
        <f aca="false">'Plant loading'!I29</f>
        <v>3.5</v>
      </c>
      <c r="G63" s="474" t="n">
        <f aca="false">'Plant loading'!L29</f>
        <v>63</v>
      </c>
      <c r="H63" s="475" t="n">
        <f aca="false">'Plant loading'!J29</f>
        <v>126</v>
      </c>
    </row>
    <row r="64" customFormat="false" ht="10.15" hidden="false" customHeight="false" outlineLevel="0" collapsed="false">
      <c r="A64" s="469" t="str">
        <f aca="false">'Plant loading'!B30</f>
        <v>PEFER</v>
      </c>
      <c r="B64" s="470" t="str">
        <f aca="false">'Plant loading'!C30</f>
        <v>eSure</v>
      </c>
      <c r="C64" s="471" t="n">
        <f aca="false">('Plant loading'!E30)*(54.5/1000)</f>
        <v>19.62</v>
      </c>
      <c r="D64" s="472" t="n">
        <f aca="false">('Plant loading'!N30+'Plant loading'!Q30)*(54.5/1000)</f>
        <v>0.498675</v>
      </c>
      <c r="E64" s="473" t="n">
        <f aca="false">'Plant loading'!H30</f>
        <v>36</v>
      </c>
      <c r="F64" s="474" t="n">
        <f aca="false">'Plant loading'!I30</f>
        <v>3.5</v>
      </c>
      <c r="G64" s="474" t="n">
        <f aca="false">'Plant loading'!L30</f>
        <v>63</v>
      </c>
      <c r="H64" s="475" t="n">
        <f aca="false">'Plant loading'!J30</f>
        <v>126</v>
      </c>
    </row>
    <row r="65" customFormat="false" ht="10.9" hidden="false" customHeight="false" outlineLevel="0" collapsed="false">
      <c r="A65" s="476" t="str">
        <f aca="false">'Plant loading'!B31</f>
        <v>PEGER</v>
      </c>
      <c r="B65" s="477" t="str">
        <f aca="false">'Plant loading'!C31</f>
        <v>eSure</v>
      </c>
      <c r="C65" s="478" t="n">
        <f aca="false">('Plant loading'!E31)*(54.5/1000)</f>
        <v>11.9355</v>
      </c>
      <c r="D65" s="479" t="n">
        <f aca="false">('Plant loading'!N31+'Plant loading'!Q31)*(54.5/1000)</f>
        <v>0</v>
      </c>
      <c r="E65" s="480" t="n">
        <f aca="false">'Plant loading'!H31</f>
        <v>36</v>
      </c>
      <c r="F65" s="481" t="n">
        <f aca="false">'Plant loading'!I31</f>
        <v>3.5</v>
      </c>
      <c r="G65" s="481" t="n">
        <f aca="false">'Plant loading'!L31</f>
        <v>63</v>
      </c>
      <c r="H65" s="482" t="n">
        <f aca="false">'Plant loading'!J31</f>
        <v>126</v>
      </c>
    </row>
    <row r="66" customFormat="false" ht="10.15" hidden="false" customHeight="false" outlineLevel="0" collapsed="false">
      <c r="A66" s="462" t="str">
        <f aca="false">'Plant loading'!B32</f>
        <v>PEAGR</v>
      </c>
      <c r="B66" s="463" t="str">
        <f aca="false">'Plant loading'!C32</f>
        <v>eSure</v>
      </c>
      <c r="C66" s="464" t="n">
        <f aca="false">('Plant loading'!E32)*(54.5/1000)</f>
        <v>36.2425</v>
      </c>
      <c r="D66" s="465" t="n">
        <f aca="false">('Plant loading'!N32+'Plant loading'!Q32)*(54.5/1000)</f>
        <v>16.67155</v>
      </c>
      <c r="E66" s="466" t="n">
        <f aca="false">'Plant loading'!H32</f>
        <v>36</v>
      </c>
      <c r="F66" s="467" t="n">
        <f aca="false">'Plant loading'!I32</f>
        <v>3.5</v>
      </c>
      <c r="G66" s="467" t="n">
        <f aca="false">'Plant loading'!L32</f>
        <v>63</v>
      </c>
      <c r="H66" s="468" t="n">
        <f aca="false">'Plant loading'!J32</f>
        <v>126</v>
      </c>
    </row>
    <row r="67" customFormat="false" ht="10.15" hidden="false" customHeight="false" outlineLevel="0" collapsed="false">
      <c r="A67" s="469" t="str">
        <f aca="false">'Plant loading'!B33</f>
        <v>PEBGR</v>
      </c>
      <c r="B67" s="470" t="str">
        <f aca="false">'Plant loading'!C33</f>
        <v>eSure</v>
      </c>
      <c r="C67" s="471" t="n">
        <f aca="false">('Plant loading'!E33)*(54.5/1000)</f>
        <v>45.126</v>
      </c>
      <c r="D67" s="472" t="n">
        <f aca="false">('Plant loading'!N33+'Plant loading'!Q33)*(54.5/1000)</f>
        <v>14.21905</v>
      </c>
      <c r="E67" s="473" t="n">
        <f aca="false">'Plant loading'!H33</f>
        <v>36</v>
      </c>
      <c r="F67" s="474" t="n">
        <f aca="false">'Plant loading'!I33</f>
        <v>3.5</v>
      </c>
      <c r="G67" s="474" t="n">
        <f aca="false">'Plant loading'!L33</f>
        <v>63</v>
      </c>
      <c r="H67" s="475" t="n">
        <f aca="false">'Plant loading'!J33</f>
        <v>126</v>
      </c>
    </row>
    <row r="68" customFormat="false" ht="10.15" hidden="false" customHeight="false" outlineLevel="0" collapsed="false">
      <c r="A68" s="469" t="str">
        <f aca="false">'Plant loading'!B34</f>
        <v>PECGR</v>
      </c>
      <c r="B68" s="470" t="str">
        <f aca="false">'Plant loading'!C34</f>
        <v>eSure</v>
      </c>
      <c r="C68" s="471" t="n">
        <f aca="false">('Plant loading'!E34)*(54.5/1000)</f>
        <v>41.311</v>
      </c>
      <c r="D68" s="472" t="n">
        <f aca="false">('Plant loading'!N34+'Plant loading'!Q34)*(54.5/1000)</f>
        <v>16.72605</v>
      </c>
      <c r="E68" s="473" t="n">
        <f aca="false">'Plant loading'!H34</f>
        <v>36</v>
      </c>
      <c r="F68" s="474" t="n">
        <f aca="false">'Plant loading'!I34</f>
        <v>3.5</v>
      </c>
      <c r="G68" s="474" t="n">
        <f aca="false">'Plant loading'!L34</f>
        <v>63</v>
      </c>
      <c r="H68" s="475" t="n">
        <f aca="false">'Plant loading'!J34</f>
        <v>126</v>
      </c>
    </row>
    <row r="69" customFormat="false" ht="10.15" hidden="false" customHeight="false" outlineLevel="0" collapsed="false">
      <c r="A69" s="469" t="str">
        <f aca="false">'Plant loading'!B35</f>
        <v>PEDGR</v>
      </c>
      <c r="B69" s="470" t="str">
        <f aca="false">'Plant loading'!C35</f>
        <v>eSure</v>
      </c>
      <c r="C69" s="471" t="n">
        <f aca="false">('Plant loading'!E35)*(54.5/1000)</f>
        <v>41.311</v>
      </c>
      <c r="D69" s="472" t="n">
        <f aca="false">('Plant loading'!N35+'Plant loading'!Q35)*(54.5/1000)</f>
        <v>13.78305</v>
      </c>
      <c r="E69" s="473" t="n">
        <f aca="false">'Plant loading'!H35</f>
        <v>36</v>
      </c>
      <c r="F69" s="474" t="n">
        <f aca="false">'Plant loading'!I35</f>
        <v>3.5</v>
      </c>
      <c r="G69" s="474" t="n">
        <f aca="false">'Plant loading'!L35</f>
        <v>63</v>
      </c>
      <c r="H69" s="475" t="n">
        <f aca="false">'Plant loading'!J35</f>
        <v>126</v>
      </c>
    </row>
    <row r="70" customFormat="false" ht="10.15" hidden="false" customHeight="false" outlineLevel="0" collapsed="false">
      <c r="A70" s="469" t="str">
        <f aca="false">'Plant loading'!B36</f>
        <v>PEEGR</v>
      </c>
      <c r="B70" s="470" t="str">
        <f aca="false">'Plant loading'!C36</f>
        <v>eSure</v>
      </c>
      <c r="C70" s="471" t="n">
        <f aca="false">('Plant loading'!E36)*(54.5/1000)</f>
        <v>41.4745</v>
      </c>
      <c r="D70" s="472" t="n">
        <f aca="false">('Plant loading'!N36+'Plant loading'!Q36)*(54.5/1000)</f>
        <v>9.81</v>
      </c>
      <c r="E70" s="473" t="n">
        <f aca="false">'Plant loading'!H36</f>
        <v>36</v>
      </c>
      <c r="F70" s="474" t="n">
        <f aca="false">'Plant loading'!I36</f>
        <v>3.5</v>
      </c>
      <c r="G70" s="474" t="n">
        <f aca="false">'Plant loading'!L36</f>
        <v>63</v>
      </c>
      <c r="H70" s="475" t="n">
        <f aca="false">'Plant loading'!J36</f>
        <v>126</v>
      </c>
    </row>
    <row r="71" customFormat="false" ht="10.15" hidden="false" customHeight="false" outlineLevel="0" collapsed="false">
      <c r="A71" s="469" t="str">
        <f aca="false">'Plant loading'!B37</f>
        <v>GCRMTX-DCSYS06a</v>
      </c>
      <c r="B71" s="470" t="str">
        <f aca="false">'Plant loading'!C37</f>
        <v>NPR48-ES</v>
      </c>
      <c r="C71" s="471" t="n">
        <f aca="false">('Plant loading'!E37)*(54.5/1000)</f>
        <v>53.5735</v>
      </c>
      <c r="D71" s="472" t="n">
        <f aca="false">('Plant loading'!N37+'Plant loading'!Q37)*(54.5/1000)</f>
        <v>23.3805</v>
      </c>
      <c r="E71" s="473" t="n">
        <f aca="false">'Plant loading'!H37</f>
        <v>51</v>
      </c>
      <c r="F71" s="474" t="n">
        <f aca="false">'Plant loading'!I37</f>
        <v>3</v>
      </c>
      <c r="G71" s="474" t="n">
        <f aca="false">'Plant loading'!L37</f>
        <v>75</v>
      </c>
      <c r="H71" s="475" t="n">
        <f aca="false">'Plant loading'!J37</f>
        <v>153</v>
      </c>
    </row>
    <row r="72" customFormat="false" ht="10.15" hidden="false" customHeight="false" outlineLevel="0" collapsed="false">
      <c r="A72" s="469" t="str">
        <f aca="false">'Plant loading'!B38</f>
        <v>GCRMTX-DCSYS06b</v>
      </c>
      <c r="B72" s="470" t="str">
        <f aca="false">'Plant loading'!C38</f>
        <v>NPR48-ES</v>
      </c>
      <c r="C72" s="471" t="n">
        <f aca="false">('Plant loading'!E38)*(54.5/1000)</f>
        <v>50.249</v>
      </c>
      <c r="D72" s="472" t="n">
        <f aca="false">('Plant loading'!N38+'Plant loading'!Q38)*(54.5/1000)</f>
        <v>25.2335</v>
      </c>
      <c r="E72" s="473" t="n">
        <f aca="false">'Plant loading'!H38</f>
        <v>51</v>
      </c>
      <c r="F72" s="474" t="n">
        <f aca="false">'Plant loading'!I38</f>
        <v>3</v>
      </c>
      <c r="G72" s="474" t="n">
        <f aca="false">'Plant loading'!L38</f>
        <v>75</v>
      </c>
      <c r="H72" s="475" t="n">
        <f aca="false">'Plant loading'!J38</f>
        <v>153</v>
      </c>
    </row>
    <row r="73" customFormat="false" ht="10.15" hidden="false" customHeight="false" outlineLevel="0" collapsed="false">
      <c r="A73" s="462" t="str">
        <f aca="false">'Plant loading'!B39</f>
        <v>BMGMTX-DCSYS01</v>
      </c>
      <c r="B73" s="463" t="str">
        <f aca="false">'Plant loading'!C39</f>
        <v>HDR48-ES</v>
      </c>
      <c r="C73" s="464" t="n">
        <f aca="false">('Plant loading'!E39)*(54.5/1000)</f>
        <v>36.1335</v>
      </c>
      <c r="D73" s="465" t="n">
        <f aca="false">('Plant loading'!N39+'Plant loading'!Q39)*(54.5/1000)</f>
        <v>5.70615</v>
      </c>
      <c r="E73" s="466" t="n">
        <f aca="false">'Plant loading'!H39</f>
        <v>44</v>
      </c>
      <c r="F73" s="467" t="n">
        <f aca="false">'Plant loading'!I39</f>
        <v>3</v>
      </c>
      <c r="G73" s="467" t="n">
        <f aca="false">'Plant loading'!L39</f>
        <v>63</v>
      </c>
      <c r="H73" s="468" t="n">
        <f aca="false">'Plant loading'!J39</f>
        <v>132</v>
      </c>
    </row>
    <row r="74" customFormat="false" ht="10.15" hidden="false" customHeight="false" outlineLevel="0" collapsed="false">
      <c r="A74" s="469" t="str">
        <f aca="false">'Plant loading'!B40</f>
        <v>BMGMTX-DCSYS02</v>
      </c>
      <c r="B74" s="470" t="str">
        <f aca="false">'Plant loading'!C40</f>
        <v>HDR48-ES</v>
      </c>
      <c r="C74" s="471" t="n">
        <f aca="false">('Plant loading'!E40)*(54.5/1000)</f>
        <v>38.368</v>
      </c>
      <c r="D74" s="472" t="n">
        <f aca="false">('Plant loading'!N40+'Plant loading'!Q40)*(54.5/1000)</f>
        <v>4.88865</v>
      </c>
      <c r="E74" s="473" t="n">
        <f aca="false">'Plant loading'!H40</f>
        <v>44</v>
      </c>
      <c r="F74" s="474" t="n">
        <f aca="false">'Plant loading'!I40</f>
        <v>3</v>
      </c>
      <c r="G74" s="474" t="n">
        <f aca="false">'Plant loading'!L40</f>
        <v>63</v>
      </c>
      <c r="H74" s="475" t="n">
        <f aca="false">'Plant loading'!J40</f>
        <v>132</v>
      </c>
    </row>
    <row r="75" customFormat="false" ht="10.15" hidden="false" customHeight="false" outlineLevel="0" collapsed="false">
      <c r="A75" s="469" t="str">
        <f aca="false">'Plant loading'!B41</f>
        <v>BMGMTX-DCSYS03</v>
      </c>
      <c r="B75" s="470" t="str">
        <f aca="false">'Plant loading'!C41</f>
        <v>HDR48-ES</v>
      </c>
      <c r="C75" s="471" t="n">
        <f aca="false">('Plant loading'!E41)*(54.5/1000)</f>
        <v>40.9295</v>
      </c>
      <c r="D75" s="472" t="n">
        <f aca="false">('Plant loading'!N41+'Plant loading'!Q41)*(54.5/1000)</f>
        <v>9.03065</v>
      </c>
      <c r="E75" s="473" t="n">
        <f aca="false">'Plant loading'!H41</f>
        <v>44</v>
      </c>
      <c r="F75" s="474" t="n">
        <f aca="false">'Plant loading'!I41</f>
        <v>3</v>
      </c>
      <c r="G75" s="474" t="n">
        <f aca="false">'Plant loading'!L41</f>
        <v>63</v>
      </c>
      <c r="H75" s="475" t="n">
        <f aca="false">'Plant loading'!J41</f>
        <v>132</v>
      </c>
    </row>
    <row r="76" customFormat="false" ht="10.15" hidden="false" customHeight="false" outlineLevel="0" collapsed="false">
      <c r="A76" s="469" t="str">
        <f aca="false">'Plant loading'!B42</f>
        <v>BMGMTX-DCSYS04</v>
      </c>
      <c r="B76" s="470" t="str">
        <f aca="false">'Plant loading'!C42</f>
        <v>HDR48-ES</v>
      </c>
      <c r="C76" s="471" t="n">
        <f aca="false">('Plant loading'!E42)*(54.5/1000)</f>
        <v>40.33</v>
      </c>
      <c r="D76" s="472" t="n">
        <f aca="false">('Plant loading'!N42+'Plant loading'!Q42)*(54.5/1000)</f>
        <v>9.46665</v>
      </c>
      <c r="E76" s="473" t="n">
        <f aca="false">'Plant loading'!H42</f>
        <v>44</v>
      </c>
      <c r="F76" s="474" t="n">
        <f aca="false">'Plant loading'!I42</f>
        <v>3</v>
      </c>
      <c r="G76" s="474" t="n">
        <f aca="false">'Plant loading'!L42</f>
        <v>63</v>
      </c>
      <c r="H76" s="475" t="n">
        <f aca="false">'Plant loading'!J42</f>
        <v>132</v>
      </c>
    </row>
    <row r="77" customFormat="false" ht="10.15" hidden="false" customHeight="false" outlineLevel="0" collapsed="false">
      <c r="A77" s="469" t="str">
        <f aca="false">'Plant loading'!B43</f>
        <v>BMGMTX-DCSYS05</v>
      </c>
      <c r="B77" s="470" t="str">
        <f aca="false">'Plant loading'!C43</f>
        <v>HDR48-ES</v>
      </c>
      <c r="C77" s="471" t="n">
        <f aca="false">('Plant loading'!E43)*(54.5/1000)</f>
        <v>42.183</v>
      </c>
      <c r="D77" s="472" t="n">
        <f aca="false">('Plant loading'!N43+'Plant loading'!Q43)*(54.5/1000)</f>
        <v>7.45015</v>
      </c>
      <c r="E77" s="473" t="n">
        <f aca="false">'Plant loading'!H43</f>
        <v>44</v>
      </c>
      <c r="F77" s="474" t="n">
        <f aca="false">'Plant loading'!I43</f>
        <v>3</v>
      </c>
      <c r="G77" s="474" t="n">
        <f aca="false">'Plant loading'!L43</f>
        <v>63</v>
      </c>
      <c r="H77" s="475" t="n">
        <f aca="false">'Plant loading'!J43</f>
        <v>132</v>
      </c>
    </row>
    <row r="78" customFormat="false" ht="10.15" hidden="false" customHeight="false" outlineLevel="0" collapsed="false">
      <c r="A78" s="469" t="str">
        <f aca="false">'Plant loading'!B44</f>
        <v>BMGMTX-DCSYS06</v>
      </c>
      <c r="B78" s="470" t="str">
        <f aca="false">'Plant loading'!C44</f>
        <v>HDR48-ES</v>
      </c>
      <c r="C78" s="471" t="n">
        <f aca="false">('Plant loading'!E44)*(54.5/1000)</f>
        <v>43.055</v>
      </c>
      <c r="D78" s="472" t="n">
        <f aca="false">('Plant loading'!N44+'Plant loading'!Q44)*(54.5/1000)</f>
        <v>11.97365</v>
      </c>
      <c r="E78" s="473" t="n">
        <f aca="false">'Plant loading'!H44</f>
        <v>44</v>
      </c>
      <c r="F78" s="474" t="n">
        <f aca="false">'Plant loading'!I44</f>
        <v>3</v>
      </c>
      <c r="G78" s="474" t="n">
        <f aca="false">'Plant loading'!L44</f>
        <v>63</v>
      </c>
      <c r="H78" s="475" t="n">
        <f aca="false">'Plant loading'!J44</f>
        <v>132</v>
      </c>
    </row>
    <row r="79" customFormat="false" ht="10.15" hidden="false" customHeight="false" outlineLevel="0" collapsed="false">
      <c r="A79" s="469" t="str">
        <f aca="false">'Plant loading'!B45</f>
        <v>BMGMTX-DCSYS07a</v>
      </c>
      <c r="B79" s="470" t="str">
        <f aca="false">'Plant loading'!C45</f>
        <v>NPR48-ES</v>
      </c>
      <c r="C79" s="471" t="n">
        <f aca="false">('Plant loading'!E45)*(54.5/1000)</f>
        <v>20.7645</v>
      </c>
      <c r="D79" s="472" t="n">
        <f aca="false">('Plant loading'!N45+'Plant loading'!Q45)*(54.5/1000)</f>
        <v>15.2055</v>
      </c>
      <c r="E79" s="473" t="n">
        <f aca="false">'Plant loading'!H45</f>
        <v>29</v>
      </c>
      <c r="F79" s="474" t="n">
        <f aca="false">'Plant loading'!I45</f>
        <v>3</v>
      </c>
      <c r="G79" s="474" t="n">
        <f aca="false">'Plant loading'!L45</f>
        <v>42</v>
      </c>
      <c r="H79" s="475" t="n">
        <f aca="false">'Plant loading'!J45</f>
        <v>87</v>
      </c>
    </row>
    <row r="80" customFormat="false" ht="10.15" hidden="false" customHeight="false" outlineLevel="0" collapsed="false">
      <c r="A80" s="476" t="str">
        <f aca="false">'Plant loading'!B46</f>
        <v>BMGMTX-DCSYS07b</v>
      </c>
      <c r="B80" s="477" t="str">
        <f aca="false">'Plant loading'!C46</f>
        <v>NPR48-ES</v>
      </c>
      <c r="C80" s="478" t="n">
        <f aca="false">('Plant loading'!E46)*(54.5/1000)</f>
        <v>20.819</v>
      </c>
      <c r="D80" s="479" t="n">
        <f aca="false">('Plant loading'!N46+'Plant loading'!Q46)*(54.5/1000)</f>
        <v>15.2055</v>
      </c>
      <c r="E80" s="480" t="n">
        <f aca="false">'Plant loading'!H46</f>
        <v>29</v>
      </c>
      <c r="F80" s="481" t="n">
        <f aca="false">'Plant loading'!I46</f>
        <v>3</v>
      </c>
      <c r="G80" s="481" t="n">
        <f aca="false">'Plant loading'!L46</f>
        <v>42</v>
      </c>
      <c r="H80" s="482" t="n">
        <f aca="false">'Plant loading'!J46</f>
        <v>87</v>
      </c>
    </row>
    <row r="81" customFormat="false" ht="10.15" hidden="false" customHeight="false" outlineLevel="0" collapsed="false">
      <c r="A81" s="469" t="str">
        <f aca="false">'Plant loading'!B47</f>
        <v>PEAKS</v>
      </c>
      <c r="B81" s="470" t="str">
        <f aca="false">'Plant loading'!C47</f>
        <v>eSure</v>
      </c>
      <c r="C81" s="471" t="n">
        <f aca="false">('Plant loading'!E47)*(54.5/1000)</f>
        <v>13.0255</v>
      </c>
      <c r="D81" s="472" t="n">
        <f aca="false">('Plant loading'!N47+'Plant loading'!Q47)*(54.5/1000)</f>
        <v>0</v>
      </c>
      <c r="E81" s="473" t="n">
        <f aca="false">'Plant loading'!H47</f>
        <v>24</v>
      </c>
      <c r="F81" s="474" t="n">
        <f aca="false">'Plant loading'!I47</f>
        <v>3.5</v>
      </c>
      <c r="G81" s="474" t="n">
        <f aca="false">'Plant loading'!L47</f>
        <v>42</v>
      </c>
      <c r="H81" s="475" t="n">
        <f aca="false">'Plant loading'!J47</f>
        <v>84</v>
      </c>
    </row>
    <row r="82" customFormat="false" ht="10.15" hidden="false" customHeight="false" outlineLevel="0" collapsed="false">
      <c r="A82" s="469" t="str">
        <f aca="false">'Plant loading'!B48</f>
        <v>PEBKS</v>
      </c>
      <c r="B82" s="470" t="str">
        <f aca="false">'Plant loading'!C48</f>
        <v>eSure</v>
      </c>
      <c r="C82" s="471" t="n">
        <f aca="false">('Plant loading'!E48)*(54.5/1000)</f>
        <v>18.0395</v>
      </c>
      <c r="D82" s="472" t="n">
        <f aca="false">('Plant loading'!N48+'Plant loading'!Q48)*(54.5/1000)</f>
        <v>0</v>
      </c>
      <c r="E82" s="473" t="n">
        <f aca="false">'Plant loading'!H48</f>
        <v>30</v>
      </c>
      <c r="F82" s="474" t="n">
        <f aca="false">'Plant loading'!I48</f>
        <v>3.5</v>
      </c>
      <c r="G82" s="474" t="n">
        <f aca="false">'Plant loading'!L48</f>
        <v>52</v>
      </c>
      <c r="H82" s="475" t="n">
        <f aca="false">'Plant loading'!J48</f>
        <v>105</v>
      </c>
    </row>
    <row r="83" customFormat="false" ht="10.15" hidden="false" customHeight="false" outlineLevel="0" collapsed="false">
      <c r="A83" s="469" t="str">
        <f aca="false">'Plant loading'!B49</f>
        <v>PEEKS</v>
      </c>
      <c r="B83" s="470" t="str">
        <f aca="false">'Plant loading'!C49</f>
        <v>eSure</v>
      </c>
      <c r="C83" s="471" t="n">
        <f aca="false">('Plant loading'!E49)*(54.5/1000)</f>
        <v>5.45</v>
      </c>
      <c r="D83" s="472" t="n">
        <f aca="false">('Plant loading'!N49+'Plant loading'!Q49)*(54.5/1000)</f>
        <v>0</v>
      </c>
      <c r="E83" s="473" t="n">
        <f aca="false">'Plant loading'!H49</f>
        <v>12</v>
      </c>
      <c r="F83" s="474" t="n">
        <f aca="false">'Plant loading'!I49</f>
        <v>3.5</v>
      </c>
      <c r="G83" s="474" t="n">
        <f aca="false">'Plant loading'!L49</f>
        <v>21</v>
      </c>
      <c r="H83" s="475" t="n">
        <f aca="false">'Plant loading'!J49</f>
        <v>42</v>
      </c>
    </row>
    <row r="84" customFormat="false" ht="10.15" hidden="false" customHeight="false" outlineLevel="0" collapsed="false">
      <c r="A84" s="469" t="str">
        <f aca="false">'Plant loading'!B50</f>
        <v>PEIKS</v>
      </c>
      <c r="B84" s="470" t="str">
        <f aca="false">'Plant loading'!C50</f>
        <v>eSure</v>
      </c>
      <c r="C84" s="471" t="n">
        <f aca="false">('Plant loading'!E50)*(54.5/1000)</f>
        <v>26.4325</v>
      </c>
      <c r="D84" s="472" t="n">
        <f aca="false">('Plant loading'!N50+'Plant loading'!Q50)*(54.5/1000)</f>
        <v>0</v>
      </c>
      <c r="E84" s="473" t="n">
        <f aca="false">'Plant loading'!H50</f>
        <v>36</v>
      </c>
      <c r="F84" s="474" t="n">
        <f aca="false">'Plant loading'!I50</f>
        <v>3.5</v>
      </c>
      <c r="G84" s="474" t="n">
        <f aca="false">'Plant loading'!L50</f>
        <v>63</v>
      </c>
      <c r="H84" s="475" t="n">
        <f aca="false">'Plant loading'!J50</f>
        <v>126</v>
      </c>
    </row>
    <row r="85" customFormat="false" ht="10.15" hidden="false" customHeight="false" outlineLevel="0" collapsed="false">
      <c r="A85" s="469" t="str">
        <f aca="false">'Plant loading'!B51</f>
        <v>PEJKS</v>
      </c>
      <c r="B85" s="470" t="str">
        <f aca="false">'Plant loading'!C51</f>
        <v>eSure</v>
      </c>
      <c r="C85" s="471" t="n">
        <f aca="false">('Plant loading'!E51)*(54.5/1000)</f>
        <v>12.971</v>
      </c>
      <c r="D85" s="472" t="n">
        <f aca="false">('Plant loading'!N51+'Plant loading'!Q51)*(54.5/1000)</f>
        <v>0</v>
      </c>
      <c r="E85" s="473" t="n">
        <f aca="false">'Plant loading'!H51</f>
        <v>36</v>
      </c>
      <c r="F85" s="474" t="n">
        <f aca="false">'Plant loading'!I51</f>
        <v>3.5</v>
      </c>
      <c r="G85" s="474" t="n">
        <f aca="false">'Plant loading'!L51</f>
        <v>63</v>
      </c>
      <c r="H85" s="475" t="n">
        <f aca="false">'Plant loading'!J51</f>
        <v>126</v>
      </c>
    </row>
    <row r="86" customFormat="false" ht="10.15" hidden="false" customHeight="false" outlineLevel="0" collapsed="false">
      <c r="A86" s="469" t="str">
        <f aca="false">'Plant loading'!B52</f>
        <v>PEKKS</v>
      </c>
      <c r="B86" s="470" t="str">
        <f aca="false">'Plant loading'!C52</f>
        <v>eSure</v>
      </c>
      <c r="C86" s="471" t="n">
        <f aca="false">('Plant loading'!E52)*(54.5/1000)</f>
        <v>23.326</v>
      </c>
      <c r="D86" s="472" t="n">
        <f aca="false">('Plant loading'!N52+'Plant loading'!Q52)*(54.5/1000)</f>
        <v>0</v>
      </c>
      <c r="E86" s="473" t="n">
        <f aca="false">'Plant loading'!H52</f>
        <v>30</v>
      </c>
      <c r="F86" s="474" t="n">
        <f aca="false">'Plant loading'!I52</f>
        <v>3.5</v>
      </c>
      <c r="G86" s="474" t="n">
        <f aca="false">'Plant loading'!L52</f>
        <v>52</v>
      </c>
      <c r="H86" s="475" t="n">
        <f aca="false">'Plant loading'!J52</f>
        <v>105</v>
      </c>
    </row>
    <row r="87" customFormat="false" ht="10.15" hidden="false" customHeight="false" outlineLevel="0" collapsed="false">
      <c r="A87" s="469" t="str">
        <f aca="false">'Plant loading'!B53</f>
        <v>PELKS</v>
      </c>
      <c r="B87" s="470" t="str">
        <f aca="false">'Plant loading'!C53</f>
        <v>eSure</v>
      </c>
      <c r="C87" s="471" t="n">
        <f aca="false">('Plant loading'!E53)*(54.5/1000)</f>
        <v>8.4475</v>
      </c>
      <c r="D87" s="472" t="n">
        <f aca="false">('Plant loading'!N53+'Plant loading'!Q53)*(54.5/1000)</f>
        <v>0</v>
      </c>
      <c r="E87" s="473" t="n">
        <f aca="false">'Plant loading'!H53</f>
        <v>24</v>
      </c>
      <c r="F87" s="474" t="n">
        <f aca="false">'Plant loading'!I53</f>
        <v>3.5</v>
      </c>
      <c r="G87" s="474" t="n">
        <f aca="false">'Plant loading'!L53</f>
        <v>42</v>
      </c>
      <c r="H87" s="475" t="n">
        <f aca="false">'Plant loading'!J53</f>
        <v>84</v>
      </c>
    </row>
    <row r="88" customFormat="false" ht="10.15" hidden="false" customHeight="false" outlineLevel="0" collapsed="false">
      <c r="A88" s="469" t="str">
        <f aca="false">'Plant loading'!B54</f>
        <v>PEMKS</v>
      </c>
      <c r="B88" s="470" t="str">
        <f aca="false">'Plant loading'!C54</f>
        <v>eSure</v>
      </c>
      <c r="C88" s="471" t="n">
        <f aca="false">('Plant loading'!E54)*(54.5/1000)</f>
        <v>7.4665</v>
      </c>
      <c r="D88" s="472" t="n">
        <f aca="false">('Plant loading'!N54+'Plant loading'!Q54)*(54.5/1000)</f>
        <v>0</v>
      </c>
      <c r="E88" s="473" t="n">
        <f aca="false">'Plant loading'!H54</f>
        <v>24</v>
      </c>
      <c r="F88" s="474" t="n">
        <f aca="false">'Plant loading'!I54</f>
        <v>3.5</v>
      </c>
      <c r="G88" s="474" t="n">
        <f aca="false">'Plant loading'!L54</f>
        <v>42</v>
      </c>
      <c r="H88" s="475" t="n">
        <f aca="false">'Plant loading'!J54</f>
        <v>84</v>
      </c>
    </row>
    <row r="89" customFormat="false" ht="10.9" hidden="false" customHeight="false" outlineLevel="0" collapsed="false">
      <c r="A89" s="476" t="str">
        <f aca="false">'Plant loading'!B55</f>
        <v>PENKS</v>
      </c>
      <c r="B89" s="477" t="str">
        <f aca="false">'Plant loading'!C55</f>
        <v>eSure</v>
      </c>
      <c r="C89" s="478" t="n">
        <f aca="false">('Plant loading'!E55)*(54.5/1000)</f>
        <v>5.5045</v>
      </c>
      <c r="D89" s="479" t="n">
        <f aca="false">('Plant loading'!N55+'Plant loading'!Q55)*(54.5/1000)</f>
        <v>0</v>
      </c>
      <c r="E89" s="480" t="n">
        <f aca="false">'Plant loading'!H55</f>
        <v>12</v>
      </c>
      <c r="F89" s="481" t="n">
        <f aca="false">'Plant loading'!I55</f>
        <v>3.5</v>
      </c>
      <c r="G89" s="481" t="n">
        <f aca="false">'Plant loading'!L55</f>
        <v>21</v>
      </c>
      <c r="H89" s="482" t="n">
        <f aca="false">'Plant loading'!J55</f>
        <v>42</v>
      </c>
    </row>
    <row r="90" customFormat="false" ht="10.15" hidden="false" customHeight="false" outlineLevel="0" collapsed="false">
      <c r="A90" s="462" t="str">
        <f aca="false">'Plant loading'!B56</f>
        <v>LLDMTX-DCSYS01</v>
      </c>
      <c r="B90" s="463" t="str">
        <f aca="false">'Plant loading'!C56</f>
        <v>HDR48-ES</v>
      </c>
      <c r="C90" s="464" t="n">
        <f aca="false">('Plant loading'!E56)*(54.5/1000)</f>
        <v>47.0335</v>
      </c>
      <c r="D90" s="465" t="n">
        <f aca="false">('Plant loading'!N56+'Plant loading'!Q56)*(54.5/1000)</f>
        <v>5.2429</v>
      </c>
      <c r="E90" s="466" t="n">
        <f aca="false">'Plant loading'!H56</f>
        <v>44</v>
      </c>
      <c r="F90" s="467" t="n">
        <f aca="false">'Plant loading'!I56</f>
        <v>3</v>
      </c>
      <c r="G90" s="467" t="n">
        <f aca="false">'Plant loading'!L56</f>
        <v>63</v>
      </c>
      <c r="H90" s="468" t="n">
        <f aca="false">'Plant loading'!J56</f>
        <v>132</v>
      </c>
    </row>
    <row r="91" customFormat="false" ht="10.15" hidden="false" customHeight="false" outlineLevel="0" collapsed="false">
      <c r="A91" s="469" t="str">
        <f aca="false">'Plant loading'!B57</f>
        <v>LLDMTX-DCSYS02</v>
      </c>
      <c r="B91" s="470" t="str">
        <f aca="false">'Plant loading'!C57</f>
        <v>HDR48-ES</v>
      </c>
      <c r="C91" s="471" t="n">
        <f aca="false">('Plant loading'!E57)*(54.5/1000)</f>
        <v>42.728</v>
      </c>
      <c r="D91" s="472" t="n">
        <f aca="false">('Plant loading'!N57+'Plant loading'!Q57)*(54.5/1000)</f>
        <v>6.3874</v>
      </c>
      <c r="E91" s="473" t="n">
        <f aca="false">'Plant loading'!H57</f>
        <v>44</v>
      </c>
      <c r="F91" s="474" t="n">
        <f aca="false">'Plant loading'!I57</f>
        <v>3</v>
      </c>
      <c r="G91" s="474" t="n">
        <f aca="false">'Plant loading'!L57</f>
        <v>63</v>
      </c>
      <c r="H91" s="475" t="n">
        <f aca="false">'Plant loading'!J57</f>
        <v>132</v>
      </c>
    </row>
    <row r="92" customFormat="false" ht="10.15" hidden="false" customHeight="false" outlineLevel="0" collapsed="false">
      <c r="A92" s="469" t="str">
        <f aca="false">'Plant loading'!B58</f>
        <v>LLDMTX-DCSYS03</v>
      </c>
      <c r="B92" s="470" t="str">
        <f aca="false">'Plant loading'!C58</f>
        <v>HDR48-ES</v>
      </c>
      <c r="C92" s="471" t="n">
        <f aca="false">('Plant loading'!E58)*(54.5/1000)</f>
        <v>51.3935</v>
      </c>
      <c r="D92" s="472" t="n">
        <f aca="false">('Plant loading'!N58+'Plant loading'!Q58)*(54.5/1000)</f>
        <v>5.3519</v>
      </c>
      <c r="E92" s="473" t="n">
        <f aca="false">'Plant loading'!H58</f>
        <v>44</v>
      </c>
      <c r="F92" s="474" t="n">
        <f aca="false">'Plant loading'!I58</f>
        <v>3</v>
      </c>
      <c r="G92" s="474" t="n">
        <f aca="false">'Plant loading'!L58</f>
        <v>63</v>
      </c>
      <c r="H92" s="475" t="n">
        <f aca="false">'Plant loading'!J58</f>
        <v>132</v>
      </c>
    </row>
    <row r="93" customFormat="false" ht="10.15" hidden="false" customHeight="false" outlineLevel="0" collapsed="false">
      <c r="A93" s="469" t="str">
        <f aca="false">'Plant loading'!B59</f>
        <v>LLDMTX-DCSYS04</v>
      </c>
      <c r="B93" s="470" t="str">
        <f aca="false">'Plant loading'!C59</f>
        <v>HDR48-ES</v>
      </c>
      <c r="C93" s="471" t="n">
        <f aca="false">('Plant loading'!E59)*(54.5/1000)</f>
        <v>46.5975</v>
      </c>
      <c r="D93" s="472" t="n">
        <f aca="false">('Plant loading'!N59+'Plant loading'!Q59)*(54.5/1000)</f>
        <v>3.7714</v>
      </c>
      <c r="E93" s="473" t="n">
        <f aca="false">'Plant loading'!H59</f>
        <v>44</v>
      </c>
      <c r="F93" s="474" t="n">
        <f aca="false">'Plant loading'!I59</f>
        <v>3</v>
      </c>
      <c r="G93" s="474" t="n">
        <f aca="false">'Plant loading'!L59</f>
        <v>63</v>
      </c>
      <c r="H93" s="475" t="n">
        <f aca="false">'Plant loading'!J59</f>
        <v>132</v>
      </c>
    </row>
    <row r="94" customFormat="false" ht="10.15" hidden="false" customHeight="false" outlineLevel="0" collapsed="false">
      <c r="A94" s="469" t="str">
        <f aca="false">'Plant loading'!B60</f>
        <v>LLDMTX-DCSYS05</v>
      </c>
      <c r="B94" s="470" t="str">
        <f aca="false">'Plant loading'!C60</f>
        <v>HDR48-ES</v>
      </c>
      <c r="C94" s="471" t="n">
        <f aca="false">('Plant loading'!E60)*(54.5/1000)</f>
        <v>49.9765</v>
      </c>
      <c r="D94" s="472" t="n">
        <f aca="false">('Plant loading'!N60+'Plant loading'!Q60)*(54.5/1000)</f>
        <v>4.4799</v>
      </c>
      <c r="E94" s="473" t="n">
        <f aca="false">'Plant loading'!H60</f>
        <v>44</v>
      </c>
      <c r="F94" s="474" t="n">
        <f aca="false">'Plant loading'!I60</f>
        <v>3</v>
      </c>
      <c r="G94" s="474" t="n">
        <f aca="false">'Plant loading'!L60</f>
        <v>63</v>
      </c>
      <c r="H94" s="475" t="n">
        <f aca="false">'Plant loading'!J60</f>
        <v>132</v>
      </c>
    </row>
    <row r="95" customFormat="false" ht="10.15" hidden="false" customHeight="false" outlineLevel="0" collapsed="false">
      <c r="A95" s="469" t="str">
        <f aca="false">'Plant loading'!B61</f>
        <v>LLDMTX-DCSYS06</v>
      </c>
      <c r="B95" s="470" t="str">
        <f aca="false">'Plant loading'!C61</f>
        <v>HDR48-ES</v>
      </c>
      <c r="C95" s="471" t="n">
        <f aca="false">('Plant loading'!E61)*(54.5/1000)</f>
        <v>48.505</v>
      </c>
      <c r="D95" s="472" t="n">
        <f aca="false">('Plant loading'!N61+'Plant loading'!Q61)*(54.5/1000)</f>
        <v>3.8804</v>
      </c>
      <c r="E95" s="473" t="n">
        <f aca="false">'Plant loading'!H61</f>
        <v>44</v>
      </c>
      <c r="F95" s="474" t="n">
        <f aca="false">'Plant loading'!I61</f>
        <v>3</v>
      </c>
      <c r="G95" s="474" t="n">
        <f aca="false">'Plant loading'!L61</f>
        <v>63</v>
      </c>
      <c r="H95" s="475" t="n">
        <f aca="false">'Plant loading'!J61</f>
        <v>132</v>
      </c>
    </row>
    <row r="96" customFormat="false" ht="10.15" hidden="false" customHeight="false" outlineLevel="0" collapsed="false">
      <c r="A96" s="469" t="str">
        <f aca="false">'Plant loading'!B62</f>
        <v>LLDMTX-DCSYS07a</v>
      </c>
      <c r="B96" s="470" t="str">
        <f aca="false">'Plant loading'!C62</f>
        <v>NPR48-ES</v>
      </c>
      <c r="C96" s="471" t="n">
        <f aca="false">('Plant loading'!E62)*(54.5/1000)</f>
        <v>21.9635</v>
      </c>
      <c r="D96" s="472" t="n">
        <f aca="false">('Plant loading'!N62+'Plant loading'!Q62)*(54.5/1000)</f>
        <v>16.467175</v>
      </c>
      <c r="E96" s="473" t="n">
        <f aca="false">'Plant loading'!H62</f>
        <v>35</v>
      </c>
      <c r="F96" s="474" t="n">
        <f aca="false">'Plant loading'!I62</f>
        <v>3</v>
      </c>
      <c r="G96" s="474" t="n">
        <f aca="false">'Plant loading'!L62</f>
        <v>51</v>
      </c>
      <c r="H96" s="475" t="n">
        <f aca="false">'Plant loading'!J62</f>
        <v>105</v>
      </c>
    </row>
    <row r="97" customFormat="false" ht="10.9" hidden="false" customHeight="false" outlineLevel="0" collapsed="false">
      <c r="A97" s="469" t="str">
        <f aca="false">'Plant loading'!B63</f>
        <v>LLDMTX-DCSYS07b</v>
      </c>
      <c r="B97" s="470" t="str">
        <f aca="false">'Plant loading'!C63</f>
        <v>NPR48-ES</v>
      </c>
      <c r="C97" s="471" t="n">
        <f aca="false">('Plant loading'!E63)*(54.5/1000)</f>
        <v>22.127</v>
      </c>
      <c r="D97" s="472" t="n">
        <f aca="false">('Plant loading'!N63+'Plant loading'!Q63)*(54.5/1000)</f>
        <v>16.412675</v>
      </c>
      <c r="E97" s="473" t="n">
        <f aca="false">'Plant loading'!H63</f>
        <v>35</v>
      </c>
      <c r="F97" s="474" t="n">
        <f aca="false">'Plant loading'!I63</f>
        <v>3</v>
      </c>
      <c r="G97" s="474" t="n">
        <f aca="false">'Plant loading'!L63</f>
        <v>51</v>
      </c>
      <c r="H97" s="475" t="n">
        <f aca="false">'Plant loading'!J63</f>
        <v>105</v>
      </c>
    </row>
    <row r="98" customFormat="false" ht="10.15" hidden="false" customHeight="false" outlineLevel="0" collapsed="false">
      <c r="A98" s="462" t="str">
        <f aca="false">'Plant loading'!B64</f>
        <v>PEAMS</v>
      </c>
      <c r="B98" s="463" t="str">
        <f aca="false">'Plant loading'!C64</f>
        <v>eSure</v>
      </c>
      <c r="C98" s="464" t="n">
        <f aca="false">('Plant loading'!E64)*(54.5/1000)</f>
        <v>60.4405</v>
      </c>
      <c r="D98" s="465" t="n">
        <f aca="false">('Plant loading'!N64+'Plant loading'!Q64)*(54.5/1000)</f>
        <v>12.172575</v>
      </c>
      <c r="E98" s="466" t="n">
        <f aca="false">'Plant loading'!H64</f>
        <v>42</v>
      </c>
      <c r="F98" s="467" t="n">
        <f aca="false">'Plant loading'!I64</f>
        <v>3.5</v>
      </c>
      <c r="G98" s="467" t="n">
        <f aca="false">'Plant loading'!L64</f>
        <v>73</v>
      </c>
      <c r="H98" s="468" t="n">
        <f aca="false">'Plant loading'!J64</f>
        <v>147</v>
      </c>
    </row>
    <row r="99" customFormat="false" ht="10.15" hidden="false" customHeight="false" outlineLevel="0" collapsed="false">
      <c r="A99" s="469" t="str">
        <f aca="false">'Plant loading'!B65</f>
        <v>PEBMS</v>
      </c>
      <c r="B99" s="470" t="str">
        <f aca="false">'Plant loading'!C65</f>
        <v>eSure</v>
      </c>
      <c r="C99" s="471" t="n">
        <f aca="false">('Plant loading'!E65)*(54.5/1000)</f>
        <v>55.9715</v>
      </c>
      <c r="D99" s="472" t="n">
        <f aca="false">('Plant loading'!N65+'Plant loading'!Q65)*(54.5/1000)</f>
        <v>11.30112</v>
      </c>
      <c r="E99" s="473" t="n">
        <f aca="false">'Plant loading'!H65</f>
        <v>42</v>
      </c>
      <c r="F99" s="474" t="n">
        <f aca="false">'Plant loading'!I65</f>
        <v>3.5</v>
      </c>
      <c r="G99" s="474" t="n">
        <f aca="false">'Plant loading'!L65</f>
        <v>73</v>
      </c>
      <c r="H99" s="475" t="n">
        <f aca="false">'Plant loading'!J65</f>
        <v>147</v>
      </c>
    </row>
    <row r="100" customFormat="false" ht="10.15" hidden="false" customHeight="false" outlineLevel="0" collapsed="false">
      <c r="A100" s="469" t="str">
        <f aca="false">'Plant loading'!B66</f>
        <v>PECMS</v>
      </c>
      <c r="B100" s="470" t="str">
        <f aca="false">'Plant loading'!C66</f>
        <v>eSure</v>
      </c>
      <c r="C100" s="471" t="n">
        <f aca="false">('Plant loading'!E66)*(54.5/1000)</f>
        <v>58.969</v>
      </c>
      <c r="D100" s="472" t="n">
        <f aca="false">('Plant loading'!N66+'Plant loading'!Q66)*(54.5/1000)</f>
        <v>13.1999</v>
      </c>
      <c r="E100" s="473" t="n">
        <f aca="false">'Plant loading'!H66</f>
        <v>42</v>
      </c>
      <c r="F100" s="474" t="n">
        <f aca="false">'Plant loading'!I66</f>
        <v>3.5</v>
      </c>
      <c r="G100" s="474" t="n">
        <f aca="false">'Plant loading'!L66</f>
        <v>73</v>
      </c>
      <c r="H100" s="475" t="n">
        <f aca="false">'Plant loading'!J66</f>
        <v>147</v>
      </c>
    </row>
    <row r="101" customFormat="false" ht="10.15" hidden="false" customHeight="false" outlineLevel="0" collapsed="false">
      <c r="A101" s="469" t="str">
        <f aca="false">'Plant loading'!B67</f>
        <v>PEDMS</v>
      </c>
      <c r="B101" s="470" t="str">
        <f aca="false">'Plant loading'!C67</f>
        <v>eSure</v>
      </c>
      <c r="C101" s="471" t="n">
        <f aca="false">('Plant loading'!E67)*(54.5/1000)</f>
        <v>61.7485</v>
      </c>
      <c r="D101" s="472" t="n">
        <f aca="false">('Plant loading'!N67+'Plant loading'!Q67)*(54.5/1000)</f>
        <v>11.3469</v>
      </c>
      <c r="E101" s="473" t="n">
        <f aca="false">'Plant loading'!H67</f>
        <v>42</v>
      </c>
      <c r="F101" s="474" t="n">
        <f aca="false">'Plant loading'!I67</f>
        <v>3.5</v>
      </c>
      <c r="G101" s="474" t="n">
        <f aca="false">'Plant loading'!L67</f>
        <v>73</v>
      </c>
      <c r="H101" s="475" t="n">
        <f aca="false">'Plant loading'!J67</f>
        <v>147</v>
      </c>
    </row>
    <row r="102" customFormat="false" ht="10.15" hidden="false" customHeight="false" outlineLevel="0" collapsed="false">
      <c r="A102" s="469" t="str">
        <f aca="false">'Plant loading'!B68</f>
        <v>PEEMS</v>
      </c>
      <c r="B102" s="470" t="str">
        <f aca="false">'Plant loading'!C68</f>
        <v>eSure</v>
      </c>
      <c r="C102" s="471" t="n">
        <f aca="false">('Plant loading'!E68)*(54.5/1000)</f>
        <v>58.2605</v>
      </c>
      <c r="D102" s="472" t="n">
        <f aca="false">('Plant loading'!N68+'Plant loading'!Q68)*(54.5/1000)</f>
        <v>5.7334</v>
      </c>
      <c r="E102" s="473" t="n">
        <f aca="false">'Plant loading'!H68</f>
        <v>42</v>
      </c>
      <c r="F102" s="474" t="n">
        <f aca="false">'Plant loading'!I68</f>
        <v>3.5</v>
      </c>
      <c r="G102" s="474" t="n">
        <f aca="false">'Plant loading'!L68</f>
        <v>73</v>
      </c>
      <c r="H102" s="475" t="n">
        <f aca="false">'Plant loading'!J68</f>
        <v>147</v>
      </c>
    </row>
    <row r="103" customFormat="false" ht="10.15" hidden="false" customHeight="false" outlineLevel="0" collapsed="false">
      <c r="A103" s="469" t="str">
        <f aca="false">'Plant loading'!B69</f>
        <v>PEFMS</v>
      </c>
      <c r="B103" s="470" t="str">
        <f aca="false">'Plant loading'!C69</f>
        <v>eSure</v>
      </c>
      <c r="C103" s="471" t="n">
        <f aca="false">('Plant loading'!E69)*(54.5/1000)</f>
        <v>57.3885</v>
      </c>
      <c r="D103" s="472" t="n">
        <f aca="false">('Plant loading'!N69+'Plant loading'!Q69)*(54.5/1000)</f>
        <v>6.0059</v>
      </c>
      <c r="E103" s="473" t="n">
        <f aca="false">'Plant loading'!H69</f>
        <v>42</v>
      </c>
      <c r="F103" s="474" t="n">
        <f aca="false">'Plant loading'!I69</f>
        <v>3.5</v>
      </c>
      <c r="G103" s="474" t="n">
        <f aca="false">'Plant loading'!L69</f>
        <v>73</v>
      </c>
      <c r="H103" s="475" t="n">
        <f aca="false">'Plant loading'!J69</f>
        <v>147</v>
      </c>
    </row>
    <row r="104" customFormat="false" ht="10.15" hidden="false" customHeight="false" outlineLevel="0" collapsed="false">
      <c r="A104" s="469" t="s">
        <v>290</v>
      </c>
      <c r="B104" s="470" t="str">
        <f aca="false">'Plant loading'!C70</f>
        <v>NPR48-ES</v>
      </c>
      <c r="C104" s="471" t="n">
        <f aca="false">('Plant loading'!E70)*(54.5/1000)</f>
        <v>16.132</v>
      </c>
      <c r="D104" s="472" t="n">
        <f aca="false">('Plant loading'!N70+'Plant loading'!Q70)*(54.5/1000)</f>
        <v>3.924</v>
      </c>
      <c r="E104" s="473" t="n">
        <f aca="false">'Plant loading'!H70</f>
        <v>16</v>
      </c>
      <c r="F104" s="474" t="n">
        <f aca="false">'Plant loading'!I70</f>
        <v>3</v>
      </c>
      <c r="G104" s="474" t="n">
        <f aca="false">'Plant loading'!L70</f>
        <v>21</v>
      </c>
      <c r="H104" s="475" t="n">
        <f aca="false">'Plant loading'!J70</f>
        <v>48</v>
      </c>
    </row>
    <row r="105" customFormat="false" ht="10.15" hidden="false" customHeight="false" outlineLevel="0" collapsed="false">
      <c r="A105" s="469" t="s">
        <v>291</v>
      </c>
      <c r="B105" s="470" t="str">
        <f aca="false">'Plant loading'!C71</f>
        <v>NPR48-ES</v>
      </c>
      <c r="C105" s="471" t="n">
        <f aca="false">('Plant loading'!E71)*(54.5/1000)</f>
        <v>15.7505</v>
      </c>
      <c r="D105" s="472" t="n">
        <f aca="false">('Plant loading'!N71+'Plant loading'!Q71)*(54.5/1000)</f>
        <v>4.3055</v>
      </c>
      <c r="E105" s="473" t="n">
        <f aca="false">'Plant loading'!H71</f>
        <v>16</v>
      </c>
      <c r="F105" s="474" t="n">
        <f aca="false">'Plant loading'!I71</f>
        <v>3</v>
      </c>
      <c r="G105" s="474" t="n">
        <f aca="false">'Plant loading'!L71</f>
        <v>21</v>
      </c>
      <c r="H105" s="475" t="n">
        <f aca="false">'Plant loading'!J71</f>
        <v>48</v>
      </c>
    </row>
    <row r="106" customFormat="false" ht="10.15" hidden="false" customHeight="false" outlineLevel="0" collapsed="false">
      <c r="A106" s="462" t="str">
        <f aca="false">'Plant loading'!B72</f>
        <v>OLDMTX-DCSYS01</v>
      </c>
      <c r="B106" s="463" t="str">
        <f aca="false">'Plant loading'!C72</f>
        <v>HDR48-ES</v>
      </c>
      <c r="C106" s="464" t="n">
        <f aca="false">('Plant loading'!E72)*(54.5/1000)</f>
        <v>42.837</v>
      </c>
      <c r="D106" s="465" t="n">
        <f aca="false">('Plant loading'!N72+'Plant loading'!Q72)*(54.5/1000)</f>
        <v>8.7745</v>
      </c>
      <c r="E106" s="466" t="n">
        <f aca="false">'Plant loading'!H72</f>
        <v>44</v>
      </c>
      <c r="F106" s="467" t="n">
        <f aca="false">'Plant loading'!I72</f>
        <v>3</v>
      </c>
      <c r="G106" s="467" t="n">
        <f aca="false">'Plant loading'!L72</f>
        <v>63</v>
      </c>
      <c r="H106" s="468" t="n">
        <f aca="false">'Plant loading'!J72</f>
        <v>132</v>
      </c>
    </row>
    <row r="107" customFormat="false" ht="10.15" hidden="false" customHeight="false" outlineLevel="0" collapsed="false">
      <c r="A107" s="469" t="str">
        <f aca="false">'Plant loading'!B73</f>
        <v>OLDMTX-DCSYS02</v>
      </c>
      <c r="B107" s="470" t="str">
        <f aca="false">'Plant loading'!C73</f>
        <v>HDR48-ES</v>
      </c>
      <c r="C107" s="471" t="n">
        <f aca="false">('Plant loading'!E73)*(54.5/1000)</f>
        <v>39.6215</v>
      </c>
      <c r="D107" s="472" t="n">
        <f aca="false">('Plant loading'!N73+'Plant loading'!Q73)*(54.5/1000)</f>
        <v>12.1535</v>
      </c>
      <c r="E107" s="473" t="n">
        <f aca="false">'Plant loading'!H73</f>
        <v>44</v>
      </c>
      <c r="F107" s="474" t="n">
        <f aca="false">'Plant loading'!I73</f>
        <v>3</v>
      </c>
      <c r="G107" s="474" t="n">
        <f aca="false">'Plant loading'!L73</f>
        <v>63</v>
      </c>
      <c r="H107" s="475" t="n">
        <f aca="false">'Plant loading'!J73</f>
        <v>132</v>
      </c>
    </row>
    <row r="108" customFormat="false" ht="10.15" hidden="false" customHeight="false" outlineLevel="0" collapsed="false">
      <c r="A108" s="469" t="str">
        <f aca="false">'Plant loading'!B74</f>
        <v>OLDMTX-DCSYS03</v>
      </c>
      <c r="B108" s="470" t="str">
        <f aca="false">'Plant loading'!C74</f>
        <v>HDR48-ES</v>
      </c>
      <c r="C108" s="471" t="n">
        <f aca="false">('Plant loading'!E74)*(54.5/1000)</f>
        <v>43.491</v>
      </c>
      <c r="D108" s="472" t="n">
        <f aca="false">('Plant loading'!N74+'Plant loading'!Q74)*(54.5/1000)</f>
        <v>6.3765</v>
      </c>
      <c r="E108" s="473" t="n">
        <f aca="false">'Plant loading'!H74</f>
        <v>44</v>
      </c>
      <c r="F108" s="474" t="n">
        <f aca="false">'Plant loading'!I74</f>
        <v>3</v>
      </c>
      <c r="G108" s="474" t="n">
        <f aca="false">'Plant loading'!L74</f>
        <v>63</v>
      </c>
      <c r="H108" s="475" t="n">
        <f aca="false">'Plant loading'!J74</f>
        <v>132</v>
      </c>
    </row>
    <row r="109" customFormat="false" ht="10.15" hidden="false" customHeight="false" outlineLevel="0" collapsed="false">
      <c r="A109" s="469" t="str">
        <f aca="false">'Plant loading'!B75</f>
        <v>OLDMTX-DCSYS04</v>
      </c>
      <c r="B109" s="470" t="str">
        <f aca="false">'Plant loading'!C75</f>
        <v>HDR48-ES</v>
      </c>
      <c r="C109" s="471" t="n">
        <f aca="false">('Plant loading'!E75)*(54.5/1000)</f>
        <v>31.174</v>
      </c>
      <c r="D109" s="472" t="n">
        <f aca="false">('Plant loading'!N75+'Plant loading'!Q75)*(54.5/1000)</f>
        <v>10.8455</v>
      </c>
      <c r="E109" s="473" t="n">
        <f aca="false">'Plant loading'!H75</f>
        <v>34</v>
      </c>
      <c r="F109" s="474" t="n">
        <f aca="false">'Plant loading'!I75</f>
        <v>3</v>
      </c>
      <c r="G109" s="474" t="n">
        <f aca="false">'Plant loading'!L75</f>
        <v>48</v>
      </c>
      <c r="H109" s="475" t="n">
        <f aca="false">'Plant loading'!J75</f>
        <v>102</v>
      </c>
    </row>
    <row r="110" customFormat="false" ht="10.15" hidden="false" customHeight="false" outlineLevel="0" collapsed="false">
      <c r="A110" s="469" t="str">
        <f aca="false">'Plant loading'!B76</f>
        <v>OLDMTX-DCSYS05</v>
      </c>
      <c r="B110" s="470" t="str">
        <f aca="false">'Plant loading'!C76</f>
        <v>HDR48-ES</v>
      </c>
      <c r="C110" s="471" t="n">
        <f aca="false">('Plant loading'!E76)*(54.5/1000)</f>
        <v>28.449</v>
      </c>
      <c r="D110" s="472" t="n">
        <f aca="false">('Plant loading'!N76+'Plant loading'!Q76)*(54.5/1000)</f>
        <v>10.7365</v>
      </c>
      <c r="E110" s="473" t="n">
        <f aca="false">'Plant loading'!H76</f>
        <v>44</v>
      </c>
      <c r="F110" s="474" t="n">
        <f aca="false">'Plant loading'!I76</f>
        <v>3</v>
      </c>
      <c r="G110" s="474" t="n">
        <f aca="false">'Plant loading'!L76</f>
        <v>63</v>
      </c>
      <c r="H110" s="475" t="n">
        <f aca="false">'Plant loading'!J76</f>
        <v>132</v>
      </c>
    </row>
    <row r="111" customFormat="false" ht="10.15" hidden="false" customHeight="false" outlineLevel="0" collapsed="false">
      <c r="A111" s="469" t="str">
        <f aca="false">'Plant loading'!B77</f>
        <v>OLDMTX-DCSYS06</v>
      </c>
      <c r="B111" s="470" t="str">
        <f aca="false">'Plant loading'!C77</f>
        <v>HDR48-ES</v>
      </c>
      <c r="C111" s="471" t="n">
        <f aca="false">('Plant loading'!E77)*(54.5/1000)</f>
        <v>34.2805</v>
      </c>
      <c r="D111" s="472" t="n">
        <f aca="false">('Plant loading'!N77+'Plant loading'!Q77)*(54.5/1000)</f>
        <v>14.497</v>
      </c>
      <c r="E111" s="473" t="n">
        <f aca="false">'Plant loading'!H77</f>
        <v>44</v>
      </c>
      <c r="F111" s="474" t="n">
        <f aca="false">'Plant loading'!I77</f>
        <v>3</v>
      </c>
      <c r="G111" s="474" t="n">
        <f aca="false">'Plant loading'!L77</f>
        <v>63</v>
      </c>
      <c r="H111" s="475" t="n">
        <f aca="false">'Plant loading'!J77</f>
        <v>132</v>
      </c>
    </row>
    <row r="112" customFormat="false" ht="10.15" hidden="false" customHeight="false" outlineLevel="0" collapsed="false">
      <c r="A112" s="469" t="str">
        <f aca="false">'Plant loading'!B78</f>
        <v>OLDMTX-DCSYS07a</v>
      </c>
      <c r="B112" s="470" t="str">
        <f aca="false">'Plant loading'!C78</f>
        <v>NPR48-ES</v>
      </c>
      <c r="C112" s="471" t="n">
        <f aca="false">('Plant loading'!E78)*(54.5/1000)</f>
        <v>26.1055</v>
      </c>
      <c r="D112" s="472" t="n">
        <f aca="false">('Plant loading'!N78+'Plant loading'!Q78)*(54.5/1000)</f>
        <v>22.018</v>
      </c>
      <c r="E112" s="473" t="n">
        <f aca="false">'Plant loading'!H78</f>
        <v>36</v>
      </c>
      <c r="F112" s="474" t="n">
        <f aca="false">'Plant loading'!I78</f>
        <v>3</v>
      </c>
      <c r="G112" s="474" t="n">
        <f aca="false">'Plant loading'!L78</f>
        <v>51</v>
      </c>
      <c r="H112" s="475" t="n">
        <f aca="false">'Plant loading'!J78</f>
        <v>108</v>
      </c>
    </row>
    <row r="113" customFormat="false" ht="10.15" hidden="false" customHeight="false" outlineLevel="0" collapsed="false">
      <c r="A113" s="476" t="str">
        <f aca="false">'Plant loading'!B79</f>
        <v>OLDMTX-DCSYS07b</v>
      </c>
      <c r="B113" s="477" t="str">
        <f aca="false">'Plant loading'!C79</f>
        <v>NPR48-ES</v>
      </c>
      <c r="C113" s="478" t="n">
        <f aca="false">('Plant loading'!E79)*(54.5/1000)</f>
        <v>25.7785</v>
      </c>
      <c r="D113" s="479" t="n">
        <f aca="false">('Plant loading'!N79+'Plant loading'!Q79)*(54.5/1000)</f>
        <v>23.9255</v>
      </c>
      <c r="E113" s="480" t="n">
        <f aca="false">'Plant loading'!H79</f>
        <v>36</v>
      </c>
      <c r="F113" s="481" t="n">
        <f aca="false">'Plant loading'!I79</f>
        <v>3</v>
      </c>
      <c r="G113" s="481" t="n">
        <f aca="false">'Plant loading'!L79</f>
        <v>51</v>
      </c>
      <c r="H113" s="482" t="n">
        <f aca="false">'Plant loading'!J79</f>
        <v>108</v>
      </c>
    </row>
    <row r="114" customFormat="false" ht="10.15" hidden="false" customHeight="false" outlineLevel="0" collapsed="false">
      <c r="A114" s="469" t="str">
        <f aca="false">'Plant loading'!B80</f>
        <v>PEARM</v>
      </c>
      <c r="B114" s="470" t="str">
        <f aca="false">'Plant loading'!C80</f>
        <v>eSure</v>
      </c>
      <c r="C114" s="471" t="n">
        <f aca="false">('Plant loading'!E80)*(54.5/1000)</f>
        <v>20.492</v>
      </c>
      <c r="D114" s="472" t="n">
        <f aca="false">('Plant loading'!N80+'Plant loading'!Q80)*(54.5/1000)</f>
        <v>2.733175</v>
      </c>
      <c r="E114" s="473" t="n">
        <f aca="false">'Plant loading'!H80</f>
        <v>36</v>
      </c>
      <c r="F114" s="474" t="n">
        <f aca="false">'Plant loading'!I80</f>
        <v>3.5</v>
      </c>
      <c r="G114" s="474" t="n">
        <f aca="false">'Plant loading'!L80</f>
        <v>63</v>
      </c>
      <c r="H114" s="475" t="n">
        <f aca="false">'Plant loading'!J80</f>
        <v>126</v>
      </c>
    </row>
    <row r="115" customFormat="false" ht="10.15" hidden="false" customHeight="false" outlineLevel="0" collapsed="false">
      <c r="A115" s="469" t="str">
        <f aca="false">'Plant loading'!B81</f>
        <v>PEBRM</v>
      </c>
      <c r="B115" s="470" t="str">
        <f aca="false">'Plant loading'!C81</f>
        <v>eSure</v>
      </c>
      <c r="C115" s="471" t="n">
        <f aca="false">('Plant loading'!E81)*(54.5/1000)</f>
        <v>25.5605</v>
      </c>
      <c r="D115" s="472" t="n">
        <f aca="false">('Plant loading'!N81+'Plant loading'!Q81)*(54.5/1000)</f>
        <v>1.744</v>
      </c>
      <c r="E115" s="473" t="n">
        <f aca="false">'Plant loading'!H81</f>
        <v>36</v>
      </c>
      <c r="F115" s="474" t="n">
        <f aca="false">'Plant loading'!I81</f>
        <v>3.5</v>
      </c>
      <c r="G115" s="474" t="n">
        <f aca="false">'Plant loading'!L81</f>
        <v>63</v>
      </c>
      <c r="H115" s="475" t="n">
        <f aca="false">'Plant loading'!J81</f>
        <v>126</v>
      </c>
    </row>
    <row r="116" customFormat="false" ht="10.15" hidden="false" customHeight="false" outlineLevel="0" collapsed="false">
      <c r="A116" s="469" t="str">
        <f aca="false">'Plant loading'!B82</f>
        <v>PECRM</v>
      </c>
      <c r="B116" s="470" t="str">
        <f aca="false">'Plant loading'!C82</f>
        <v>eSure</v>
      </c>
      <c r="C116" s="471" t="n">
        <f aca="false">('Plant loading'!E82)*(54.5/1000)</f>
        <v>28.994</v>
      </c>
      <c r="D116" s="472" t="n">
        <f aca="false">('Plant loading'!N82+'Plant loading'!Q82)*(54.5/1000)</f>
        <v>1.496025</v>
      </c>
      <c r="E116" s="473" t="n">
        <f aca="false">'Plant loading'!H82</f>
        <v>36</v>
      </c>
      <c r="F116" s="474" t="n">
        <f aca="false">'Plant loading'!I82</f>
        <v>3.5</v>
      </c>
      <c r="G116" s="474" t="n">
        <f aca="false">'Plant loading'!L82</f>
        <v>63</v>
      </c>
      <c r="H116" s="475" t="n">
        <f aca="false">'Plant loading'!J82</f>
        <v>126</v>
      </c>
    </row>
    <row r="117" customFormat="false" ht="10.15" hidden="false" customHeight="false" outlineLevel="0" collapsed="false">
      <c r="A117" s="469" t="str">
        <f aca="false">'Plant loading'!B83</f>
        <v>PEDRM</v>
      </c>
      <c r="B117" s="470" t="str">
        <f aca="false">'Plant loading'!C83</f>
        <v>eSure</v>
      </c>
      <c r="C117" s="471" t="n">
        <f aca="false">('Plant loading'!E83)*(54.5/1000)</f>
        <v>13.7885</v>
      </c>
      <c r="D117" s="472" t="n">
        <f aca="false">('Plant loading'!N83+'Plant loading'!Q83)*(54.5/1000)</f>
        <v>0.99735</v>
      </c>
      <c r="E117" s="473" t="n">
        <f aca="false">'Plant loading'!H83</f>
        <v>36</v>
      </c>
      <c r="F117" s="474" t="n">
        <f aca="false">'Plant loading'!I83</f>
        <v>3.5</v>
      </c>
      <c r="G117" s="474" t="n">
        <f aca="false">'Plant loading'!L83</f>
        <v>63</v>
      </c>
      <c r="H117" s="475" t="n">
        <f aca="false">'Plant loading'!J83</f>
        <v>126</v>
      </c>
    </row>
    <row r="118" customFormat="false" ht="10.9" hidden="false" customHeight="false" outlineLevel="0" collapsed="false">
      <c r="A118" s="476" t="str">
        <f aca="false">'Plant loading'!B84</f>
        <v>PEERM</v>
      </c>
      <c r="B118" s="477" t="str">
        <f aca="false">'Plant loading'!C84</f>
        <v>eSure</v>
      </c>
      <c r="C118" s="478" t="n">
        <f aca="false">('Plant loading'!E84)*(54.5/1000)</f>
        <v>11.554</v>
      </c>
      <c r="D118" s="479" t="n">
        <f aca="false">('Plant loading'!N84+'Plant loading'!Q84)*(54.5/1000)</f>
        <v>0</v>
      </c>
      <c r="E118" s="480" t="n">
        <f aca="false">'Plant loading'!H84</f>
        <v>36</v>
      </c>
      <c r="F118" s="481" t="n">
        <f aca="false">'Plant loading'!I84</f>
        <v>3.5</v>
      </c>
      <c r="G118" s="481" t="n">
        <f aca="false">'Plant loading'!L84</f>
        <v>63</v>
      </c>
      <c r="H118" s="482" t="n">
        <f aca="false">'Plant loading'!J84</f>
        <v>126</v>
      </c>
    </row>
    <row r="119" customFormat="false" ht="10.15" hidden="false" customHeight="false" outlineLevel="0" collapsed="false">
      <c r="A119" s="462" t="str">
        <f aca="false">'Plant loading'!B85</f>
        <v>PEASN</v>
      </c>
      <c r="B119" s="463" t="str">
        <f aca="false">'Plant loading'!C85</f>
        <v>eSure</v>
      </c>
      <c r="C119" s="464" t="n">
        <f aca="false">('Plant loading'!E85)*(54.5/1000)</f>
        <v>19.4565</v>
      </c>
      <c r="D119" s="465" t="n">
        <f aca="false">('Plant loading'!N85+'Plant loading'!Q85)*(54.5/1000)</f>
        <v>0</v>
      </c>
      <c r="E119" s="466" t="n">
        <f aca="false">'Plant loading'!H85</f>
        <v>36</v>
      </c>
      <c r="F119" s="467" t="n">
        <f aca="false">'Plant loading'!I85</f>
        <v>3.5</v>
      </c>
      <c r="G119" s="467" t="n">
        <f aca="false">'Plant loading'!L85</f>
        <v>63</v>
      </c>
      <c r="H119" s="468" t="n">
        <f aca="false">'Plant loading'!J85</f>
        <v>126</v>
      </c>
    </row>
    <row r="120" customFormat="false" ht="10.15" hidden="false" customHeight="false" outlineLevel="0" collapsed="false">
      <c r="A120" s="469" t="str">
        <f aca="false">'Plant loading'!B86</f>
        <v>PEBSN</v>
      </c>
      <c r="B120" s="470" t="str">
        <f aca="false">'Plant loading'!C86</f>
        <v>eSure</v>
      </c>
      <c r="C120" s="471" t="n">
        <f aca="false">('Plant loading'!E86)*(54.5/1000)</f>
        <v>26.596</v>
      </c>
      <c r="D120" s="472" t="n">
        <f aca="false">('Plant loading'!N86+'Plant loading'!Q86)*(54.5/1000)</f>
        <v>5.8315</v>
      </c>
      <c r="E120" s="473" t="n">
        <f aca="false">'Plant loading'!H86</f>
        <v>36</v>
      </c>
      <c r="F120" s="474" t="n">
        <f aca="false">'Plant loading'!I86</f>
        <v>3.5</v>
      </c>
      <c r="G120" s="474" t="n">
        <f aca="false">'Plant loading'!L86</f>
        <v>63</v>
      </c>
      <c r="H120" s="475" t="n">
        <f aca="false">'Plant loading'!J86</f>
        <v>126</v>
      </c>
    </row>
    <row r="121" customFormat="false" ht="10.15" hidden="false" customHeight="false" outlineLevel="0" collapsed="false">
      <c r="A121" s="469" t="str">
        <f aca="false">'Plant loading'!B87</f>
        <v>PECSN</v>
      </c>
      <c r="B121" s="470" t="str">
        <f aca="false">'Plant loading'!C87</f>
        <v>eSure</v>
      </c>
      <c r="C121" s="471" t="n">
        <f aca="false">('Plant loading'!E87)*(54.5/1000)</f>
        <v>24.4705</v>
      </c>
      <c r="D121" s="472" t="n">
        <f aca="false">('Plant loading'!N87+'Plant loading'!Q87)*(54.5/1000)</f>
        <v>5.8315</v>
      </c>
      <c r="E121" s="473" t="n">
        <f aca="false">'Plant loading'!H87</f>
        <v>36</v>
      </c>
      <c r="F121" s="474" t="n">
        <f aca="false">'Plant loading'!I87</f>
        <v>3.5</v>
      </c>
      <c r="G121" s="474" t="n">
        <f aca="false">'Plant loading'!L87</f>
        <v>63</v>
      </c>
      <c r="H121" s="475" t="n">
        <f aca="false">'Plant loading'!J87</f>
        <v>126</v>
      </c>
    </row>
    <row r="122" customFormat="false" ht="10.9" hidden="false" customHeight="false" outlineLevel="0" collapsed="false">
      <c r="A122" s="476" t="str">
        <f aca="false">'Plant loading'!B88</f>
        <v>PEESN</v>
      </c>
      <c r="B122" s="477" t="str">
        <f aca="false">'Plant loading'!C88</f>
        <v>eSure</v>
      </c>
      <c r="C122" s="478" t="n">
        <f aca="false">('Plant loading'!E88)*(54.5/1000)</f>
        <v>17.1675</v>
      </c>
      <c r="D122" s="479" t="n">
        <f aca="false">('Plant loading'!N88+'Plant loading'!Q88)*(54.5/1000)</f>
        <v>0</v>
      </c>
      <c r="E122" s="480" t="n">
        <f aca="false">'Plant loading'!H88</f>
        <v>36</v>
      </c>
      <c r="F122" s="481" t="n">
        <f aca="false">'Plant loading'!I88</f>
        <v>3.5</v>
      </c>
      <c r="G122" s="481" t="n">
        <f aca="false">'Plant loading'!L88</f>
        <v>63</v>
      </c>
      <c r="H122" s="482" t="n">
        <f aca="false">'Plant loading'!J88</f>
        <v>126</v>
      </c>
    </row>
    <row r="123" customFormat="false" ht="10.15" hidden="false" customHeight="false" outlineLevel="0" collapsed="false">
      <c r="A123" s="462" t="str">
        <f aca="false">'Plant loading'!B89</f>
        <v>PEASY</v>
      </c>
      <c r="B123" s="463" t="str">
        <f aca="false">'Plant loading'!C89</f>
        <v>eSure</v>
      </c>
      <c r="C123" s="464" t="n">
        <f aca="false">('Plant loading'!E89)*(54.5/1000)</f>
        <v>29.3755</v>
      </c>
      <c r="D123" s="465" t="n">
        <f aca="false">('Plant loading'!N89+'Plant loading'!Q89)*(54.5/1000)</f>
        <v>0</v>
      </c>
      <c r="E123" s="466" t="n">
        <f aca="false">'Plant loading'!H89</f>
        <v>36</v>
      </c>
      <c r="F123" s="467" t="n">
        <f aca="false">'Plant loading'!I89</f>
        <v>3.5</v>
      </c>
      <c r="G123" s="467" t="n">
        <f aca="false">'Plant loading'!L89</f>
        <v>63</v>
      </c>
      <c r="H123" s="468" t="n">
        <f aca="false">'Plant loading'!J89</f>
        <v>126</v>
      </c>
    </row>
    <row r="124" customFormat="false" ht="10.15" hidden="false" customHeight="false" outlineLevel="0" collapsed="false">
      <c r="A124" s="469" t="str">
        <f aca="false">'Plant loading'!B90</f>
        <v>PEBSY</v>
      </c>
      <c r="B124" s="470" t="str">
        <f aca="false">'Plant loading'!C90</f>
        <v>eSure</v>
      </c>
      <c r="C124" s="471" t="n">
        <f aca="false">('Plant loading'!E90)*(54.5/1000)</f>
        <v>25.179</v>
      </c>
      <c r="D124" s="472" t="n">
        <f aca="false">('Plant loading'!N90+'Plant loading'!Q90)*(54.5/1000)</f>
        <v>0</v>
      </c>
      <c r="E124" s="473" t="n">
        <f aca="false">'Plant loading'!H90</f>
        <v>36</v>
      </c>
      <c r="F124" s="474" t="n">
        <f aca="false">'Plant loading'!I90</f>
        <v>3.5</v>
      </c>
      <c r="G124" s="474" t="n">
        <f aca="false">'Plant loading'!L90</f>
        <v>63</v>
      </c>
      <c r="H124" s="475" t="n">
        <f aca="false">'Plant loading'!J90</f>
        <v>126</v>
      </c>
    </row>
    <row r="125" customFormat="false" ht="10.15" hidden="false" customHeight="false" outlineLevel="0" collapsed="false">
      <c r="A125" s="469" t="str">
        <f aca="false">'Plant loading'!B91</f>
        <v>PECSY</v>
      </c>
      <c r="B125" s="470" t="str">
        <f aca="false">'Plant loading'!C91</f>
        <v>eSure</v>
      </c>
      <c r="C125" s="471" t="n">
        <f aca="false">('Plant loading'!E91)*(54.5/1000)</f>
        <v>21.6365</v>
      </c>
      <c r="D125" s="472" t="n">
        <f aca="false">('Plant loading'!N91+'Plant loading'!Q91)*(54.5/1000)</f>
        <v>0</v>
      </c>
      <c r="E125" s="473" t="n">
        <f aca="false">'Plant loading'!H91</f>
        <v>36</v>
      </c>
      <c r="F125" s="474" t="n">
        <f aca="false">'Plant loading'!I91</f>
        <v>3.5</v>
      </c>
      <c r="G125" s="474" t="n">
        <f aca="false">'Plant loading'!L91</f>
        <v>63</v>
      </c>
      <c r="H125" s="475" t="n">
        <f aca="false">'Plant loading'!J91</f>
        <v>126</v>
      </c>
    </row>
    <row r="126" customFormat="false" ht="10.15" hidden="false" customHeight="false" outlineLevel="0" collapsed="false">
      <c r="A126" s="469" t="str">
        <f aca="false">'Plant loading'!B92</f>
        <v>PEDSY</v>
      </c>
      <c r="B126" s="470" t="str">
        <f aca="false">'Plant loading'!C92</f>
        <v>eSure</v>
      </c>
      <c r="C126" s="471" t="n">
        <f aca="false">('Plant loading'!E92)*(54.5/1000)</f>
        <v>15.369</v>
      </c>
      <c r="D126" s="472" t="n">
        <f aca="false">('Plant loading'!N92+'Plant loading'!Q92)*(54.5/1000)</f>
        <v>0</v>
      </c>
      <c r="E126" s="473" t="n">
        <f aca="false">'Plant loading'!H92</f>
        <v>36</v>
      </c>
      <c r="F126" s="474" t="n">
        <f aca="false">'Plant loading'!I92</f>
        <v>3.5</v>
      </c>
      <c r="G126" s="474" t="n">
        <f aca="false">'Plant loading'!L92</f>
        <v>63</v>
      </c>
      <c r="H126" s="475" t="n">
        <f aca="false">'Plant loading'!J92</f>
        <v>126</v>
      </c>
    </row>
    <row r="127" customFormat="false" ht="10.9" hidden="false" customHeight="false" outlineLevel="0" collapsed="false">
      <c r="A127" s="476" t="str">
        <f aca="false">'Plant loading'!B93</f>
        <v>PEESY</v>
      </c>
      <c r="B127" s="477" t="str">
        <f aca="false">'Plant loading'!C93</f>
        <v>eSure</v>
      </c>
      <c r="C127" s="478" t="n">
        <f aca="false">('Plant loading'!E93)*(54.5/1000)</f>
        <v>17.2765</v>
      </c>
      <c r="D127" s="479" t="n">
        <f aca="false">('Plant loading'!N93+'Plant loading'!Q93)*(54.5/1000)</f>
        <v>0</v>
      </c>
      <c r="E127" s="480" t="n">
        <f aca="false">'Plant loading'!H93</f>
        <v>30</v>
      </c>
      <c r="F127" s="481" t="n">
        <f aca="false">'Plant loading'!I93</f>
        <v>3.5</v>
      </c>
      <c r="G127" s="481" t="n">
        <f aca="false">'Plant loading'!L93</f>
        <v>52</v>
      </c>
      <c r="H127" s="482" t="n">
        <f aca="false">'Plant loading'!J93</f>
        <v>105</v>
      </c>
    </row>
    <row r="128" customFormat="false" ht="10.15" hidden="false" customHeight="false" outlineLevel="0" collapsed="false">
      <c r="A128" s="462" t="str">
        <f aca="false">'Plant loading'!B94</f>
        <v>PEFBL</v>
      </c>
      <c r="B128" s="463" t="str">
        <f aca="false">'Plant loading'!C94</f>
        <v>NetSure</v>
      </c>
      <c r="C128" s="464" t="n">
        <f aca="false">('Plant loading'!E94)*(54.5/1000)</f>
        <v>23.762</v>
      </c>
      <c r="D128" s="465" t="n">
        <f aca="false">('Plant loading'!N94+'Plant loading'!Q94)*(54.5/1000)</f>
        <v>0</v>
      </c>
      <c r="E128" s="466" t="n">
        <f aca="false">'Plant loading'!H94</f>
        <v>36</v>
      </c>
      <c r="F128" s="467" t="n">
        <f aca="false">'Plant loading'!I94</f>
        <v>3.2</v>
      </c>
      <c r="G128" s="467" t="n">
        <f aca="false">'Plant loading'!L94</f>
        <v>57</v>
      </c>
      <c r="H128" s="468" t="n">
        <f aca="false">'Plant loading'!J94</f>
        <v>115</v>
      </c>
    </row>
    <row r="129" customFormat="false" ht="10.9" hidden="false" customHeight="false" outlineLevel="0" collapsed="false">
      <c r="A129" s="476" t="str">
        <f aca="false">'Plant loading'!B95</f>
        <v>PEHBL</v>
      </c>
      <c r="B129" s="477" t="str">
        <f aca="false">'Plant loading'!C95</f>
        <v>NetSure</v>
      </c>
      <c r="C129" s="478" t="n">
        <f aca="false">('Plant loading'!E95)*(54.5/1000)</f>
        <v>17.4945</v>
      </c>
      <c r="D129" s="479" t="n">
        <f aca="false">('Plant loading'!N95+'Plant loading'!Q95)*(54.5/1000)</f>
        <v>0</v>
      </c>
      <c r="E129" s="480" t="n">
        <f aca="false">'Plant loading'!H95</f>
        <v>36</v>
      </c>
      <c r="F129" s="481" t="n">
        <f aca="false">'Plant loading'!I95</f>
        <v>3.2</v>
      </c>
      <c r="G129" s="481" t="n">
        <f aca="false">'Plant loading'!L95</f>
        <v>57</v>
      </c>
      <c r="H129" s="482" t="n">
        <f aca="false">'Plant loading'!J95</f>
        <v>115</v>
      </c>
    </row>
    <row r="130" customFormat="false" ht="10.15" hidden="false" customHeight="false" outlineLevel="0" collapsed="false">
      <c r="A130" s="462" t="str">
        <f aca="false">'Plant loading'!B96</f>
        <v>PECCF</v>
      </c>
      <c r="B130" s="463" t="str">
        <f aca="false">'Plant loading'!C96</f>
        <v>NetSure</v>
      </c>
      <c r="C130" s="464" t="n">
        <f aca="false">('Plant loading'!E96)*(54.5/1000)</f>
        <v>19.2385</v>
      </c>
      <c r="D130" s="465" t="n">
        <f aca="false">('Plant loading'!N96+'Plant loading'!Q96)*(54.5/1000)</f>
        <v>2.398</v>
      </c>
      <c r="E130" s="466" t="n">
        <f aca="false">'Plant loading'!H96</f>
        <v>36</v>
      </c>
      <c r="F130" s="467" t="n">
        <f aca="false">'Plant loading'!I96</f>
        <v>3.2</v>
      </c>
      <c r="G130" s="467" t="n">
        <f aca="false">'Plant loading'!L96</f>
        <v>57</v>
      </c>
      <c r="H130" s="468" t="n">
        <f aca="false">'Plant loading'!J96</f>
        <v>115</v>
      </c>
    </row>
    <row r="131" customFormat="false" ht="10.15" hidden="false" customHeight="false" outlineLevel="0" collapsed="false">
      <c r="A131" s="469" t="str">
        <f aca="false">'Plant loading'!B97</f>
        <v>PEDCF</v>
      </c>
      <c r="B131" s="470" t="str">
        <f aca="false">'Plant loading'!C97</f>
        <v>NetSure</v>
      </c>
      <c r="C131" s="471" t="n">
        <f aca="false">('Plant loading'!E97)*(54.5/1000)</f>
        <v>9.156</v>
      </c>
      <c r="D131" s="472" t="n">
        <f aca="false">('Plant loading'!N97+'Plant loading'!Q97)*(54.5/1000)</f>
        <v>4.0875</v>
      </c>
      <c r="E131" s="473" t="n">
        <f aca="false">'Plant loading'!H97</f>
        <v>18</v>
      </c>
      <c r="F131" s="474" t="n">
        <f aca="false">'Plant loading'!I97</f>
        <v>3.2</v>
      </c>
      <c r="G131" s="474" t="n">
        <f aca="false">'Plant loading'!L97</f>
        <v>28</v>
      </c>
      <c r="H131" s="475" t="n">
        <f aca="false">'Plant loading'!J97</f>
        <v>57</v>
      </c>
    </row>
    <row r="132" customFormat="false" ht="10.9" hidden="false" customHeight="false" outlineLevel="0" collapsed="false">
      <c r="A132" s="476" t="str">
        <f aca="false">'Plant loading'!B98</f>
        <v>PEECF</v>
      </c>
      <c r="B132" s="477" t="str">
        <f aca="false">'Plant loading'!C98</f>
        <v>NetSure</v>
      </c>
      <c r="C132" s="478" t="n">
        <f aca="false">('Plant loading'!E98)*(54.5/1000)</f>
        <v>11.118</v>
      </c>
      <c r="D132" s="479" t="n">
        <f aca="false">('Plant loading'!N98+'Plant loading'!Q98)*(54.5/1000)</f>
        <v>1.6895</v>
      </c>
      <c r="E132" s="480" t="n">
        <f aca="false">'Plant loading'!H98</f>
        <v>18</v>
      </c>
      <c r="F132" s="481" t="n">
        <f aca="false">'Plant loading'!I98</f>
        <v>3.2</v>
      </c>
      <c r="G132" s="481" t="n">
        <f aca="false">'Plant loading'!L98</f>
        <v>28</v>
      </c>
      <c r="H132" s="482" t="n">
        <f aca="false">'Plant loading'!J98</f>
        <v>57</v>
      </c>
    </row>
    <row r="133" customFormat="false" ht="10.15" hidden="false" customHeight="false" outlineLevel="0" collapsed="false">
      <c r="A133" s="462" t="str">
        <f aca="false">'Plant loading'!B99</f>
        <v>PEACE</v>
      </c>
      <c r="B133" s="463" t="str">
        <f aca="false">'Plant loading'!C99</f>
        <v>NetSure</v>
      </c>
      <c r="C133" s="464" t="n">
        <f aca="false">('Plant loading'!E99)*(54.5/1000)</f>
        <v>20.5465</v>
      </c>
      <c r="D133" s="465" t="n">
        <f aca="false">('Plant loading'!N99+'Plant loading'!Q99)*(54.5/1000)</f>
        <v>5.014</v>
      </c>
      <c r="E133" s="466" t="n">
        <f aca="false">'Plant loading'!H99</f>
        <v>36</v>
      </c>
      <c r="F133" s="467" t="n">
        <f aca="false">'Plant loading'!I99</f>
        <v>3.2</v>
      </c>
      <c r="G133" s="467" t="n">
        <f aca="false">'Plant loading'!L99</f>
        <v>57</v>
      </c>
      <c r="H133" s="468" t="n">
        <f aca="false">'Plant loading'!J99</f>
        <v>115</v>
      </c>
    </row>
    <row r="134" customFormat="false" ht="10.9" hidden="false" customHeight="false" outlineLevel="0" collapsed="false">
      <c r="A134" s="476" t="str">
        <f aca="false">'Plant loading'!B100</f>
        <v>PEBCE</v>
      </c>
      <c r="B134" s="477" t="str">
        <f aca="false">'Plant loading'!C100</f>
        <v>NetSure</v>
      </c>
      <c r="C134" s="478" t="n">
        <f aca="false">('Plant loading'!E100)*(54.5/1000)</f>
        <v>23.544</v>
      </c>
      <c r="D134" s="479" t="n">
        <f aca="false">('Plant loading'!N100+'Plant loading'!Q100)*(54.5/1000)</f>
        <v>5.014</v>
      </c>
      <c r="E134" s="480" t="n">
        <f aca="false">'Plant loading'!H100</f>
        <v>36</v>
      </c>
      <c r="F134" s="481" t="n">
        <f aca="false">'Plant loading'!I100</f>
        <v>3.2</v>
      </c>
      <c r="G134" s="481" t="n">
        <f aca="false">'Plant loading'!L100</f>
        <v>57</v>
      </c>
      <c r="H134" s="482" t="n">
        <f aca="false">'Plant loading'!J100</f>
        <v>115</v>
      </c>
    </row>
    <row r="135" customFormat="false" ht="10.15" hidden="false" customHeight="false" outlineLevel="0" collapsed="false">
      <c r="A135" s="462" t="str">
        <f aca="false">'Plant loading'!B101</f>
        <v>PEFCN</v>
      </c>
      <c r="B135" s="463" t="str">
        <f aca="false">'Plant loading'!C101</f>
        <v>NetSure</v>
      </c>
      <c r="C135" s="464" t="n">
        <f aca="false">('Plant loading'!E101)*(54.5/1000)</f>
        <v>14.2245</v>
      </c>
      <c r="D135" s="465" t="n">
        <f aca="false">('Plant loading'!N101+'Plant loading'!Q101)*(54.5/1000)</f>
        <v>2.398</v>
      </c>
      <c r="E135" s="466" t="n">
        <f aca="false">'Plant loading'!H101</f>
        <v>36</v>
      </c>
      <c r="F135" s="467" t="n">
        <f aca="false">'Plant loading'!I101</f>
        <v>3.2</v>
      </c>
      <c r="G135" s="467" t="n">
        <f aca="false">'Plant loading'!L101</f>
        <v>57</v>
      </c>
      <c r="H135" s="468" t="n">
        <f aca="false">'Plant loading'!J101</f>
        <v>115</v>
      </c>
    </row>
    <row r="136" customFormat="false" ht="10.9" hidden="false" customHeight="false" outlineLevel="0" collapsed="false">
      <c r="A136" s="476" t="str">
        <f aca="false">'Plant loading'!B102</f>
        <v>PEGCN</v>
      </c>
      <c r="B136" s="477" t="str">
        <f aca="false">'Plant loading'!C102</f>
        <v>NetSure</v>
      </c>
      <c r="C136" s="478" t="n">
        <f aca="false">('Plant loading'!E102)*(54.5/1000)</f>
        <v>18.9115</v>
      </c>
      <c r="D136" s="479" t="n">
        <f aca="false">('Plant loading'!N102+'Plant loading'!Q102)*(54.5/1000)</f>
        <v>2.398</v>
      </c>
      <c r="E136" s="480" t="n">
        <f aca="false">'Plant loading'!H102</f>
        <v>36</v>
      </c>
      <c r="F136" s="481" t="n">
        <f aca="false">'Plant loading'!I102</f>
        <v>3.2</v>
      </c>
      <c r="G136" s="481" t="n">
        <f aca="false">'Plant loading'!L102</f>
        <v>57</v>
      </c>
      <c r="H136" s="482" t="n">
        <f aca="false">'Plant loading'!J102</f>
        <v>115</v>
      </c>
    </row>
    <row r="137" customFormat="false" ht="10.15" hidden="false" customHeight="false" outlineLevel="0" collapsed="false">
      <c r="A137" s="462" t="str">
        <f aca="false">'Plant loading'!B103</f>
        <v>PEJGW</v>
      </c>
      <c r="B137" s="463" t="str">
        <f aca="false">'Plant loading'!C103</f>
        <v>eSure</v>
      </c>
      <c r="C137" s="464" t="n">
        <f aca="false">('Plant loading'!E103)*(54.5/1000)</f>
        <v>5.014</v>
      </c>
      <c r="D137" s="465" t="n">
        <f aca="false">('Plant loading'!N103+'Plant loading'!Q103)*(54.5/1000)</f>
        <v>0</v>
      </c>
      <c r="E137" s="466" t="n">
        <f aca="false">'Plant loading'!H103</f>
        <v>9</v>
      </c>
      <c r="F137" s="467" t="n">
        <f aca="false">'Plant loading'!I103</f>
        <v>3.5</v>
      </c>
      <c r="G137" s="467" t="n">
        <f aca="false">'Plant loading'!L103</f>
        <v>21</v>
      </c>
      <c r="H137" s="468" t="n">
        <f aca="false">'Plant loading'!J103</f>
        <v>31</v>
      </c>
    </row>
    <row r="138" customFormat="false" ht="10.9" hidden="false" customHeight="false" outlineLevel="0" collapsed="false">
      <c r="A138" s="476" t="str">
        <f aca="false">'Plant loading'!B104</f>
        <v>PEKGW</v>
      </c>
      <c r="B138" s="477" t="str">
        <f aca="false">'Plant loading'!C104</f>
        <v>eSure</v>
      </c>
      <c r="C138" s="478" t="n">
        <f aca="false">('Plant loading'!E104)*(54.5/1000)</f>
        <v>4.7415</v>
      </c>
      <c r="D138" s="479" t="n">
        <f aca="false">('Plant loading'!N104+'Plant loading'!Q104)*(54.5/1000)</f>
        <v>0</v>
      </c>
      <c r="E138" s="480" t="n">
        <f aca="false">'Plant loading'!H104</f>
        <v>9</v>
      </c>
      <c r="F138" s="481" t="n">
        <f aca="false">'Plant loading'!I104</f>
        <v>3.5</v>
      </c>
      <c r="G138" s="481" t="n">
        <f aca="false">'Plant loading'!L104</f>
        <v>21</v>
      </c>
      <c r="H138" s="482" t="n">
        <f aca="false">'Plant loading'!J104</f>
        <v>31</v>
      </c>
    </row>
    <row r="139" customFormat="false" ht="10.15" hidden="false" customHeight="false" outlineLevel="0" collapsed="false">
      <c r="A139" s="462" t="str">
        <f aca="false">'Plant loading'!B105</f>
        <v>PEFLR</v>
      </c>
      <c r="B139" s="463" t="str">
        <f aca="false">'Plant loading'!C105</f>
        <v>NetSure</v>
      </c>
      <c r="C139" s="464" t="n">
        <f aca="false">('Plant loading'!E105)*(54.5/1000)</f>
        <v>29.757</v>
      </c>
      <c r="D139" s="465" t="n">
        <f aca="false">('Plant loading'!N105+'Plant loading'!Q105)*(54.5/1000)</f>
        <v>0</v>
      </c>
      <c r="E139" s="466" t="n">
        <f aca="false">'Plant loading'!H105</f>
        <v>36</v>
      </c>
      <c r="F139" s="467" t="n">
        <f aca="false">'Plant loading'!I105</f>
        <v>3.2</v>
      </c>
      <c r="G139" s="467" t="n">
        <f aca="false">'Plant loading'!L105</f>
        <v>57</v>
      </c>
      <c r="H139" s="468" t="n">
        <f aca="false">'Plant loading'!J105</f>
        <v>115</v>
      </c>
    </row>
    <row r="140" customFormat="false" ht="10.9" hidden="false" customHeight="false" outlineLevel="0" collapsed="false">
      <c r="A140" s="476" t="str">
        <f aca="false">'Plant loading'!B106</f>
        <v>PEGLR</v>
      </c>
      <c r="B140" s="477" t="str">
        <f aca="false">'Plant loading'!C106</f>
        <v>NetSure</v>
      </c>
      <c r="C140" s="478" t="n">
        <f aca="false">('Plant loading'!E106)*(54.5/1000)</f>
        <v>24.7975</v>
      </c>
      <c r="D140" s="479" t="n">
        <f aca="false">('Plant loading'!N106+'Plant loading'!Q106)*(54.5/1000)</f>
        <v>0</v>
      </c>
      <c r="E140" s="480" t="n">
        <f aca="false">'Plant loading'!H106</f>
        <v>36</v>
      </c>
      <c r="F140" s="481" t="n">
        <f aca="false">'Plant loading'!I106</f>
        <v>3.2</v>
      </c>
      <c r="G140" s="481" t="n">
        <f aca="false">'Plant loading'!L106</f>
        <v>57</v>
      </c>
      <c r="H140" s="482" t="n">
        <f aca="false">'Plant loading'!J106</f>
        <v>115</v>
      </c>
    </row>
    <row r="141" customFormat="false" ht="10.15" hidden="false" customHeight="false" outlineLevel="0" collapsed="false">
      <c r="A141" s="462" t="str">
        <f aca="false">'Plant loading'!B107</f>
        <v>PEGNY</v>
      </c>
      <c r="B141" s="463" t="str">
        <f aca="false">'Plant loading'!C107</f>
        <v>NetSure</v>
      </c>
      <c r="C141" s="464" t="n">
        <f aca="false">('Plant loading'!E107)*(54.5/1000)</f>
        <v>15.042</v>
      </c>
      <c r="D141" s="465" t="n">
        <f aca="false">('Plant loading'!N107+'Plant loading'!Q107)*(54.5/1000)</f>
        <v>0</v>
      </c>
      <c r="E141" s="466" t="n">
        <f aca="false">'Plant loading'!H107</f>
        <v>36</v>
      </c>
      <c r="F141" s="467" t="n">
        <f aca="false">'Plant loading'!I107</f>
        <v>3.2</v>
      </c>
      <c r="G141" s="467" t="n">
        <f aca="false">'Plant loading'!L107</f>
        <v>57</v>
      </c>
      <c r="H141" s="468" t="n">
        <f aca="false">'Plant loading'!J107</f>
        <v>115</v>
      </c>
    </row>
    <row r="142" customFormat="false" ht="10.15" hidden="false" customHeight="false" outlineLevel="0" collapsed="false">
      <c r="A142" s="469" t="str">
        <f aca="false">'Plant loading'!B108</f>
        <v>PEHNY</v>
      </c>
      <c r="B142" s="470" t="str">
        <f aca="false">'Plant loading'!C108</f>
        <v>NetSure</v>
      </c>
      <c r="C142" s="471" t="n">
        <f aca="false">('Plant loading'!E108)*(54.5/1000)</f>
        <v>14.17</v>
      </c>
      <c r="D142" s="472" t="n">
        <f aca="false">('Plant loading'!N108+'Plant loading'!Q108)*(54.5/1000)</f>
        <v>0</v>
      </c>
      <c r="E142" s="473" t="n">
        <f aca="false">'Plant loading'!H108</f>
        <v>36</v>
      </c>
      <c r="F142" s="474" t="n">
        <f aca="false">'Plant loading'!I108</f>
        <v>3.2</v>
      </c>
      <c r="G142" s="474" t="n">
        <f aca="false">'Plant loading'!L108</f>
        <v>57</v>
      </c>
      <c r="H142" s="475" t="n">
        <f aca="false">'Plant loading'!J108</f>
        <v>115</v>
      </c>
    </row>
    <row r="143" customFormat="false" ht="10.15" hidden="false" customHeight="false" outlineLevel="0" collapsed="false">
      <c r="A143" s="462" t="str">
        <f aca="false">'Plant loading'!B109</f>
        <v>PEENE</v>
      </c>
      <c r="B143" s="463" t="str">
        <f aca="false">'Plant loading'!C109</f>
        <v>NetSure</v>
      </c>
      <c r="C143" s="464" t="n">
        <f aca="false">('Plant loading'!E109)*(54.5/1000)</f>
        <v>13.298</v>
      </c>
      <c r="D143" s="465" t="n">
        <f aca="false">('Plant loading'!N109+'Plant loading'!Q109)*(54.5/1000)</f>
        <v>0</v>
      </c>
      <c r="E143" s="466" t="n">
        <f aca="false">'Plant loading'!H109</f>
        <v>36</v>
      </c>
      <c r="F143" s="467" t="n">
        <f aca="false">'Plant loading'!I109</f>
        <v>3.2</v>
      </c>
      <c r="G143" s="467" t="n">
        <f aca="false">'Plant loading'!L109</f>
        <v>57</v>
      </c>
      <c r="H143" s="468" t="n">
        <f aca="false">'Plant loading'!J109</f>
        <v>115</v>
      </c>
    </row>
    <row r="144" customFormat="false" ht="10.15" hidden="false" customHeight="false" outlineLevel="0" collapsed="false">
      <c r="A144" s="469" t="str">
        <f aca="false">'Plant loading'!B110</f>
        <v>PEFNE</v>
      </c>
      <c r="B144" s="470" t="str">
        <f aca="false">'Plant loading'!C110</f>
        <v>NetSure</v>
      </c>
      <c r="C144" s="471" t="n">
        <f aca="false">('Plant loading'!E110)*(54.5/1000)</f>
        <v>18.5845</v>
      </c>
      <c r="D144" s="472" t="n">
        <f aca="false">('Plant loading'!N110+'Plant loading'!Q110)*(54.5/1000)</f>
        <v>0</v>
      </c>
      <c r="E144" s="473" t="n">
        <f aca="false">'Plant loading'!H110</f>
        <v>36</v>
      </c>
      <c r="F144" s="474" t="n">
        <f aca="false">'Plant loading'!I110</f>
        <v>3.2</v>
      </c>
      <c r="G144" s="474" t="n">
        <f aca="false">'Plant loading'!L110</f>
        <v>57</v>
      </c>
      <c r="H144" s="475" t="n">
        <f aca="false">'Plant loading'!J110</f>
        <v>115</v>
      </c>
    </row>
    <row r="145" customFormat="false" ht="10.9" hidden="false" customHeight="false" outlineLevel="0" collapsed="false">
      <c r="A145" s="476" t="str">
        <f aca="false">'Plant loading'!B111</f>
        <v>PEGNE</v>
      </c>
      <c r="B145" s="477" t="str">
        <f aca="false">'Plant loading'!C111</f>
        <v>NetSure</v>
      </c>
      <c r="C145" s="478" t="n">
        <f aca="false">('Plant loading'!E111)*(54.5/1000)</f>
        <v>6.8125</v>
      </c>
      <c r="D145" s="479" t="n">
        <f aca="false">('Plant loading'!N111+'Plant loading'!Q111)*(54.5/1000)</f>
        <v>0</v>
      </c>
      <c r="E145" s="480" t="n">
        <f aca="false">'Plant loading'!H111</f>
        <v>18</v>
      </c>
      <c r="F145" s="481" t="n">
        <f aca="false">'Plant loading'!I111</f>
        <v>3.2</v>
      </c>
      <c r="G145" s="481" t="n">
        <f aca="false">'Plant loading'!L111</f>
        <v>28</v>
      </c>
      <c r="H145" s="482" t="n">
        <f aca="false">'Plant loading'!J111</f>
        <v>57</v>
      </c>
    </row>
    <row r="146" customFormat="false" ht="10.15" hidden="false" customHeight="false" outlineLevel="0" collapsed="false">
      <c r="A146" s="462" t="str">
        <f aca="false">'Plant loading'!B112</f>
        <v>PECOD</v>
      </c>
      <c r="B146" s="463" t="str">
        <f aca="false">'Plant loading'!C112</f>
        <v>NetSure</v>
      </c>
      <c r="C146" s="464" t="n">
        <f aca="false">('Plant loading'!E112)*(54.5/1000)</f>
        <v>10.1915</v>
      </c>
      <c r="D146" s="465" t="n">
        <f aca="false">('Plant loading'!N112+'Plant loading'!Q112)*(54.5/1000)</f>
        <v>5.8315</v>
      </c>
      <c r="E146" s="466" t="n">
        <f aca="false">'Plant loading'!H112</f>
        <v>36</v>
      </c>
      <c r="F146" s="467" t="n">
        <f aca="false">'Plant loading'!I112</f>
        <v>3.2</v>
      </c>
      <c r="G146" s="467" t="n">
        <f aca="false">'Plant loading'!L112</f>
        <v>57</v>
      </c>
      <c r="H146" s="468" t="n">
        <f aca="false">'Plant loading'!J112</f>
        <v>115</v>
      </c>
    </row>
    <row r="147" customFormat="false" ht="10.9" hidden="false" customHeight="false" outlineLevel="0" collapsed="false">
      <c r="A147" s="476" t="str">
        <f aca="false">'Plant loading'!B113</f>
        <v>PEFOD</v>
      </c>
      <c r="B147" s="477" t="str">
        <f aca="false">'Plant loading'!C113</f>
        <v>NetSure</v>
      </c>
      <c r="C147" s="478" t="n">
        <f aca="false">('Plant loading'!E113)*(54.5/1000)</f>
        <v>5.9405</v>
      </c>
      <c r="D147" s="479" t="n">
        <f aca="false">('Plant loading'!N113+'Plant loading'!Q113)*(54.5/1000)</f>
        <v>5.8315</v>
      </c>
      <c r="E147" s="480" t="n">
        <f aca="false">'Plant loading'!H113</f>
        <v>30</v>
      </c>
      <c r="F147" s="481" t="n">
        <f aca="false">'Plant loading'!I113</f>
        <v>3.2</v>
      </c>
      <c r="G147" s="481" t="n">
        <f aca="false">'Plant loading'!L113</f>
        <v>48</v>
      </c>
      <c r="H147" s="482" t="n">
        <f aca="false">'Plant loading'!J113</f>
        <v>96</v>
      </c>
    </row>
    <row r="148" customFormat="false" ht="10.15" hidden="false" customHeight="false" outlineLevel="0" collapsed="false">
      <c r="A148" s="462" t="str">
        <f aca="false">'Plant loading'!B114</f>
        <v>PEESD</v>
      </c>
      <c r="B148" s="463" t="str">
        <f aca="false">'Plant loading'!C114</f>
        <v>NetSure</v>
      </c>
      <c r="C148" s="464" t="n">
        <f aca="false">('Plant loading'!E114)*(54.5/1000)</f>
        <v>20.8735</v>
      </c>
      <c r="D148" s="465" t="n">
        <f aca="false">('Plant loading'!N114+'Plant loading'!Q114)*(54.5/1000)</f>
        <v>0</v>
      </c>
      <c r="E148" s="466" t="n">
        <f aca="false">'Plant loading'!H114</f>
        <v>36</v>
      </c>
      <c r="F148" s="467" t="n">
        <f aca="false">'Plant loading'!I114</f>
        <v>3.2</v>
      </c>
      <c r="G148" s="467" t="n">
        <f aca="false">'Plant loading'!L114</f>
        <v>57</v>
      </c>
      <c r="H148" s="468" t="n">
        <f aca="false">'Plant loading'!J114</f>
        <v>115</v>
      </c>
    </row>
    <row r="149" customFormat="false" ht="10.9" hidden="false" customHeight="false" outlineLevel="0" collapsed="false">
      <c r="A149" s="476" t="str">
        <f aca="false">'Plant loading'!B115</f>
        <v>PEGSD</v>
      </c>
      <c r="B149" s="477" t="str">
        <f aca="false">'Plant loading'!C115</f>
        <v>NetSure</v>
      </c>
      <c r="C149" s="478" t="n">
        <f aca="false">('Plant loading'!E115)*(54.5/1000)</f>
        <v>23.0535</v>
      </c>
      <c r="D149" s="479" t="n">
        <f aca="false">('Plant loading'!N115+'Plant loading'!Q115)*(54.5/1000)</f>
        <v>0</v>
      </c>
      <c r="E149" s="480" t="n">
        <f aca="false">'Plant loading'!H115</f>
        <v>36</v>
      </c>
      <c r="F149" s="481" t="n">
        <f aca="false">'Plant loading'!I115</f>
        <v>3.2</v>
      </c>
      <c r="G149" s="481" t="n">
        <f aca="false">'Plant loading'!L115</f>
        <v>57</v>
      </c>
      <c r="H149" s="482" t="n">
        <f aca="false">'Plant loading'!J115</f>
        <v>115</v>
      </c>
    </row>
    <row r="150" customFormat="false" ht="10.15" hidden="false" customHeight="false" outlineLevel="0" collapsed="false">
      <c r="A150" s="462" t="str">
        <f aca="false">'Plant loading'!B116</f>
        <v>PELWN</v>
      </c>
      <c r="B150" s="463" t="str">
        <f aca="false">'Plant loading'!C116</f>
        <v>NetSure</v>
      </c>
      <c r="C150" s="464" t="n">
        <f aca="false">('Plant loading'!E116)*(54.5/1000)</f>
        <v>11.2815</v>
      </c>
      <c r="D150" s="465" t="n">
        <f aca="false">('Plant loading'!N116+'Plant loading'!Q116)*(54.5/1000)</f>
        <v>0</v>
      </c>
      <c r="E150" s="466" t="n">
        <f aca="false">'Plant loading'!H116</f>
        <v>18</v>
      </c>
      <c r="F150" s="467" t="n">
        <f aca="false">'Plant loading'!I116</f>
        <v>3.2</v>
      </c>
      <c r="G150" s="467" t="n">
        <f aca="false">'Plant loading'!L116</f>
        <v>28</v>
      </c>
      <c r="H150" s="468" t="n">
        <f aca="false">'Plant loading'!J116</f>
        <v>57</v>
      </c>
    </row>
    <row r="151" customFormat="false" ht="10.15" hidden="false" customHeight="false" outlineLevel="0" collapsed="false">
      <c r="A151" s="469" t="str">
        <f aca="false">'Plant loading'!B117</f>
        <v>PEMWN</v>
      </c>
      <c r="B151" s="470" t="str">
        <f aca="false">'Plant loading'!C117</f>
        <v>NetSure</v>
      </c>
      <c r="C151" s="471" t="n">
        <f aca="false">('Plant loading'!E117)*(54.5/1000)</f>
        <v>10.3005</v>
      </c>
      <c r="D151" s="472" t="n">
        <f aca="false">('Plant loading'!N117+'Plant loading'!Q117)*(54.5/1000)</f>
        <v>0</v>
      </c>
      <c r="E151" s="473" t="n">
        <f aca="false">'Plant loading'!H117</f>
        <v>18</v>
      </c>
      <c r="F151" s="474" t="n">
        <f aca="false">'Plant loading'!I117</f>
        <v>3.2</v>
      </c>
      <c r="G151" s="474" t="n">
        <f aca="false">'Plant loading'!L117</f>
        <v>28</v>
      </c>
      <c r="H151" s="475" t="n">
        <f aca="false">'Plant loading'!J117</f>
        <v>57</v>
      </c>
    </row>
    <row r="152" customFormat="false" ht="10.9" hidden="false" customHeight="false" outlineLevel="0" collapsed="false">
      <c r="A152" s="476" t="str">
        <f aca="false">'Plant loading'!B118</f>
        <v>PENWN</v>
      </c>
      <c r="B152" s="477" t="str">
        <f aca="false">'Plant loading'!C118</f>
        <v>NetSure</v>
      </c>
      <c r="C152" s="478" t="n">
        <f aca="false">('Plant loading'!E118)*(54.5/1000)</f>
        <v>23.544</v>
      </c>
      <c r="D152" s="479" t="n">
        <f aca="false">('Plant loading'!N118+'Plant loading'!Q118)*(54.5/1000)</f>
        <v>0</v>
      </c>
      <c r="E152" s="480" t="n">
        <f aca="false">'Plant loading'!H118</f>
        <v>18</v>
      </c>
      <c r="F152" s="481" t="n">
        <f aca="false">'Plant loading'!I118</f>
        <v>3.2</v>
      </c>
      <c r="G152" s="481" t="n">
        <f aca="false">'Plant loading'!L118</f>
        <v>28</v>
      </c>
      <c r="H152" s="482" t="n">
        <f aca="false">'Plant loading'!J118</f>
        <v>57</v>
      </c>
    </row>
  </sheetData>
  <mergeCells count="2">
    <mergeCell ref="B2:E2"/>
    <mergeCell ref="I8:J8"/>
  </mergeCells>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W15" activePane="bottomLeft" state="frozen"/>
      <selection pane="topLeft" activeCell="A1" activeCellId="0" sqref="A1"/>
      <selection pane="bottomLeft" activeCell="W15" activeCellId="0" sqref="W15"/>
    </sheetView>
  </sheetViews>
  <sheetFormatPr defaultColWidth="13.66796875" defaultRowHeight="12.75" zeroHeight="false" outlineLevelRow="0" outlineLevelCol="1"/>
  <cols>
    <col collapsed="false" customWidth="false" hidden="false" outlineLevel="0" max="1" min="1" style="1" width="13.66"/>
    <col collapsed="false" customWidth="true" hidden="false" outlineLevel="0" max="2" min="2" style="1" width="19"/>
    <col collapsed="false" customWidth="false" hidden="false" outlineLevel="0" max="3" min="3" style="1" width="13.66"/>
    <col collapsed="false" customWidth="false" hidden="true" outlineLevel="1" max="5" min="4" style="1" width="13.66"/>
    <col collapsed="false" customWidth="true" hidden="true" outlineLevel="1" max="6" min="6" style="1" width="16.17"/>
    <col collapsed="false" customWidth="true" hidden="true" outlineLevel="1" max="7" min="7" style="1" width="14.17"/>
    <col collapsed="false" customWidth="false" hidden="true" outlineLevel="1" max="9" min="8" style="1" width="13.66"/>
    <col collapsed="false" customWidth="false" hidden="false" outlineLevel="0" max="12" min="10" style="1" width="13.66"/>
    <col collapsed="false" customWidth="false" hidden="false" outlineLevel="0" max="13" min="13" style="483" width="13.66"/>
    <col collapsed="false" customWidth="false" hidden="false" outlineLevel="0" max="19" min="14" style="1" width="13.66"/>
    <col collapsed="false" customWidth="true" hidden="false" outlineLevel="0" max="21" min="20" style="1" width="15.17"/>
    <col collapsed="false" customWidth="true" hidden="false" outlineLevel="0" max="22" min="22" style="1" width="11.17"/>
    <col collapsed="false" customWidth="true" hidden="false" outlineLevel="0" max="24" min="23" style="1" width="34.66"/>
    <col collapsed="false" customWidth="true" hidden="false" outlineLevel="0" max="25" min="25" style="1" width="31.5"/>
    <col collapsed="false" customWidth="false" hidden="false" outlineLevel="0" max="1024" min="26" style="1" width="13.66"/>
  </cols>
  <sheetData>
    <row r="1" customFormat="false" ht="51" hidden="false" customHeight="true" outlineLevel="0" collapsed="false">
      <c r="A1" s="484" t="s">
        <v>8</v>
      </c>
      <c r="B1" s="17" t="s">
        <v>9</v>
      </c>
      <c r="C1" s="17" t="s">
        <v>292</v>
      </c>
      <c r="D1" s="18" t="s">
        <v>293</v>
      </c>
      <c r="E1" s="18" t="s">
        <v>294</v>
      </c>
      <c r="F1" s="18" t="s">
        <v>295</v>
      </c>
      <c r="G1" s="18" t="s">
        <v>296</v>
      </c>
      <c r="H1" s="17" t="s">
        <v>297</v>
      </c>
      <c r="I1" s="17" t="s">
        <v>298</v>
      </c>
      <c r="J1" s="17" t="s">
        <v>20</v>
      </c>
      <c r="K1" s="17" t="s">
        <v>299</v>
      </c>
      <c r="L1" s="17" t="s">
        <v>300</v>
      </c>
      <c r="M1" s="21" t="s">
        <v>301</v>
      </c>
      <c r="N1" s="17" t="s">
        <v>302</v>
      </c>
      <c r="O1" s="17" t="s">
        <v>303</v>
      </c>
      <c r="P1" s="17" t="s">
        <v>304</v>
      </c>
      <c r="Q1" s="17" t="s">
        <v>305</v>
      </c>
      <c r="R1" s="17" t="s">
        <v>306</v>
      </c>
      <c r="S1" s="17" t="s">
        <v>307</v>
      </c>
      <c r="T1" s="17" t="s">
        <v>308</v>
      </c>
      <c r="U1" s="17" t="s">
        <v>28</v>
      </c>
      <c r="V1" s="17" t="s">
        <v>309</v>
      </c>
      <c r="W1" s="17" t="s">
        <v>310</v>
      </c>
      <c r="X1" s="17" t="s">
        <v>311</v>
      </c>
      <c r="Y1" s="17" t="s">
        <v>312</v>
      </c>
    </row>
    <row r="2" customFormat="false" ht="13.15" hidden="false" customHeight="false" outlineLevel="0" collapsed="false">
      <c r="A2" s="2" t="s">
        <v>253</v>
      </c>
      <c r="B2" s="2" t="s">
        <v>313</v>
      </c>
      <c r="C2" s="2" t="s">
        <v>314</v>
      </c>
      <c r="D2" s="2" t="n">
        <v>19</v>
      </c>
      <c r="E2" s="2" t="n">
        <v>2</v>
      </c>
      <c r="F2" s="2" t="n">
        <v>2.4</v>
      </c>
      <c r="G2" s="2" t="n">
        <f aca="false">(D2-E2)*F2</f>
        <v>40.8</v>
      </c>
      <c r="H2" s="2" t="n">
        <f aca="false">INT((G2*1000)/230)</f>
        <v>177</v>
      </c>
      <c r="I2" s="2" t="n">
        <f aca="false">((26-E2)*F2)-G2</f>
        <v>16.8</v>
      </c>
      <c r="J2" s="2" t="n">
        <f aca="false">H2/2</f>
        <v>88.5</v>
      </c>
      <c r="K2" s="2" t="n">
        <v>63</v>
      </c>
      <c r="L2" s="485" t="n">
        <v>45676</v>
      </c>
      <c r="M2" s="3" t="n">
        <f aca="false">ROUNDUP(((K2*230)/1000),0)</f>
        <v>15</v>
      </c>
      <c r="N2" s="486" t="n">
        <f aca="false">(O2*1000)/54.5</f>
        <v>300</v>
      </c>
      <c r="O2" s="486" t="n">
        <f aca="false">M2*1.09</f>
        <v>16.35</v>
      </c>
      <c r="P2" s="2" t="n">
        <v>8</v>
      </c>
      <c r="Q2" s="486" t="n">
        <f aca="false">(P2*230)/1000</f>
        <v>1.84</v>
      </c>
      <c r="R2" s="2" t="n">
        <v>2.5</v>
      </c>
      <c r="S2" s="486" t="n">
        <f aca="false">(R2*230)/1000</f>
        <v>0.575</v>
      </c>
      <c r="T2" s="486" t="n">
        <f aca="false">K2+P2+R2</f>
        <v>73.5</v>
      </c>
      <c r="U2" s="486" t="n">
        <f aca="false">J2-T2</f>
        <v>15</v>
      </c>
      <c r="V2" s="396" t="n">
        <f aca="false">U2/J2</f>
        <v>0.169491525423729</v>
      </c>
      <c r="W2" s="2" t="s">
        <v>315</v>
      </c>
      <c r="X2" s="2" t="s">
        <v>316</v>
      </c>
      <c r="Y2" s="1" t="s">
        <v>317</v>
      </c>
    </row>
    <row r="3" customFormat="false" ht="13.15" hidden="false" customHeight="false" outlineLevel="0" collapsed="false">
      <c r="A3" s="2" t="s">
        <v>253</v>
      </c>
      <c r="B3" s="2" t="s">
        <v>318</v>
      </c>
      <c r="C3" s="2" t="s">
        <v>314</v>
      </c>
      <c r="D3" s="2" t="n">
        <v>19</v>
      </c>
      <c r="E3" s="2" t="n">
        <v>2</v>
      </c>
      <c r="F3" s="2" t="n">
        <v>2.4</v>
      </c>
      <c r="G3" s="2" t="n">
        <f aca="false">(D3-E3)*F3</f>
        <v>40.8</v>
      </c>
      <c r="H3" s="2" t="n">
        <f aca="false">INT((G3*1000)/230)</f>
        <v>177</v>
      </c>
      <c r="I3" s="2" t="n">
        <f aca="false">((26-E3)*F3)-G3</f>
        <v>16.8</v>
      </c>
      <c r="J3" s="2" t="n">
        <f aca="false">H3/2</f>
        <v>88.5</v>
      </c>
      <c r="K3" s="2" t="n">
        <v>56</v>
      </c>
      <c r="L3" s="485" t="n">
        <v>45676</v>
      </c>
      <c r="M3" s="3" t="n">
        <f aca="false">ROUNDUP(((K3*230)/1000),0)</f>
        <v>13</v>
      </c>
      <c r="N3" s="486" t="n">
        <f aca="false">(O3*1000)/54.5</f>
        <v>260</v>
      </c>
      <c r="O3" s="486" t="n">
        <f aca="false">M3*1.09</f>
        <v>14.17</v>
      </c>
      <c r="P3" s="2" t="n">
        <v>10</v>
      </c>
      <c r="Q3" s="486" t="n">
        <f aca="false">(P3*230)/1000</f>
        <v>2.3</v>
      </c>
      <c r="R3" s="2" t="n">
        <v>2.5</v>
      </c>
      <c r="S3" s="486" t="n">
        <f aca="false">(R3*230)/1000</f>
        <v>0.575</v>
      </c>
      <c r="T3" s="486" t="n">
        <f aca="false">K3+P3+R3</f>
        <v>68.5</v>
      </c>
      <c r="U3" s="486" t="n">
        <f aca="false">J3-T3</f>
        <v>20</v>
      </c>
      <c r="V3" s="396" t="n">
        <f aca="false">U3/J3</f>
        <v>0.225988700564972</v>
      </c>
      <c r="W3" s="2" t="s">
        <v>315</v>
      </c>
      <c r="X3" s="2" t="s">
        <v>316</v>
      </c>
      <c r="Y3" s="1" t="s">
        <v>319</v>
      </c>
    </row>
    <row r="4" customFormat="false" ht="12.75" hidden="false" customHeight="false" outlineLevel="0" collapsed="false">
      <c r="A4" s="2" t="s">
        <v>254</v>
      </c>
      <c r="B4" s="2" t="s">
        <v>320</v>
      </c>
      <c r="C4" s="2" t="s">
        <v>314</v>
      </c>
      <c r="D4" s="2" t="n">
        <v>26</v>
      </c>
      <c r="E4" s="2" t="n">
        <v>2</v>
      </c>
      <c r="F4" s="2" t="n">
        <v>2.4</v>
      </c>
      <c r="G4" s="2" t="n">
        <f aca="false">(D4-E4)*F4</f>
        <v>57.6</v>
      </c>
      <c r="H4" s="2" t="n">
        <f aca="false">INT((G4*1000)/230)</f>
        <v>250</v>
      </c>
      <c r="I4" s="2" t="n">
        <f aca="false">((26-E4)*F4)-G4</f>
        <v>0</v>
      </c>
      <c r="J4" s="2" t="n">
        <f aca="false">H4/2</f>
        <v>125</v>
      </c>
      <c r="K4" s="487" t="n">
        <v>61</v>
      </c>
      <c r="L4" s="485" t="n">
        <v>45676</v>
      </c>
      <c r="M4" s="3" t="n">
        <f aca="false">ROUNDUP(((K4*230)/1000),0)</f>
        <v>15</v>
      </c>
      <c r="N4" s="486" t="n">
        <f aca="false">(O4*1000)/54.5</f>
        <v>300</v>
      </c>
      <c r="O4" s="486" t="n">
        <f aca="false">M4*1.09</f>
        <v>16.35</v>
      </c>
      <c r="P4" s="2"/>
      <c r="Q4" s="486"/>
      <c r="R4" s="2" t="n">
        <v>3</v>
      </c>
      <c r="S4" s="486" t="n">
        <f aca="false">(R4*230)/1000</f>
        <v>0.69</v>
      </c>
      <c r="T4" s="486" t="n">
        <f aca="false">K4+P4+R4</f>
        <v>64</v>
      </c>
      <c r="U4" s="486" t="n">
        <f aca="false">J4-T4</f>
        <v>61</v>
      </c>
      <c r="V4" s="396" t="n">
        <f aca="false">U4/J4</f>
        <v>0.488</v>
      </c>
      <c r="W4" s="487" t="s">
        <v>321</v>
      </c>
      <c r="X4" s="2" t="s">
        <v>322</v>
      </c>
      <c r="Y4" s="1" t="s">
        <v>323</v>
      </c>
    </row>
    <row r="5" customFormat="false" ht="13.15" hidden="false" customHeight="false" outlineLevel="0" collapsed="false">
      <c r="A5" s="2" t="s">
        <v>254</v>
      </c>
      <c r="B5" s="2" t="s">
        <v>324</v>
      </c>
      <c r="C5" s="2" t="s">
        <v>314</v>
      </c>
      <c r="D5" s="2" t="n">
        <v>26</v>
      </c>
      <c r="E5" s="2" t="n">
        <v>2</v>
      </c>
      <c r="F5" s="2" t="n">
        <v>2.4</v>
      </c>
      <c r="G5" s="2" t="n">
        <f aca="false">(D5-E5)*F5</f>
        <v>57.6</v>
      </c>
      <c r="H5" s="2" t="n">
        <f aca="false">INT((G5*1000)/230)</f>
        <v>250</v>
      </c>
      <c r="I5" s="2" t="n">
        <f aca="false">((26-E5)*F5)-G5</f>
        <v>0</v>
      </c>
      <c r="J5" s="2" t="n">
        <f aca="false">H5/2</f>
        <v>125</v>
      </c>
      <c r="K5" s="2" t="n">
        <v>63</v>
      </c>
      <c r="L5" s="485" t="n">
        <v>45676</v>
      </c>
      <c r="M5" s="3" t="n">
        <f aca="false">ROUNDUP(((K5*230)/1000),0)</f>
        <v>15</v>
      </c>
      <c r="N5" s="486" t="n">
        <f aca="false">(O5*1000)/54.5</f>
        <v>300</v>
      </c>
      <c r="O5" s="486" t="n">
        <f aca="false">M5*1.09</f>
        <v>16.35</v>
      </c>
      <c r="P5" s="2"/>
      <c r="Q5" s="486"/>
      <c r="R5" s="2" t="n">
        <v>3</v>
      </c>
      <c r="S5" s="486" t="n">
        <f aca="false">(R5*230)/1000</f>
        <v>0.69</v>
      </c>
      <c r="T5" s="486" t="n">
        <f aca="false">K5+P5+R5</f>
        <v>66</v>
      </c>
      <c r="U5" s="486" t="n">
        <f aca="false">J5-T5</f>
        <v>59</v>
      </c>
      <c r="V5" s="396" t="n">
        <f aca="false">U5/J5</f>
        <v>0.472</v>
      </c>
      <c r="W5" s="487" t="s">
        <v>321</v>
      </c>
      <c r="X5" s="2" t="s">
        <v>322</v>
      </c>
      <c r="Y5" s="1" t="s">
        <v>325</v>
      </c>
    </row>
    <row r="6" customFormat="false" ht="13.15" hidden="false" customHeight="false" outlineLevel="0" collapsed="false">
      <c r="A6" s="2" t="s">
        <v>254</v>
      </c>
      <c r="B6" s="2" t="s">
        <v>326</v>
      </c>
      <c r="C6" s="2" t="s">
        <v>314</v>
      </c>
      <c r="D6" s="2" t="n">
        <v>26</v>
      </c>
      <c r="E6" s="2" t="n">
        <v>2</v>
      </c>
      <c r="F6" s="2" t="n">
        <v>2.4</v>
      </c>
      <c r="G6" s="2" t="n">
        <f aca="false">(D6-E6)*F6</f>
        <v>57.6</v>
      </c>
      <c r="H6" s="2" t="n">
        <f aca="false">INT((G6*1000)/230)</f>
        <v>250</v>
      </c>
      <c r="I6" s="2" t="n">
        <f aca="false">((26-E6)*F6)-G6</f>
        <v>0</v>
      </c>
      <c r="J6" s="2" t="n">
        <f aca="false">H6/2</f>
        <v>125</v>
      </c>
      <c r="K6" s="2" t="n">
        <v>68</v>
      </c>
      <c r="L6" s="485" t="n">
        <v>45676</v>
      </c>
      <c r="M6" s="3" t="n">
        <f aca="false">ROUNDUP(((K6*230)/1000),0)</f>
        <v>16</v>
      </c>
      <c r="N6" s="486" t="n">
        <f aca="false">(O6*1000)/54.5</f>
        <v>320</v>
      </c>
      <c r="O6" s="486" t="n">
        <f aca="false">M6*1.09</f>
        <v>17.44</v>
      </c>
      <c r="P6" s="2"/>
      <c r="Q6" s="2"/>
      <c r="R6" s="2" t="n">
        <v>1.5</v>
      </c>
      <c r="S6" s="486" t="n">
        <f aca="false">(R6*230)/1000</f>
        <v>0.345</v>
      </c>
      <c r="T6" s="486" t="n">
        <f aca="false">K6+P6+R6</f>
        <v>69.5</v>
      </c>
      <c r="U6" s="486" t="n">
        <f aca="false">J6-T6</f>
        <v>55.5</v>
      </c>
      <c r="V6" s="396" t="n">
        <f aca="false">U6/J6</f>
        <v>0.444</v>
      </c>
      <c r="W6" s="2" t="s">
        <v>327</v>
      </c>
      <c r="X6" s="2" t="s">
        <v>328</v>
      </c>
      <c r="Y6" s="1" t="s">
        <v>329</v>
      </c>
    </row>
    <row r="7" customFormat="false" ht="13.15" hidden="false" customHeight="false" outlineLevel="0" collapsed="false">
      <c r="A7" s="2" t="s">
        <v>254</v>
      </c>
      <c r="B7" s="2" t="s">
        <v>330</v>
      </c>
      <c r="C7" s="2" t="s">
        <v>314</v>
      </c>
      <c r="D7" s="2" t="n">
        <v>26</v>
      </c>
      <c r="E7" s="2" t="n">
        <v>2</v>
      </c>
      <c r="F7" s="2" t="n">
        <v>2.4</v>
      </c>
      <c r="G7" s="2" t="n">
        <f aca="false">(D7-E7)*F7</f>
        <v>57.6</v>
      </c>
      <c r="H7" s="2" t="n">
        <f aca="false">INT((G7*1000)/230)</f>
        <v>250</v>
      </c>
      <c r="I7" s="2" t="n">
        <f aca="false">((26-E7)*F7)-G7</f>
        <v>0</v>
      </c>
      <c r="J7" s="2" t="n">
        <f aca="false">H7/2</f>
        <v>125</v>
      </c>
      <c r="K7" s="2" t="n">
        <v>59</v>
      </c>
      <c r="L7" s="485" t="n">
        <v>45676</v>
      </c>
      <c r="M7" s="3" t="n">
        <f aca="false">ROUNDUP(((K7*230)/1000),0)</f>
        <v>14</v>
      </c>
      <c r="N7" s="486" t="n">
        <f aca="false">(O7*1000)/54.5</f>
        <v>280</v>
      </c>
      <c r="O7" s="486" t="n">
        <f aca="false">M7*1.09</f>
        <v>15.26</v>
      </c>
      <c r="P7" s="2"/>
      <c r="Q7" s="2"/>
      <c r="R7" s="2" t="n">
        <v>1.5</v>
      </c>
      <c r="S7" s="486" t="n">
        <f aca="false">(R7*230)/1000</f>
        <v>0.345</v>
      </c>
      <c r="T7" s="486" t="n">
        <f aca="false">K7+P7+R7</f>
        <v>60.5</v>
      </c>
      <c r="U7" s="486" t="n">
        <f aca="false">J7-T7</f>
        <v>64.5</v>
      </c>
      <c r="V7" s="396" t="n">
        <f aca="false">U7/J7</f>
        <v>0.516</v>
      </c>
      <c r="W7" s="2" t="s">
        <v>327</v>
      </c>
      <c r="X7" s="2" t="s">
        <v>328</v>
      </c>
      <c r="Y7" s="1" t="s">
        <v>331</v>
      </c>
    </row>
    <row r="8" customFormat="false" ht="13.15" hidden="false" customHeight="false" outlineLevel="0" collapsed="false">
      <c r="A8" s="2" t="s">
        <v>254</v>
      </c>
      <c r="B8" s="2" t="s">
        <v>332</v>
      </c>
      <c r="C8" s="2" t="s">
        <v>314</v>
      </c>
      <c r="D8" s="2" t="n">
        <v>12</v>
      </c>
      <c r="E8" s="2" t="n">
        <v>2</v>
      </c>
      <c r="F8" s="2" t="n">
        <v>2.4</v>
      </c>
      <c r="G8" s="2" t="n">
        <f aca="false">(D8-E8)*F8</f>
        <v>24</v>
      </c>
      <c r="H8" s="2" t="n">
        <f aca="false">INT((G8*1000)/230)</f>
        <v>104</v>
      </c>
      <c r="I8" s="2" t="n">
        <f aca="false">((26-E8)*F8)-G8</f>
        <v>33.6</v>
      </c>
      <c r="J8" s="2" t="n">
        <f aca="false">H8/2</f>
        <v>52</v>
      </c>
      <c r="K8" s="488" t="n">
        <v>24</v>
      </c>
      <c r="L8" s="485" t="n">
        <v>45320</v>
      </c>
      <c r="M8" s="3" t="n">
        <f aca="false">ROUNDUP(((K8*230)/1000),0)</f>
        <v>6</v>
      </c>
      <c r="N8" s="486" t="n">
        <f aca="false">(O8*1000)/54.5</f>
        <v>120</v>
      </c>
      <c r="O8" s="486" t="n">
        <f aca="false">M8*1.09</f>
        <v>6.54</v>
      </c>
      <c r="P8" s="2"/>
      <c r="Q8" s="2"/>
      <c r="R8" s="2" t="n">
        <v>0</v>
      </c>
      <c r="S8" s="486" t="n">
        <f aca="false">(R8*230)/1000</f>
        <v>0</v>
      </c>
      <c r="T8" s="486" t="n">
        <f aca="false">K8+P8+R8</f>
        <v>24</v>
      </c>
      <c r="U8" s="486" t="n">
        <f aca="false">J8-T8</f>
        <v>28</v>
      </c>
      <c r="V8" s="396" t="n">
        <f aca="false">U8/J8</f>
        <v>0.538461538461538</v>
      </c>
      <c r="W8" s="489"/>
      <c r="X8" s="2"/>
    </row>
    <row r="9" customFormat="false" ht="13.15" hidden="false" customHeight="false" outlineLevel="0" collapsed="false">
      <c r="A9" s="2" t="s">
        <v>254</v>
      </c>
      <c r="B9" s="2" t="s">
        <v>333</v>
      </c>
      <c r="C9" s="2" t="s">
        <v>314</v>
      </c>
      <c r="D9" s="2" t="n">
        <v>12</v>
      </c>
      <c r="E9" s="2" t="n">
        <v>2</v>
      </c>
      <c r="F9" s="2" t="n">
        <v>2.4</v>
      </c>
      <c r="G9" s="2" t="n">
        <f aca="false">(D9-E9)*F9</f>
        <v>24</v>
      </c>
      <c r="H9" s="2" t="n">
        <f aca="false">INT((G9*1000)/230)</f>
        <v>104</v>
      </c>
      <c r="I9" s="2" t="n">
        <f aca="false">((26-E9)*F9)-G9</f>
        <v>33.6</v>
      </c>
      <c r="J9" s="2" t="n">
        <f aca="false">H9/2</f>
        <v>52</v>
      </c>
      <c r="K9" s="488" t="n">
        <v>23</v>
      </c>
      <c r="L9" s="485" t="n">
        <v>45030</v>
      </c>
      <c r="M9" s="3" t="n">
        <f aca="false">ROUNDUP(((K9*230)/1000),0)</f>
        <v>6</v>
      </c>
      <c r="N9" s="486" t="n">
        <f aca="false">(O9*1000)/54.5</f>
        <v>120</v>
      </c>
      <c r="O9" s="486" t="n">
        <f aca="false">M9*1.09</f>
        <v>6.54</v>
      </c>
      <c r="P9" s="2"/>
      <c r="Q9" s="2"/>
      <c r="R9" s="2" t="n">
        <v>0</v>
      </c>
      <c r="S9" s="486" t="n">
        <f aca="false">(R9*230)/1000</f>
        <v>0</v>
      </c>
      <c r="T9" s="486" t="n">
        <f aca="false">K9+P9+R9</f>
        <v>23</v>
      </c>
      <c r="U9" s="486" t="n">
        <f aca="false">J9-T9</f>
        <v>29</v>
      </c>
      <c r="V9" s="396" t="n">
        <f aca="false">U9/J9</f>
        <v>0.557692307692308</v>
      </c>
      <c r="W9" s="2"/>
      <c r="X9" s="2"/>
    </row>
    <row r="10" customFormat="false" ht="13.15" hidden="false" customHeight="false" outlineLevel="0" collapsed="false">
      <c r="A10" s="2" t="s">
        <v>256</v>
      </c>
      <c r="B10" s="2" t="s">
        <v>334</v>
      </c>
      <c r="C10" s="2" t="s">
        <v>314</v>
      </c>
      <c r="D10" s="2" t="n">
        <v>12</v>
      </c>
      <c r="E10" s="2" t="n">
        <v>2</v>
      </c>
      <c r="F10" s="2" t="n">
        <v>2.4</v>
      </c>
      <c r="G10" s="2" t="n">
        <f aca="false">(D10-E10)*F10</f>
        <v>24</v>
      </c>
      <c r="H10" s="2" t="n">
        <f aca="false">INT((G10*1000)/230)</f>
        <v>104</v>
      </c>
      <c r="I10" s="2" t="n">
        <f aca="false">((14-E10)*F10)-G10</f>
        <v>4.8</v>
      </c>
      <c r="J10" s="2" t="n">
        <f aca="false">H10/2</f>
        <v>52</v>
      </c>
      <c r="K10" s="2" t="n">
        <v>34</v>
      </c>
      <c r="L10" s="485" t="n">
        <v>45676</v>
      </c>
      <c r="M10" s="3" t="n">
        <f aca="false">ROUNDUP(((K10*230)/1000),0)</f>
        <v>8</v>
      </c>
      <c r="N10" s="486" t="n">
        <f aca="false">(O10*1000)/54.5</f>
        <v>160</v>
      </c>
      <c r="O10" s="486" t="n">
        <f aca="false">M10*1.09</f>
        <v>8.72</v>
      </c>
      <c r="P10" s="2"/>
      <c r="Q10" s="2"/>
      <c r="R10" s="2" t="n">
        <v>0</v>
      </c>
      <c r="S10" s="486" t="n">
        <f aca="false">(R10*230)/1000</f>
        <v>0</v>
      </c>
      <c r="T10" s="486" t="n">
        <f aca="false">K10+P10+R10</f>
        <v>34</v>
      </c>
      <c r="U10" s="486" t="n">
        <f aca="false">J10-T10</f>
        <v>18</v>
      </c>
      <c r="V10" s="396" t="n">
        <f aca="false">U10/J10</f>
        <v>0.346153846153846</v>
      </c>
      <c r="W10" s="489"/>
      <c r="X10" s="2"/>
    </row>
    <row r="11" customFormat="false" ht="13.15" hidden="false" customHeight="false" outlineLevel="0" collapsed="false">
      <c r="A11" s="2" t="s">
        <v>256</v>
      </c>
      <c r="B11" s="2" t="s">
        <v>335</v>
      </c>
      <c r="C11" s="2" t="s">
        <v>314</v>
      </c>
      <c r="D11" s="2" t="n">
        <v>12</v>
      </c>
      <c r="E11" s="2" t="n">
        <v>2</v>
      </c>
      <c r="F11" s="2" t="n">
        <v>2.4</v>
      </c>
      <c r="G11" s="2" t="n">
        <f aca="false">(D11-E11)*F11</f>
        <v>24</v>
      </c>
      <c r="H11" s="2" t="n">
        <f aca="false">INT((G11*1000)/230)</f>
        <v>104</v>
      </c>
      <c r="I11" s="2" t="n">
        <f aca="false">((14-E11)*F11)-G11</f>
        <v>4.8</v>
      </c>
      <c r="J11" s="2" t="n">
        <f aca="false">H11/2</f>
        <v>52</v>
      </c>
      <c r="K11" s="487" t="n">
        <v>31</v>
      </c>
      <c r="L11" s="485" t="n">
        <v>45676</v>
      </c>
      <c r="M11" s="3" t="n">
        <f aca="false">ROUNDUP(((K11*230)/1000),0)</f>
        <v>8</v>
      </c>
      <c r="N11" s="486" t="n">
        <f aca="false">(O11*1000)/54.5</f>
        <v>160</v>
      </c>
      <c r="O11" s="486" t="n">
        <f aca="false">M11*1.09</f>
        <v>8.72</v>
      </c>
      <c r="P11" s="2"/>
      <c r="Q11" s="2"/>
      <c r="R11" s="2" t="n">
        <v>0</v>
      </c>
      <c r="S11" s="486" t="n">
        <f aca="false">(R11*230)/1000</f>
        <v>0</v>
      </c>
      <c r="T11" s="486" t="n">
        <f aca="false">K11+P11+R11</f>
        <v>31</v>
      </c>
      <c r="U11" s="486" t="n">
        <f aca="false">J11-T11</f>
        <v>21</v>
      </c>
      <c r="V11" s="396" t="n">
        <f aca="false">U11/J11</f>
        <v>0.403846153846154</v>
      </c>
      <c r="W11" s="2"/>
      <c r="X11" s="2"/>
    </row>
    <row r="12" customFormat="false" ht="13.15" hidden="false" customHeight="false" outlineLevel="0" collapsed="false">
      <c r="A12" s="2" t="s">
        <v>259</v>
      </c>
      <c r="B12" s="2" t="s">
        <v>336</v>
      </c>
      <c r="C12" s="2" t="s">
        <v>314</v>
      </c>
      <c r="D12" s="2" t="n">
        <v>22</v>
      </c>
      <c r="E12" s="2" t="n">
        <v>2</v>
      </c>
      <c r="F12" s="2" t="n">
        <v>2.4</v>
      </c>
      <c r="G12" s="2" t="n">
        <f aca="false">(D12-E12)*F12</f>
        <v>48</v>
      </c>
      <c r="H12" s="2" t="n">
        <f aca="false">INT((G12*1000)/230)</f>
        <v>208</v>
      </c>
      <c r="I12" s="2" t="n">
        <f aca="false">((26-E12)*F12)-G12</f>
        <v>9.59999999999999</v>
      </c>
      <c r="J12" s="2" t="n">
        <f aca="false">H12/2</f>
        <v>104</v>
      </c>
      <c r="K12" s="487" t="n">
        <v>76</v>
      </c>
      <c r="L12" s="485" t="n">
        <v>45676</v>
      </c>
      <c r="M12" s="3" t="n">
        <f aca="false">ROUNDUP(((K12*230)/1000),0)</f>
        <v>18</v>
      </c>
      <c r="N12" s="486" t="n">
        <f aca="false">(O12*1000)/54.5</f>
        <v>360</v>
      </c>
      <c r="O12" s="486" t="n">
        <f aca="false">M12*1.09</f>
        <v>19.62</v>
      </c>
      <c r="P12" s="2"/>
      <c r="Q12" s="2"/>
      <c r="R12" s="2" t="n">
        <v>3.3</v>
      </c>
      <c r="S12" s="486" t="n">
        <f aca="false">(R12*230)/1000</f>
        <v>0.759</v>
      </c>
      <c r="T12" s="486" t="n">
        <f aca="false">K12+P12+R12</f>
        <v>79.3</v>
      </c>
      <c r="U12" s="486" t="n">
        <f aca="false">J12-T12</f>
        <v>24.7</v>
      </c>
      <c r="V12" s="396" t="n">
        <f aca="false">U12/J12</f>
        <v>0.2375</v>
      </c>
      <c r="W12" s="2"/>
      <c r="X12" s="2"/>
    </row>
    <row r="13" customFormat="false" ht="13.15" hidden="false" customHeight="false" outlineLevel="0" collapsed="false">
      <c r="A13" s="2" t="s">
        <v>259</v>
      </c>
      <c r="B13" s="2" t="s">
        <v>337</v>
      </c>
      <c r="C13" s="2" t="s">
        <v>314</v>
      </c>
      <c r="D13" s="2" t="n">
        <v>22</v>
      </c>
      <c r="E13" s="2" t="n">
        <v>2</v>
      </c>
      <c r="F13" s="2" t="n">
        <v>2.4</v>
      </c>
      <c r="G13" s="2" t="n">
        <f aca="false">(D13-E13)*F13</f>
        <v>48</v>
      </c>
      <c r="H13" s="2" t="n">
        <f aca="false">INT((G13*1000)/230)</f>
        <v>208</v>
      </c>
      <c r="I13" s="2" t="n">
        <f aca="false">((26-E13)*F13)-G13</f>
        <v>9.59999999999999</v>
      </c>
      <c r="J13" s="2" t="n">
        <f aca="false">H13/2</f>
        <v>104</v>
      </c>
      <c r="K13" s="2" t="n">
        <v>66</v>
      </c>
      <c r="L13" s="485" t="n">
        <v>45676</v>
      </c>
      <c r="M13" s="3" t="n">
        <f aca="false">ROUNDUP(((K13*230)/1000),0)</f>
        <v>16</v>
      </c>
      <c r="N13" s="486" t="n">
        <f aca="false">(O13*1000)/54.5</f>
        <v>320</v>
      </c>
      <c r="O13" s="486" t="n">
        <f aca="false">M13*1.09</f>
        <v>17.44</v>
      </c>
      <c r="P13" s="2"/>
      <c r="Q13" s="2"/>
      <c r="R13" s="2" t="n">
        <v>3.3</v>
      </c>
      <c r="S13" s="486" t="n">
        <f aca="false">(R13*230)/1000</f>
        <v>0.759</v>
      </c>
      <c r="T13" s="486" t="n">
        <f aca="false">K13+P13+R13</f>
        <v>69.3</v>
      </c>
      <c r="U13" s="486" t="n">
        <f aca="false">J13-T13</f>
        <v>34.7</v>
      </c>
      <c r="V13" s="396" t="n">
        <f aca="false">U13/J13</f>
        <v>0.333653846153846</v>
      </c>
      <c r="W13" s="2"/>
      <c r="X13" s="2"/>
    </row>
    <row r="14" customFormat="false" ht="13.15" hidden="false" customHeight="false" outlineLevel="0" collapsed="false">
      <c r="A14" s="2" t="s">
        <v>261</v>
      </c>
      <c r="B14" s="2" t="s">
        <v>338</v>
      </c>
      <c r="C14" s="2" t="s">
        <v>314</v>
      </c>
      <c r="D14" s="2" t="n">
        <v>12</v>
      </c>
      <c r="E14" s="2" t="n">
        <v>2</v>
      </c>
      <c r="F14" s="2" t="n">
        <v>2.4</v>
      </c>
      <c r="G14" s="2" t="n">
        <f aca="false">(D14-E14)*F14</f>
        <v>24</v>
      </c>
      <c r="H14" s="2" t="n">
        <f aca="false">INT((G14*1000)/230)</f>
        <v>104</v>
      </c>
      <c r="I14" s="2" t="n">
        <f aca="false">((26-E14)*F14)-G14</f>
        <v>33.6</v>
      </c>
      <c r="J14" s="2" t="n">
        <f aca="false">H14/2</f>
        <v>52</v>
      </c>
      <c r="K14" s="487" t="n">
        <v>14</v>
      </c>
      <c r="L14" s="485" t="n">
        <v>45676</v>
      </c>
      <c r="M14" s="3" t="n">
        <f aca="false">ROUNDUP(((K14*230)/1000),0)</f>
        <v>4</v>
      </c>
      <c r="N14" s="486" t="n">
        <f aca="false">(O14*1000)/54.5</f>
        <v>80</v>
      </c>
      <c r="O14" s="486" t="n">
        <f aca="false">M14*1.09</f>
        <v>4.36</v>
      </c>
      <c r="P14" s="2"/>
      <c r="Q14" s="2"/>
      <c r="R14" s="2" t="n">
        <v>0</v>
      </c>
      <c r="S14" s="486" t="n">
        <f aca="false">(R14*230)/1000</f>
        <v>0</v>
      </c>
      <c r="T14" s="486" t="n">
        <f aca="false">K14+P14+R14</f>
        <v>14</v>
      </c>
      <c r="U14" s="486" t="n">
        <f aca="false">J14-T14</f>
        <v>38</v>
      </c>
      <c r="V14" s="396" t="n">
        <f aca="false">U14/J14</f>
        <v>0.730769230769231</v>
      </c>
      <c r="W14" s="2"/>
      <c r="X14" s="2"/>
    </row>
    <row r="15" customFormat="false" ht="13.5" hidden="false" customHeight="true" outlineLevel="0" collapsed="false">
      <c r="A15" s="2" t="s">
        <v>261</v>
      </c>
      <c r="B15" s="2" t="s">
        <v>339</v>
      </c>
      <c r="C15" s="2" t="s">
        <v>314</v>
      </c>
      <c r="D15" s="2" t="n">
        <v>12</v>
      </c>
      <c r="E15" s="2" t="n">
        <v>2</v>
      </c>
      <c r="F15" s="2" t="n">
        <v>2.4</v>
      </c>
      <c r="G15" s="2" t="n">
        <f aca="false">(D15-E15)*F15</f>
        <v>24</v>
      </c>
      <c r="H15" s="2" t="n">
        <f aca="false">INT((G15*1000)/230)</f>
        <v>104</v>
      </c>
      <c r="I15" s="2" t="n">
        <f aca="false">((26-E15)*F15)-G15</f>
        <v>33.6</v>
      </c>
      <c r="J15" s="2" t="n">
        <f aca="false">H15/2</f>
        <v>52</v>
      </c>
      <c r="K15" s="2" t="n">
        <v>11</v>
      </c>
      <c r="L15" s="485" t="n">
        <v>45676</v>
      </c>
      <c r="M15" s="3" t="n">
        <f aca="false">ROUNDUP(((K15*230)/1000),0)</f>
        <v>3</v>
      </c>
      <c r="N15" s="486" t="n">
        <f aca="false">(O15*1000)/54.5</f>
        <v>60</v>
      </c>
      <c r="O15" s="486" t="n">
        <f aca="false">M15*1.09</f>
        <v>3.27</v>
      </c>
      <c r="P15" s="2"/>
      <c r="Q15" s="2"/>
      <c r="R15" s="2" t="n">
        <v>0</v>
      </c>
      <c r="S15" s="486" t="n">
        <f aca="false">(R15*230)/1000</f>
        <v>0</v>
      </c>
      <c r="T15" s="486" t="n">
        <f aca="false">K15+P15+R15</f>
        <v>11</v>
      </c>
      <c r="U15" s="486" t="n">
        <f aca="false">J15-T15</f>
        <v>41</v>
      </c>
      <c r="V15" s="396" t="n">
        <f aca="false">U15/J15</f>
        <v>0.788461538461538</v>
      </c>
      <c r="W15" s="2"/>
      <c r="X15" s="2"/>
    </row>
    <row r="16" customFormat="false" ht="13.15" hidden="false" customHeight="false" outlineLevel="0" collapsed="false">
      <c r="A16" s="2" t="s">
        <v>265</v>
      </c>
      <c r="B16" s="2" t="s">
        <v>340</v>
      </c>
      <c r="C16" s="2" t="s">
        <v>314</v>
      </c>
      <c r="D16" s="2" t="n">
        <v>21</v>
      </c>
      <c r="E16" s="2" t="n">
        <v>2</v>
      </c>
      <c r="F16" s="2" t="n">
        <v>2.4</v>
      </c>
      <c r="G16" s="2" t="n">
        <f aca="false">(D16-E16)*F16</f>
        <v>45.6</v>
      </c>
      <c r="H16" s="2" t="n">
        <f aca="false">INT((G16*1000)/230)</f>
        <v>198</v>
      </c>
      <c r="I16" s="2" t="n">
        <f aca="false">((30-E16)*F16)-G16</f>
        <v>21.6</v>
      </c>
      <c r="J16" s="2" t="n">
        <f aca="false">H16/2</f>
        <v>99</v>
      </c>
      <c r="K16" s="2" t="n">
        <v>51</v>
      </c>
      <c r="L16" s="485" t="n">
        <v>45676</v>
      </c>
      <c r="M16" s="3" t="n">
        <f aca="false">ROUNDUP(((K16*230)/1000),0)</f>
        <v>12</v>
      </c>
      <c r="N16" s="486" t="n">
        <f aca="false">(O16*1000)/54.5</f>
        <v>240</v>
      </c>
      <c r="O16" s="486" t="n">
        <f aca="false">M16*1.09</f>
        <v>13.08</v>
      </c>
      <c r="P16" s="2"/>
      <c r="Q16" s="2"/>
      <c r="R16" s="2" t="n">
        <v>9</v>
      </c>
      <c r="S16" s="486" t="n">
        <f aca="false">(R16*230)/1000</f>
        <v>2.07</v>
      </c>
      <c r="T16" s="486" t="n">
        <f aca="false">K16+P16+R16</f>
        <v>60</v>
      </c>
      <c r="U16" s="486" t="n">
        <f aca="false">J16-T16</f>
        <v>39</v>
      </c>
      <c r="V16" s="396" t="n">
        <f aca="false">U16/J16</f>
        <v>0.393939393939394</v>
      </c>
      <c r="W16" s="487" t="s">
        <v>341</v>
      </c>
      <c r="X16" s="487" t="s">
        <v>342</v>
      </c>
      <c r="Y16" s="1" t="s">
        <v>343</v>
      </c>
    </row>
    <row r="17" customFormat="false" ht="13.15" hidden="false" customHeight="false" outlineLevel="0" collapsed="false">
      <c r="A17" s="2" t="s">
        <v>265</v>
      </c>
      <c r="B17" s="2" t="s">
        <v>344</v>
      </c>
      <c r="C17" s="2" t="s">
        <v>314</v>
      </c>
      <c r="D17" s="2" t="n">
        <v>21</v>
      </c>
      <c r="E17" s="2" t="n">
        <v>2</v>
      </c>
      <c r="F17" s="2" t="n">
        <v>2.4</v>
      </c>
      <c r="G17" s="2" t="n">
        <f aca="false">(D17-E17)*F17</f>
        <v>45.6</v>
      </c>
      <c r="H17" s="2" t="n">
        <f aca="false">INT((G17*1000)/230)</f>
        <v>198</v>
      </c>
      <c r="I17" s="2" t="n">
        <f aca="false">((30-E17)*F17)-G17</f>
        <v>21.6</v>
      </c>
      <c r="J17" s="2" t="n">
        <f aca="false">H17/2</f>
        <v>99</v>
      </c>
      <c r="K17" s="2" t="n">
        <v>42</v>
      </c>
      <c r="L17" s="485" t="n">
        <v>45676</v>
      </c>
      <c r="M17" s="3" t="n">
        <f aca="false">ROUNDUP(((K17*230)/1000),0)</f>
        <v>10</v>
      </c>
      <c r="N17" s="486" t="n">
        <f aca="false">(O17*1000)/54.5</f>
        <v>200</v>
      </c>
      <c r="O17" s="486" t="n">
        <f aca="false">M17*1.09</f>
        <v>10.9</v>
      </c>
      <c r="P17" s="2"/>
      <c r="Q17" s="2"/>
      <c r="R17" s="2" t="n">
        <v>9</v>
      </c>
      <c r="S17" s="486" t="n">
        <f aca="false">(R17*230)/1000</f>
        <v>2.07</v>
      </c>
      <c r="T17" s="486" t="n">
        <f aca="false">K17+P17+R17</f>
        <v>51</v>
      </c>
      <c r="U17" s="486" t="n">
        <f aca="false">J17-T17</f>
        <v>48</v>
      </c>
      <c r="V17" s="396" t="n">
        <f aca="false">U17/J17</f>
        <v>0.484848484848485</v>
      </c>
      <c r="W17" s="487" t="s">
        <v>341</v>
      </c>
      <c r="X17" s="487" t="s">
        <v>342</v>
      </c>
      <c r="Y17" s="1" t="s">
        <v>345</v>
      </c>
    </row>
    <row r="18" customFormat="false" ht="13.15" hidden="false" customHeight="false" outlineLevel="0" collapsed="false">
      <c r="A18" s="2" t="s">
        <v>265</v>
      </c>
      <c r="B18" s="2" t="s">
        <v>346</v>
      </c>
      <c r="C18" s="2" t="s">
        <v>314</v>
      </c>
      <c r="D18" s="2" t="n">
        <v>21</v>
      </c>
      <c r="E18" s="2" t="n">
        <v>2</v>
      </c>
      <c r="F18" s="2" t="n">
        <v>2.4</v>
      </c>
      <c r="G18" s="2" t="n">
        <f aca="false">(D18-E18)*F18</f>
        <v>45.6</v>
      </c>
      <c r="H18" s="2" t="n">
        <f aca="false">INT((G18*1000)/230)</f>
        <v>198</v>
      </c>
      <c r="I18" s="2" t="n">
        <f aca="false">((30-E18)*F18)-G18</f>
        <v>21.6</v>
      </c>
      <c r="J18" s="2" t="n">
        <f aca="false">H18/2</f>
        <v>99</v>
      </c>
      <c r="K18" s="2" t="n">
        <v>45</v>
      </c>
      <c r="L18" s="485" t="n">
        <v>45676</v>
      </c>
      <c r="M18" s="3" t="n">
        <f aca="false">ROUNDUP(((K18*230)/1000),0)</f>
        <v>11</v>
      </c>
      <c r="N18" s="486" t="n">
        <f aca="false">(O18*1000)/54.5</f>
        <v>220</v>
      </c>
      <c r="O18" s="486" t="n">
        <f aca="false">M18*1.09</f>
        <v>11.99</v>
      </c>
      <c r="P18" s="2"/>
      <c r="Q18" s="2"/>
      <c r="R18" s="2" t="n">
        <v>2.5</v>
      </c>
      <c r="S18" s="486" t="n">
        <f aca="false">(R18*230)/1000</f>
        <v>0.575</v>
      </c>
      <c r="T18" s="486" t="n">
        <f aca="false">K18+P18+R18</f>
        <v>47.5</v>
      </c>
      <c r="U18" s="486" t="n">
        <f aca="false">J18-T18</f>
        <v>51.5</v>
      </c>
      <c r="V18" s="396" t="n">
        <f aca="false">U18/J18</f>
        <v>0.52020202020202</v>
      </c>
      <c r="W18" s="487" t="s">
        <v>315</v>
      </c>
      <c r="X18" s="487" t="s">
        <v>347</v>
      </c>
    </row>
    <row r="19" customFormat="false" ht="13.15" hidden="false" customHeight="false" outlineLevel="0" collapsed="false">
      <c r="A19" s="2" t="s">
        <v>265</v>
      </c>
      <c r="B19" s="2" t="s">
        <v>348</v>
      </c>
      <c r="C19" s="2" t="s">
        <v>314</v>
      </c>
      <c r="D19" s="2" t="n">
        <v>21</v>
      </c>
      <c r="E19" s="2" t="n">
        <v>2</v>
      </c>
      <c r="F19" s="2" t="n">
        <v>2.4</v>
      </c>
      <c r="G19" s="2" t="n">
        <f aca="false">(D19-E19)*F19</f>
        <v>45.6</v>
      </c>
      <c r="H19" s="2" t="n">
        <f aca="false">INT((G19*1000)/230)</f>
        <v>198</v>
      </c>
      <c r="I19" s="2" t="n">
        <f aca="false">((30-E19)*F19)-G19</f>
        <v>21.6</v>
      </c>
      <c r="J19" s="2" t="n">
        <f aca="false">H19/2</f>
        <v>99</v>
      </c>
      <c r="K19" s="2" t="n">
        <v>47</v>
      </c>
      <c r="L19" s="485" t="n">
        <v>45676</v>
      </c>
      <c r="M19" s="3" t="n">
        <f aca="false">ROUNDUP(((K19*230)/1000),0)</f>
        <v>11</v>
      </c>
      <c r="N19" s="486" t="n">
        <f aca="false">(O19*1000)/54.5</f>
        <v>220</v>
      </c>
      <c r="O19" s="486" t="n">
        <f aca="false">M19*1.09</f>
        <v>11.99</v>
      </c>
      <c r="P19" s="2"/>
      <c r="Q19" s="2"/>
      <c r="R19" s="2" t="n">
        <v>2.5</v>
      </c>
      <c r="S19" s="486" t="n">
        <f aca="false">(R19*230)/1000</f>
        <v>0.575</v>
      </c>
      <c r="T19" s="486" t="n">
        <f aca="false">K19+P19+R19</f>
        <v>49.5</v>
      </c>
      <c r="U19" s="486" t="n">
        <f aca="false">J19-T19</f>
        <v>49.5</v>
      </c>
      <c r="V19" s="396" t="n">
        <f aca="false">U19/J19</f>
        <v>0.5</v>
      </c>
      <c r="W19" s="487" t="s">
        <v>315</v>
      </c>
      <c r="X19" s="487" t="s">
        <v>347</v>
      </c>
    </row>
    <row r="20" customFormat="false" ht="14.45" hidden="false" customHeight="false" outlineLevel="0" collapsed="false">
      <c r="A20" s="2" t="s">
        <v>263</v>
      </c>
      <c r="B20" s="2" t="s">
        <v>349</v>
      </c>
      <c r="C20" s="2" t="s">
        <v>314</v>
      </c>
      <c r="D20" s="2" t="n">
        <v>14</v>
      </c>
      <c r="E20" s="2" t="n">
        <v>2</v>
      </c>
      <c r="F20" s="2" t="n">
        <v>2.4</v>
      </c>
      <c r="G20" s="2" t="n">
        <f aca="false">(D20-E20)*F20</f>
        <v>28.8</v>
      </c>
      <c r="H20" s="2" t="n">
        <f aca="false">INT((G20*1000)/230)</f>
        <v>125</v>
      </c>
      <c r="I20" s="2" t="n">
        <f aca="false">((14-E20)*F20)-G20</f>
        <v>0</v>
      </c>
      <c r="J20" s="2" t="n">
        <f aca="false">H20/2</f>
        <v>62.5</v>
      </c>
      <c r="K20" s="488" t="n">
        <v>10</v>
      </c>
      <c r="L20" s="485" t="n">
        <v>45410</v>
      </c>
      <c r="M20" s="3" t="n">
        <f aca="false">((K20*230)/1000)</f>
        <v>2.3</v>
      </c>
      <c r="N20" s="486" t="n">
        <f aca="false">(O20*1000)/54.5</f>
        <v>46</v>
      </c>
      <c r="O20" s="486" t="n">
        <f aca="false">M20*1.09</f>
        <v>2.507</v>
      </c>
      <c r="P20" s="2"/>
      <c r="Q20" s="2"/>
      <c r="R20" s="2" t="n">
        <v>9</v>
      </c>
      <c r="S20" s="486" t="n">
        <f aca="false">(R20*230)/1000</f>
        <v>2.07</v>
      </c>
      <c r="T20" s="486" t="n">
        <f aca="false">K20+P20+R20</f>
        <v>19</v>
      </c>
      <c r="U20" s="486" t="n">
        <f aca="false">J20-T20</f>
        <v>43.5</v>
      </c>
      <c r="V20" s="396" t="n">
        <f aca="false">U20/J20</f>
        <v>0.696</v>
      </c>
      <c r="W20" s="490" t="s">
        <v>350</v>
      </c>
      <c r="X20" s="2" t="s">
        <v>351</v>
      </c>
      <c r="Y20" s="1" t="s">
        <v>352</v>
      </c>
    </row>
    <row r="21" customFormat="false" ht="14.45" hidden="false" customHeight="false" outlineLevel="0" collapsed="false">
      <c r="A21" s="2" t="s">
        <v>263</v>
      </c>
      <c r="B21" s="2" t="s">
        <v>353</v>
      </c>
      <c r="C21" s="2" t="s">
        <v>314</v>
      </c>
      <c r="D21" s="2" t="n">
        <v>14</v>
      </c>
      <c r="E21" s="2" t="n">
        <v>2</v>
      </c>
      <c r="F21" s="2" t="n">
        <v>2.4</v>
      </c>
      <c r="G21" s="2" t="n">
        <f aca="false">(D21-E21)*F21</f>
        <v>28.8</v>
      </c>
      <c r="H21" s="2" t="n">
        <f aca="false">INT((G21*1000)/230)</f>
        <v>125</v>
      </c>
      <c r="I21" s="2" t="n">
        <f aca="false">((14-E21)*F21)-G21</f>
        <v>0</v>
      </c>
      <c r="J21" s="2" t="n">
        <f aca="false">H21/2</f>
        <v>62.5</v>
      </c>
      <c r="K21" s="488" t="n">
        <v>5</v>
      </c>
      <c r="L21" s="485" t="n">
        <v>45410</v>
      </c>
      <c r="M21" s="3" t="n">
        <f aca="false">((K21*230)/1000)</f>
        <v>1.15</v>
      </c>
      <c r="N21" s="486" t="n">
        <f aca="false">(O21*1000)/54.5</f>
        <v>23</v>
      </c>
      <c r="O21" s="486" t="n">
        <f aca="false">M21*1.09</f>
        <v>1.2535</v>
      </c>
      <c r="P21" s="2"/>
      <c r="Q21" s="2"/>
      <c r="R21" s="2" t="n">
        <v>9</v>
      </c>
      <c r="S21" s="486" t="n">
        <f aca="false">(R21*230)/1000</f>
        <v>2.07</v>
      </c>
      <c r="T21" s="486" t="n">
        <f aca="false">K21+P21+R21</f>
        <v>14</v>
      </c>
      <c r="U21" s="486" t="n">
        <f aca="false">J21-T21</f>
        <v>48.5</v>
      </c>
      <c r="V21" s="396" t="n">
        <f aca="false">U21/J21</f>
        <v>0.776</v>
      </c>
      <c r="W21" s="490" t="s">
        <v>350</v>
      </c>
      <c r="X21" s="2" t="s">
        <v>351</v>
      </c>
      <c r="Y21" s="1" t="s">
        <v>354</v>
      </c>
    </row>
    <row r="22" s="494" customFormat="true" ht="13.15" hidden="false" customHeight="false" outlineLevel="0" collapsed="false">
      <c r="A22" s="487" t="s">
        <v>263</v>
      </c>
      <c r="B22" s="487" t="s">
        <v>355</v>
      </c>
      <c r="C22" s="487" t="s">
        <v>314</v>
      </c>
      <c r="D22" s="487" t="n">
        <v>14</v>
      </c>
      <c r="E22" s="487" t="n">
        <v>2</v>
      </c>
      <c r="F22" s="487" t="n">
        <v>2.4</v>
      </c>
      <c r="G22" s="487" t="n">
        <f aca="false">(D22-E22)*F22</f>
        <v>28.8</v>
      </c>
      <c r="H22" s="487" t="n">
        <f aca="false">INT((G22*1000)/230)</f>
        <v>125</v>
      </c>
      <c r="I22" s="487" t="n">
        <f aca="false">((14-E22)*F22)-G22</f>
        <v>0</v>
      </c>
      <c r="J22" s="487" t="n">
        <f aca="false">H22/2</f>
        <v>62.5</v>
      </c>
      <c r="K22" s="491" t="n">
        <v>53.6</v>
      </c>
      <c r="L22" s="485" t="n">
        <v>45019</v>
      </c>
      <c r="M22" s="3" t="n">
        <f aca="false">((K22*230)/1000)</f>
        <v>12.328</v>
      </c>
      <c r="N22" s="492" t="n">
        <f aca="false">(O22*1000)/54.5</f>
        <v>246.56</v>
      </c>
      <c r="O22" s="492" t="n">
        <f aca="false">M22*1.09</f>
        <v>13.43752</v>
      </c>
      <c r="P22" s="487"/>
      <c r="Q22" s="487"/>
      <c r="R22" s="487" t="n">
        <v>3.5</v>
      </c>
      <c r="S22" s="492" t="n">
        <f aca="false">(R22*230)/1000</f>
        <v>0.805</v>
      </c>
      <c r="T22" s="486" t="n">
        <f aca="false">K22+P22+R22</f>
        <v>57.1</v>
      </c>
      <c r="U22" s="492" t="n">
        <f aca="false">J22-T22</f>
        <v>5.4</v>
      </c>
      <c r="V22" s="493" t="n">
        <f aca="false">U22/J22</f>
        <v>0.0864</v>
      </c>
      <c r="W22" s="489"/>
      <c r="X22" s="489"/>
    </row>
    <row r="23" s="494" customFormat="true" ht="13.15" hidden="false" customHeight="false" outlineLevel="0" collapsed="false">
      <c r="A23" s="487" t="s">
        <v>263</v>
      </c>
      <c r="B23" s="487" t="s">
        <v>356</v>
      </c>
      <c r="C23" s="487" t="s">
        <v>314</v>
      </c>
      <c r="D23" s="487" t="n">
        <v>14</v>
      </c>
      <c r="E23" s="487" t="n">
        <v>2</v>
      </c>
      <c r="F23" s="487" t="n">
        <v>2.4</v>
      </c>
      <c r="G23" s="487" t="n">
        <f aca="false">(D23-E23)*F23</f>
        <v>28.8</v>
      </c>
      <c r="H23" s="487" t="n">
        <f aca="false">INT((G23*1000)/230)</f>
        <v>125</v>
      </c>
      <c r="I23" s="487" t="n">
        <f aca="false">((14-E23)*F23)-G23</f>
        <v>0</v>
      </c>
      <c r="J23" s="487" t="n">
        <f aca="false">H23/2</f>
        <v>62.5</v>
      </c>
      <c r="K23" s="491" t="n">
        <v>53.7</v>
      </c>
      <c r="L23" s="485" t="n">
        <v>45019</v>
      </c>
      <c r="M23" s="3" t="n">
        <f aca="false">((K23*230)/1000)</f>
        <v>12.351</v>
      </c>
      <c r="N23" s="492" t="n">
        <f aca="false">(O23*1000)/54.5</f>
        <v>247.02</v>
      </c>
      <c r="O23" s="492" t="n">
        <f aca="false">M23*1.09</f>
        <v>13.46259</v>
      </c>
      <c r="P23" s="487"/>
      <c r="Q23" s="487"/>
      <c r="R23" s="487" t="n">
        <v>3.5</v>
      </c>
      <c r="S23" s="492" t="n">
        <f aca="false">(R23*230)/1000</f>
        <v>0.805</v>
      </c>
      <c r="T23" s="486" t="n">
        <f aca="false">K23+P23+R23</f>
        <v>57.2</v>
      </c>
      <c r="U23" s="492" t="n">
        <f aca="false">J23-T23</f>
        <v>5.3</v>
      </c>
      <c r="V23" s="493" t="n">
        <f aca="false">U23/J23</f>
        <v>0.0848</v>
      </c>
      <c r="W23" s="489"/>
      <c r="X23" s="489"/>
    </row>
    <row r="24" customFormat="false" ht="13.15" hidden="false" customHeight="false" outlineLevel="0" collapsed="false">
      <c r="A24" s="2" t="s">
        <v>266</v>
      </c>
      <c r="B24" s="2" t="s">
        <v>357</v>
      </c>
      <c r="C24" s="2" t="s">
        <v>314</v>
      </c>
      <c r="D24" s="2" t="n">
        <v>24</v>
      </c>
      <c r="E24" s="2" t="n">
        <v>2</v>
      </c>
      <c r="F24" s="2" t="n">
        <v>2.4</v>
      </c>
      <c r="G24" s="2" t="n">
        <f aca="false">(D24-E24)*F24</f>
        <v>52.8</v>
      </c>
      <c r="H24" s="2" t="n">
        <f aca="false">INT((G24*1000)/230)</f>
        <v>229</v>
      </c>
      <c r="I24" s="2" t="n">
        <f aca="false">((26-E24)*F24)-G24</f>
        <v>4.8</v>
      </c>
      <c r="J24" s="2" t="n">
        <f aca="false">H24/2</f>
        <v>114.5</v>
      </c>
      <c r="K24" s="2" t="n">
        <v>73</v>
      </c>
      <c r="L24" s="485" t="n">
        <v>45676</v>
      </c>
      <c r="M24" s="3" t="n">
        <f aca="false">ROUNDUP(((K24*230)/1000),0)</f>
        <v>17</v>
      </c>
      <c r="N24" s="486" t="n">
        <f aca="false">(O24*1000)/54.5</f>
        <v>340</v>
      </c>
      <c r="O24" s="486" t="n">
        <f aca="false">M24*1.09</f>
        <v>18.53</v>
      </c>
      <c r="P24" s="2"/>
      <c r="Q24" s="2"/>
      <c r="R24" s="2" t="n">
        <v>0</v>
      </c>
      <c r="S24" s="486" t="n">
        <f aca="false">(R24*230)/1000</f>
        <v>0</v>
      </c>
      <c r="T24" s="486" t="n">
        <f aca="false">K24+P24+R24</f>
        <v>73</v>
      </c>
      <c r="U24" s="486" t="n">
        <f aca="false">J24-T24</f>
        <v>41.5</v>
      </c>
      <c r="V24" s="396" t="n">
        <f aca="false">U24/J24</f>
        <v>0.362445414847162</v>
      </c>
      <c r="W24" s="487"/>
      <c r="X24" s="487"/>
    </row>
    <row r="25" customFormat="false" ht="13.15" hidden="false" customHeight="false" outlineLevel="0" collapsed="false">
      <c r="A25" s="2" t="s">
        <v>266</v>
      </c>
      <c r="B25" s="2" t="s">
        <v>358</v>
      </c>
      <c r="C25" s="2" t="s">
        <v>314</v>
      </c>
      <c r="D25" s="2" t="n">
        <v>24</v>
      </c>
      <c r="E25" s="2" t="n">
        <v>2</v>
      </c>
      <c r="F25" s="2" t="n">
        <v>2.4</v>
      </c>
      <c r="G25" s="2" t="n">
        <f aca="false">(D25-E25)*F25</f>
        <v>52.8</v>
      </c>
      <c r="H25" s="2" t="n">
        <f aca="false">INT((G25*1000)/230)</f>
        <v>229</v>
      </c>
      <c r="I25" s="2" t="n">
        <f aca="false">((26-E25)*F25)-G25</f>
        <v>4.8</v>
      </c>
      <c r="J25" s="2" t="n">
        <f aca="false">H25/2</f>
        <v>114.5</v>
      </c>
      <c r="K25" s="2" t="n">
        <v>66</v>
      </c>
      <c r="L25" s="485" t="n">
        <v>45676</v>
      </c>
      <c r="M25" s="3" t="n">
        <f aca="false">ROUNDUP(((K25*230)/1000),0)</f>
        <v>16</v>
      </c>
      <c r="N25" s="486" t="n">
        <f aca="false">(O25*1000)/54.5</f>
        <v>320</v>
      </c>
      <c r="O25" s="486" t="n">
        <f aca="false">M25*1.09</f>
        <v>17.44</v>
      </c>
      <c r="P25" s="2"/>
      <c r="Q25" s="2"/>
      <c r="R25" s="2" t="n">
        <v>0</v>
      </c>
      <c r="S25" s="486" t="n">
        <f aca="false">(R25*230)/1000</f>
        <v>0</v>
      </c>
      <c r="T25" s="486" t="n">
        <f aca="false">K25+P25+R25</f>
        <v>66</v>
      </c>
      <c r="U25" s="486" t="n">
        <f aca="false">J25-T25</f>
        <v>48.5</v>
      </c>
      <c r="V25" s="396" t="n">
        <f aca="false">U25/J25</f>
        <v>0.423580786026201</v>
      </c>
      <c r="W25" s="487"/>
      <c r="X25" s="487"/>
    </row>
    <row r="26" customFormat="false" ht="13.15" hidden="false" customHeight="false" outlineLevel="0" collapsed="false">
      <c r="A26" s="2" t="s">
        <v>267</v>
      </c>
      <c r="B26" s="2" t="s">
        <v>359</v>
      </c>
      <c r="C26" s="2" t="s">
        <v>314</v>
      </c>
      <c r="D26" s="2" t="n">
        <v>26</v>
      </c>
      <c r="E26" s="2" t="n">
        <v>2</v>
      </c>
      <c r="F26" s="2" t="n">
        <v>2.4</v>
      </c>
      <c r="G26" s="2" t="n">
        <f aca="false">(D26-E26)*F26</f>
        <v>57.6</v>
      </c>
      <c r="H26" s="2" t="n">
        <f aca="false">INT((G26*1000)/230)</f>
        <v>250</v>
      </c>
      <c r="I26" s="2" t="n">
        <f aca="false">((26-E26)*F26)-G26</f>
        <v>0</v>
      </c>
      <c r="J26" s="2" t="n">
        <f aca="false">H26/2</f>
        <v>125</v>
      </c>
      <c r="K26" s="2" t="n">
        <v>95</v>
      </c>
      <c r="L26" s="485" t="n">
        <v>45676</v>
      </c>
      <c r="M26" s="3" t="n">
        <f aca="false">ROUNDUP(((K26*230)/1000),0)</f>
        <v>22</v>
      </c>
      <c r="N26" s="486" t="n">
        <f aca="false">(O26*1000)/54.5</f>
        <v>440</v>
      </c>
      <c r="O26" s="486" t="n">
        <f aca="false">M26*1.09</f>
        <v>23.98</v>
      </c>
      <c r="P26" s="2"/>
      <c r="Q26" s="2"/>
      <c r="R26" s="2" t="n">
        <v>3</v>
      </c>
      <c r="S26" s="486" t="n">
        <f aca="false">(R26*230)/1000</f>
        <v>0.69</v>
      </c>
      <c r="T26" s="486" t="n">
        <f aca="false">K26+P26+R26</f>
        <v>98</v>
      </c>
      <c r="U26" s="486" t="n">
        <f aca="false">J26-T26</f>
        <v>27</v>
      </c>
      <c r="V26" s="396" t="n">
        <f aca="false">U26/J26</f>
        <v>0.216</v>
      </c>
      <c r="W26" s="487" t="s">
        <v>321</v>
      </c>
      <c r="X26" s="2" t="s">
        <v>360</v>
      </c>
      <c r="Y26" s="1" t="s">
        <v>361</v>
      </c>
    </row>
    <row r="27" customFormat="false" ht="13.15" hidden="false" customHeight="false" outlineLevel="0" collapsed="false">
      <c r="A27" s="2" t="s">
        <v>267</v>
      </c>
      <c r="B27" s="2" t="s">
        <v>362</v>
      </c>
      <c r="C27" s="2" t="s">
        <v>314</v>
      </c>
      <c r="D27" s="2" t="n">
        <v>26</v>
      </c>
      <c r="E27" s="2" t="n">
        <v>2</v>
      </c>
      <c r="F27" s="2" t="n">
        <v>2.4</v>
      </c>
      <c r="G27" s="2" t="n">
        <f aca="false">(D27-E27)*F27</f>
        <v>57.6</v>
      </c>
      <c r="H27" s="2" t="n">
        <f aca="false">INT((G27*1000)/230)</f>
        <v>250</v>
      </c>
      <c r="I27" s="2" t="n">
        <f aca="false">((26-E27)*F27)-G27</f>
        <v>0</v>
      </c>
      <c r="J27" s="2" t="n">
        <f aca="false">H27/2</f>
        <v>125</v>
      </c>
      <c r="K27" s="2" t="n">
        <v>98</v>
      </c>
      <c r="L27" s="485" t="n">
        <v>45676</v>
      </c>
      <c r="M27" s="3" t="n">
        <f aca="false">ROUNDUP(((K27*230)/1000),0)</f>
        <v>23</v>
      </c>
      <c r="N27" s="486" t="n">
        <f aca="false">(O27*1000)/54.5</f>
        <v>460</v>
      </c>
      <c r="O27" s="486" t="n">
        <f aca="false">M27*1.09</f>
        <v>25.07</v>
      </c>
      <c r="P27" s="2"/>
      <c r="Q27" s="2"/>
      <c r="R27" s="2" t="n">
        <v>3</v>
      </c>
      <c r="S27" s="486" t="n">
        <f aca="false">(R27*230)/1000</f>
        <v>0.69</v>
      </c>
      <c r="T27" s="486" t="n">
        <f aca="false">K27+P27+R27</f>
        <v>101</v>
      </c>
      <c r="U27" s="486" t="n">
        <f aca="false">J27-T27</f>
        <v>24</v>
      </c>
      <c r="V27" s="396" t="n">
        <f aca="false">U27/J27</f>
        <v>0.192</v>
      </c>
      <c r="W27" s="487" t="s">
        <v>321</v>
      </c>
      <c r="X27" s="2" t="s">
        <v>360</v>
      </c>
      <c r="Y27" s="1" t="s">
        <v>363</v>
      </c>
    </row>
    <row r="28" s="346" customFormat="true" ht="13.15" hidden="false" customHeight="false" outlineLevel="0" collapsed="false">
      <c r="A28" s="487" t="s">
        <v>268</v>
      </c>
      <c r="B28" s="487" t="s">
        <v>364</v>
      </c>
      <c r="C28" s="487" t="s">
        <v>365</v>
      </c>
      <c r="D28" s="487" t="n">
        <v>21</v>
      </c>
      <c r="E28" s="487" t="n">
        <v>6</v>
      </c>
      <c r="F28" s="487" t="n">
        <v>2</v>
      </c>
      <c r="G28" s="487" t="n">
        <f aca="false">(D28-E28)*2</f>
        <v>30</v>
      </c>
      <c r="H28" s="487" t="n">
        <f aca="false">INT((G28*1000)/230)</f>
        <v>130</v>
      </c>
      <c r="I28" s="487" t="n">
        <f aca="false">48-G28</f>
        <v>18</v>
      </c>
      <c r="J28" s="487"/>
      <c r="K28" s="491" t="n">
        <v>23</v>
      </c>
      <c r="L28" s="485" t="n">
        <v>45522</v>
      </c>
      <c r="M28" s="495" t="n">
        <f aca="false">ROUNDUP(((K28*230)/1000),0)</f>
        <v>6</v>
      </c>
      <c r="N28" s="492" t="n">
        <f aca="false">(O28*1000)/54.5</f>
        <v>120</v>
      </c>
      <c r="O28" s="492" t="n">
        <f aca="false">M28*1.09</f>
        <v>6.54</v>
      </c>
      <c r="P28" s="487"/>
      <c r="Q28" s="487"/>
      <c r="R28" s="487" t="n">
        <v>0</v>
      </c>
      <c r="S28" s="492" t="n">
        <f aca="false">(R28*230)/1000</f>
        <v>0</v>
      </c>
      <c r="T28" s="492" t="n">
        <f aca="false">K28+P28+R28</f>
        <v>23</v>
      </c>
      <c r="U28" s="492" t="n">
        <f aca="false">H28-T28</f>
        <v>107</v>
      </c>
      <c r="V28" s="396"/>
      <c r="W28" s="2"/>
      <c r="X28" s="14"/>
    </row>
    <row r="29" s="346" customFormat="true" ht="13.15" hidden="false" customHeight="false" outlineLevel="0" collapsed="false">
      <c r="A29" s="487" t="s">
        <v>268</v>
      </c>
      <c r="B29" s="487" t="s">
        <v>366</v>
      </c>
      <c r="C29" s="487" t="s">
        <v>365</v>
      </c>
      <c r="D29" s="487" t="n">
        <v>21</v>
      </c>
      <c r="E29" s="487" t="n">
        <v>6</v>
      </c>
      <c r="F29" s="487" t="n">
        <v>2</v>
      </c>
      <c r="G29" s="487" t="n">
        <f aca="false">(D29-E29)*2</f>
        <v>30</v>
      </c>
      <c r="H29" s="487" t="n">
        <f aca="false">INT((G29*1000)/230)</f>
        <v>130</v>
      </c>
      <c r="I29" s="487" t="n">
        <f aca="false">48-G29</f>
        <v>18</v>
      </c>
      <c r="J29" s="487"/>
      <c r="K29" s="491" t="n">
        <v>23</v>
      </c>
      <c r="L29" s="485" t="n">
        <v>45522</v>
      </c>
      <c r="M29" s="495" t="n">
        <f aca="false">ROUNDUP(((K29*230)/1000),0)</f>
        <v>6</v>
      </c>
      <c r="N29" s="492" t="n">
        <f aca="false">(O29*1000)/54.5</f>
        <v>120</v>
      </c>
      <c r="O29" s="492" t="n">
        <f aca="false">M29*1.09</f>
        <v>6.54</v>
      </c>
      <c r="P29" s="487"/>
      <c r="Q29" s="487"/>
      <c r="R29" s="487" t="n">
        <v>0</v>
      </c>
      <c r="S29" s="492" t="n">
        <f aca="false">(R29*230)/1000</f>
        <v>0</v>
      </c>
      <c r="T29" s="492" t="n">
        <f aca="false">K29+P29+R29</f>
        <v>23</v>
      </c>
      <c r="U29" s="492" t="n">
        <f aca="false">H29-T29</f>
        <v>107</v>
      </c>
      <c r="V29" s="396"/>
      <c r="W29" s="14"/>
      <c r="X29" s="14"/>
    </row>
    <row r="30" customFormat="false" ht="13.15" hidden="false" customHeight="false" outlineLevel="0" collapsed="false">
      <c r="A30" s="2" t="s">
        <v>268</v>
      </c>
      <c r="B30" s="2" t="s">
        <v>367</v>
      </c>
      <c r="C30" s="2" t="s">
        <v>314</v>
      </c>
      <c r="D30" s="2" t="n">
        <v>19</v>
      </c>
      <c r="E30" s="2" t="n">
        <v>2</v>
      </c>
      <c r="F30" s="2" t="n">
        <v>2.4</v>
      </c>
      <c r="G30" s="2" t="n">
        <f aca="false">(D30-E30)*F30</f>
        <v>40.8</v>
      </c>
      <c r="H30" s="2" t="n">
        <f aca="false">INT((G30*1000)/230)</f>
        <v>177</v>
      </c>
      <c r="I30" s="2" t="n">
        <f aca="false">((30-E30)*F30)-G30</f>
        <v>26.4</v>
      </c>
      <c r="J30" s="2" t="n">
        <f aca="false">H30/2</f>
        <v>88.5</v>
      </c>
      <c r="K30" s="2" t="n">
        <v>65</v>
      </c>
      <c r="L30" s="485" t="n">
        <v>45676</v>
      </c>
      <c r="M30" s="3" t="n">
        <f aca="false">ROUNDUP(((K30*230)/1000),0)</f>
        <v>15</v>
      </c>
      <c r="N30" s="486" t="n">
        <f aca="false">(O30*1000)/54.5</f>
        <v>300</v>
      </c>
      <c r="O30" s="486" t="n">
        <f aca="false">M30*1.09</f>
        <v>16.35</v>
      </c>
      <c r="P30" s="2"/>
      <c r="Q30" s="2"/>
      <c r="R30" s="2" t="n">
        <v>0</v>
      </c>
      <c r="S30" s="486" t="n">
        <f aca="false">(R30*230)/1000</f>
        <v>0</v>
      </c>
      <c r="T30" s="486" t="n">
        <f aca="false">K30+P30+R30</f>
        <v>65</v>
      </c>
      <c r="U30" s="486" t="n">
        <f aca="false">J30-T30</f>
        <v>23.5</v>
      </c>
      <c r="V30" s="396" t="n">
        <f aca="false">U30/J30</f>
        <v>0.265536723163842</v>
      </c>
      <c r="W30" s="487" t="s">
        <v>321</v>
      </c>
      <c r="X30" s="2" t="s">
        <v>322</v>
      </c>
      <c r="Y30" s="1" t="s">
        <v>368</v>
      </c>
    </row>
    <row r="31" customFormat="false" ht="13.15" hidden="false" customHeight="false" outlineLevel="0" collapsed="false">
      <c r="A31" s="2" t="s">
        <v>268</v>
      </c>
      <c r="B31" s="2" t="s">
        <v>369</v>
      </c>
      <c r="C31" s="2" t="s">
        <v>314</v>
      </c>
      <c r="D31" s="2" t="n">
        <v>19</v>
      </c>
      <c r="E31" s="2" t="n">
        <v>2</v>
      </c>
      <c r="F31" s="2" t="n">
        <v>2.4</v>
      </c>
      <c r="G31" s="2" t="n">
        <f aca="false">(D31-E31)*F31</f>
        <v>40.8</v>
      </c>
      <c r="H31" s="2" t="n">
        <f aca="false">INT((G31*1000)/230)</f>
        <v>177</v>
      </c>
      <c r="I31" s="2" t="n">
        <f aca="false">((30-E31)*F31)-G31</f>
        <v>26.4</v>
      </c>
      <c r="J31" s="2" t="n">
        <f aca="false">H31/2</f>
        <v>88.5</v>
      </c>
      <c r="K31" s="2" t="n">
        <v>64</v>
      </c>
      <c r="L31" s="485" t="n">
        <v>45676</v>
      </c>
      <c r="M31" s="3" t="n">
        <f aca="false">ROUNDUP(((K31*230)/1000),0)</f>
        <v>15</v>
      </c>
      <c r="N31" s="486" t="n">
        <f aca="false">(O31*1000)/54.5</f>
        <v>300</v>
      </c>
      <c r="O31" s="486" t="n">
        <f aca="false">M31*1.09</f>
        <v>16.35</v>
      </c>
      <c r="P31" s="2"/>
      <c r="Q31" s="2"/>
      <c r="R31" s="2" t="n">
        <v>0</v>
      </c>
      <c r="S31" s="486" t="n">
        <f aca="false">(R31*230)/1000</f>
        <v>0</v>
      </c>
      <c r="T31" s="486" t="n">
        <f aca="false">K31+P31+R31</f>
        <v>64</v>
      </c>
      <c r="U31" s="486" t="n">
        <f aca="false">J31-T31</f>
        <v>24.5</v>
      </c>
      <c r="V31" s="396" t="n">
        <f aca="false">U31/J31</f>
        <v>0.27683615819209</v>
      </c>
      <c r="W31" s="487" t="s">
        <v>321</v>
      </c>
      <c r="X31" s="2" t="s">
        <v>322</v>
      </c>
      <c r="Y31" s="1" t="s">
        <v>370</v>
      </c>
    </row>
    <row r="32" customFormat="false" ht="13.15" hidden="false" customHeight="false" outlineLevel="0" collapsed="false">
      <c r="A32" s="2" t="s">
        <v>268</v>
      </c>
      <c r="B32" s="2" t="s">
        <v>371</v>
      </c>
      <c r="C32" s="2" t="s">
        <v>314</v>
      </c>
      <c r="D32" s="2" t="n">
        <v>25</v>
      </c>
      <c r="E32" s="2" t="n">
        <v>2</v>
      </c>
      <c r="F32" s="2" t="n">
        <v>2.4</v>
      </c>
      <c r="G32" s="2" t="n">
        <f aca="false">(D32-E32)*F32</f>
        <v>55.2</v>
      </c>
      <c r="H32" s="2" t="n">
        <f aca="false">INT((G32*1000)/230)</f>
        <v>240</v>
      </c>
      <c r="I32" s="2" t="n">
        <f aca="false">((30-E32)*F32)-G32</f>
        <v>12</v>
      </c>
      <c r="J32" s="2" t="n">
        <f aca="false">H32/2</f>
        <v>120</v>
      </c>
      <c r="K32" s="2" t="n">
        <v>48</v>
      </c>
      <c r="L32" s="485" t="n">
        <v>45676</v>
      </c>
      <c r="M32" s="3" t="n">
        <f aca="false">ROUNDUP(((K32*230)/1000),0)</f>
        <v>12</v>
      </c>
      <c r="N32" s="486" t="n">
        <f aca="false">(O32*1000)/54.5</f>
        <v>240</v>
      </c>
      <c r="O32" s="486" t="n">
        <f aca="false">M32*1.09</f>
        <v>13.08</v>
      </c>
      <c r="P32" s="2"/>
      <c r="Q32" s="2"/>
      <c r="R32" s="2" t="n">
        <v>0</v>
      </c>
      <c r="S32" s="486" t="n">
        <f aca="false">(R32*230)/1000</f>
        <v>0</v>
      </c>
      <c r="T32" s="486" t="n">
        <f aca="false">K32+P32+R32</f>
        <v>48</v>
      </c>
      <c r="U32" s="486" t="n">
        <f aca="false">J32-T32</f>
        <v>72</v>
      </c>
      <c r="V32" s="396" t="n">
        <f aca="false">U32/J32</f>
        <v>0.6</v>
      </c>
      <c r="W32" s="489"/>
      <c r="X32" s="489"/>
    </row>
    <row r="33" customFormat="false" ht="13.15" hidden="false" customHeight="false" outlineLevel="0" collapsed="false">
      <c r="A33" s="2" t="s">
        <v>268</v>
      </c>
      <c r="B33" s="2" t="s">
        <v>372</v>
      </c>
      <c r="C33" s="2" t="s">
        <v>314</v>
      </c>
      <c r="D33" s="2" t="n">
        <v>25</v>
      </c>
      <c r="E33" s="2" t="n">
        <v>2</v>
      </c>
      <c r="F33" s="2" t="n">
        <v>2.4</v>
      </c>
      <c r="G33" s="2" t="n">
        <f aca="false">(D33-E33)*F33</f>
        <v>55.2</v>
      </c>
      <c r="H33" s="2" t="n">
        <f aca="false">INT((G33*1000)/230)</f>
        <v>240</v>
      </c>
      <c r="I33" s="2" t="n">
        <f aca="false">((30-E33)*F33)-G33</f>
        <v>12</v>
      </c>
      <c r="J33" s="2" t="n">
        <f aca="false">H33/2</f>
        <v>120</v>
      </c>
      <c r="K33" s="2" t="n">
        <v>49</v>
      </c>
      <c r="L33" s="485" t="n">
        <v>45676</v>
      </c>
      <c r="M33" s="3" t="n">
        <f aca="false">ROUNDUP(((K33*230)/1000),0)</f>
        <v>12</v>
      </c>
      <c r="N33" s="486" t="n">
        <f aca="false">(O33*1000)/54.5</f>
        <v>240</v>
      </c>
      <c r="O33" s="486" t="n">
        <f aca="false">M33*1.09</f>
        <v>13.08</v>
      </c>
      <c r="P33" s="2"/>
      <c r="Q33" s="2"/>
      <c r="R33" s="2" t="n">
        <v>0</v>
      </c>
      <c r="S33" s="486" t="n">
        <f aca="false">(R33*230)/1000</f>
        <v>0</v>
      </c>
      <c r="T33" s="486" t="n">
        <f aca="false">K33+P33+R33</f>
        <v>49</v>
      </c>
      <c r="U33" s="486" t="n">
        <f aca="false">J33-T33</f>
        <v>71</v>
      </c>
      <c r="V33" s="396" t="n">
        <f aca="false">U33/J33</f>
        <v>0.591666666666667</v>
      </c>
      <c r="W33" s="489"/>
      <c r="X33" s="489"/>
    </row>
    <row r="34" customFormat="false" ht="13.15" hidden="false" customHeight="false" outlineLevel="0" collapsed="false">
      <c r="A34" s="2" t="s">
        <v>269</v>
      </c>
      <c r="B34" s="2" t="s">
        <v>373</v>
      </c>
      <c r="C34" s="2" t="s">
        <v>314</v>
      </c>
      <c r="D34" s="2" t="n">
        <v>26</v>
      </c>
      <c r="E34" s="2" t="n">
        <v>2</v>
      </c>
      <c r="F34" s="2" t="n">
        <v>2.4</v>
      </c>
      <c r="G34" s="2" t="n">
        <f aca="false">(D34-E34)*F34</f>
        <v>57.6</v>
      </c>
      <c r="H34" s="2" t="n">
        <f aca="false">INT((G34*1000)/230)</f>
        <v>250</v>
      </c>
      <c r="I34" s="2" t="n">
        <f aca="false">((26-E34)*F34)-G34</f>
        <v>0</v>
      </c>
      <c r="J34" s="2" t="n">
        <f aca="false">H34/2</f>
        <v>125</v>
      </c>
      <c r="K34" s="2" t="n">
        <v>97</v>
      </c>
      <c r="L34" s="485" t="n">
        <v>45676</v>
      </c>
      <c r="M34" s="3" t="n">
        <f aca="false">ROUNDUP(((K34*230)/1000),0)</f>
        <v>23</v>
      </c>
      <c r="N34" s="486" t="n">
        <f aca="false">(O34*1000)/54.5</f>
        <v>460</v>
      </c>
      <c r="O34" s="486" t="n">
        <f aca="false">M34*1.09</f>
        <v>25.07</v>
      </c>
      <c r="P34" s="2"/>
      <c r="Q34" s="2"/>
      <c r="R34" s="2" t="n">
        <v>4.8</v>
      </c>
      <c r="S34" s="486" t="n">
        <f aca="false">(R34*230)/1000</f>
        <v>1.104</v>
      </c>
      <c r="T34" s="486" t="n">
        <f aca="false">K34+P34+R34</f>
        <v>101.8</v>
      </c>
      <c r="U34" s="486" t="n">
        <f aca="false">J34-T34</f>
        <v>23.2</v>
      </c>
      <c r="V34" s="396" t="n">
        <f aca="false">U34/J34</f>
        <v>0.1856</v>
      </c>
      <c r="W34" s="487" t="s">
        <v>374</v>
      </c>
      <c r="X34" s="487" t="s">
        <v>375</v>
      </c>
    </row>
    <row r="35" customFormat="false" ht="13.15" hidden="false" customHeight="false" outlineLevel="0" collapsed="false">
      <c r="A35" s="2" t="s">
        <v>269</v>
      </c>
      <c r="B35" s="2" t="s">
        <v>376</v>
      </c>
      <c r="C35" s="2" t="s">
        <v>314</v>
      </c>
      <c r="D35" s="2" t="n">
        <v>26</v>
      </c>
      <c r="E35" s="2" t="n">
        <v>2</v>
      </c>
      <c r="F35" s="2" t="n">
        <v>2.4</v>
      </c>
      <c r="G35" s="2" t="n">
        <f aca="false">(D35-E35)*F35</f>
        <v>57.6</v>
      </c>
      <c r="H35" s="2" t="n">
        <f aca="false">INT((G35*1000)/230)</f>
        <v>250</v>
      </c>
      <c r="I35" s="2" t="n">
        <f aca="false">((26-E35)*F35)-G35</f>
        <v>0</v>
      </c>
      <c r="J35" s="2" t="n">
        <f aca="false">H35/2</f>
        <v>125</v>
      </c>
      <c r="K35" s="488" t="n">
        <v>98</v>
      </c>
      <c r="L35" s="485" t="n">
        <v>45599</v>
      </c>
      <c r="M35" s="3" t="n">
        <f aca="false">ROUNDUP(((K35*230)/1000),0)</f>
        <v>23</v>
      </c>
      <c r="N35" s="486" t="n">
        <f aca="false">(O35*1000)/54.5</f>
        <v>460</v>
      </c>
      <c r="O35" s="486" t="n">
        <f aca="false">M35*1.09</f>
        <v>25.07</v>
      </c>
      <c r="P35" s="2"/>
      <c r="Q35" s="2"/>
      <c r="R35" s="2" t="n">
        <v>4.8</v>
      </c>
      <c r="S35" s="486" t="n">
        <f aca="false">(R35*230)/1000</f>
        <v>1.104</v>
      </c>
      <c r="T35" s="486" t="n">
        <f aca="false">K35+P35+R35</f>
        <v>102.8</v>
      </c>
      <c r="U35" s="486" t="n">
        <f aca="false">J35-T35</f>
        <v>22.2</v>
      </c>
      <c r="V35" s="396" t="n">
        <f aca="false">U35/J35</f>
        <v>0.1776</v>
      </c>
      <c r="W35" s="487" t="s">
        <v>374</v>
      </c>
      <c r="X35" s="487" t="s">
        <v>375</v>
      </c>
    </row>
    <row r="36" customFormat="false" ht="13.15" hidden="false" customHeight="false" outlineLevel="0" collapsed="false">
      <c r="A36" s="2" t="s">
        <v>270</v>
      </c>
      <c r="B36" s="2" t="s">
        <v>377</v>
      </c>
      <c r="C36" s="2" t="s">
        <v>314</v>
      </c>
      <c r="D36" s="2" t="n">
        <v>12</v>
      </c>
      <c r="E36" s="2" t="n">
        <v>2</v>
      </c>
      <c r="F36" s="2" t="n">
        <v>2.4</v>
      </c>
      <c r="G36" s="2" t="n">
        <f aca="false">(D36-E36)*F36</f>
        <v>24</v>
      </c>
      <c r="H36" s="2" t="n">
        <f aca="false">INT((G36*1000)/230)</f>
        <v>104</v>
      </c>
      <c r="I36" s="2" t="n">
        <f aca="false">((14-E36)*F36)-G36</f>
        <v>4.8</v>
      </c>
      <c r="J36" s="2" t="n">
        <f aca="false">H36/2</f>
        <v>52</v>
      </c>
      <c r="K36" s="2" t="n">
        <v>19</v>
      </c>
      <c r="L36" s="485" t="n">
        <v>45676</v>
      </c>
      <c r="M36" s="3" t="n">
        <f aca="false">ROUNDUP(((K36*230)/1000),0)</f>
        <v>5</v>
      </c>
      <c r="N36" s="486" t="n">
        <f aca="false">(O36*1000)/54.5</f>
        <v>100</v>
      </c>
      <c r="O36" s="486" t="n">
        <f aca="false">M36*1.09</f>
        <v>5.45</v>
      </c>
      <c r="P36" s="2"/>
      <c r="Q36" s="2"/>
      <c r="R36" s="2"/>
      <c r="S36" s="486" t="n">
        <f aca="false">(R36*230)/1000</f>
        <v>0</v>
      </c>
      <c r="T36" s="486" t="n">
        <f aca="false">K36+P36+R36</f>
        <v>19</v>
      </c>
      <c r="U36" s="486" t="n">
        <f aca="false">J36-T36</f>
        <v>33</v>
      </c>
      <c r="V36" s="396" t="n">
        <f aca="false">U36/J36</f>
        <v>0.634615384615385</v>
      </c>
      <c r="W36" s="2"/>
      <c r="X36" s="2"/>
    </row>
    <row r="37" customFormat="false" ht="13.15" hidden="false" customHeight="false" outlineLevel="0" collapsed="false">
      <c r="A37" s="2" t="s">
        <v>270</v>
      </c>
      <c r="B37" s="2" t="s">
        <v>378</v>
      </c>
      <c r="C37" s="2" t="s">
        <v>314</v>
      </c>
      <c r="D37" s="2" t="n">
        <v>12</v>
      </c>
      <c r="E37" s="2" t="n">
        <v>2</v>
      </c>
      <c r="F37" s="2" t="n">
        <v>2.4</v>
      </c>
      <c r="G37" s="2" t="n">
        <f aca="false">(D37-E37)*F37</f>
        <v>24</v>
      </c>
      <c r="H37" s="2" t="n">
        <f aca="false">INT((G37*1000)/230)</f>
        <v>104</v>
      </c>
      <c r="I37" s="2" t="n">
        <f aca="false">((14-E37)*F37)-G37</f>
        <v>4.8</v>
      </c>
      <c r="J37" s="2" t="n">
        <f aca="false">H37/2</f>
        <v>52</v>
      </c>
      <c r="K37" s="2" t="n">
        <v>11</v>
      </c>
      <c r="L37" s="485" t="n">
        <v>45676</v>
      </c>
      <c r="M37" s="3" t="n">
        <f aca="false">ROUNDUP(((K37*230)/1000),0)</f>
        <v>3</v>
      </c>
      <c r="N37" s="486" t="n">
        <f aca="false">(O37*1000)/54.5</f>
        <v>60</v>
      </c>
      <c r="O37" s="486" t="n">
        <f aca="false">M37*1.09</f>
        <v>3.27</v>
      </c>
      <c r="P37" s="2"/>
      <c r="Q37" s="2"/>
      <c r="R37" s="2"/>
      <c r="S37" s="486" t="n">
        <f aca="false">(R37*230)/1000</f>
        <v>0</v>
      </c>
      <c r="T37" s="486" t="n">
        <f aca="false">K37+P37+R37</f>
        <v>11</v>
      </c>
      <c r="U37" s="486" t="n">
        <f aca="false">J37-T37</f>
        <v>41</v>
      </c>
      <c r="V37" s="396" t="n">
        <f aca="false">U37/J37</f>
        <v>0.788461538461538</v>
      </c>
      <c r="W37" s="2"/>
      <c r="X37" s="2"/>
    </row>
    <row r="38" customFormat="false" ht="13.15" hidden="false" customHeight="false" outlineLevel="0" collapsed="false">
      <c r="A38" s="2" t="s">
        <v>271</v>
      </c>
      <c r="B38" s="2" t="s">
        <v>379</v>
      </c>
      <c r="C38" s="2" t="s">
        <v>314</v>
      </c>
      <c r="D38" s="2" t="n">
        <v>12</v>
      </c>
      <c r="E38" s="2" t="n">
        <v>2</v>
      </c>
      <c r="F38" s="2" t="n">
        <v>2.4</v>
      </c>
      <c r="G38" s="2" t="n">
        <f aca="false">(D38-E38)*F38</f>
        <v>24</v>
      </c>
      <c r="H38" s="2" t="n">
        <f aca="false">INT((G38*1000)/230)</f>
        <v>104</v>
      </c>
      <c r="I38" s="2" t="n">
        <f aca="false">((26-E38)*F38)-G38</f>
        <v>33.6</v>
      </c>
      <c r="J38" s="2" t="n">
        <f aca="false">H38/2</f>
        <v>52</v>
      </c>
      <c r="K38" s="2" t="n">
        <v>13</v>
      </c>
      <c r="L38" s="485" t="n">
        <v>45676</v>
      </c>
      <c r="M38" s="3" t="n">
        <f aca="false">ROUNDUP(((K38*230)/1000),0)</f>
        <v>3</v>
      </c>
      <c r="N38" s="486" t="n">
        <f aca="false">(O38*1000)/54.5</f>
        <v>60</v>
      </c>
      <c r="O38" s="486" t="n">
        <f aca="false">M38*1.09</f>
        <v>3.27</v>
      </c>
      <c r="P38" s="2"/>
      <c r="Q38" s="2"/>
      <c r="R38" s="2" t="n">
        <v>0</v>
      </c>
      <c r="S38" s="486" t="n">
        <f aca="false">(R38*230)/1000</f>
        <v>0</v>
      </c>
      <c r="T38" s="486" t="n">
        <f aca="false">K38+P38+R38</f>
        <v>13</v>
      </c>
      <c r="U38" s="486" t="n">
        <f aca="false">J38-T38</f>
        <v>39</v>
      </c>
      <c r="V38" s="396" t="n">
        <f aca="false">U38/J38</f>
        <v>0.75</v>
      </c>
      <c r="W38" s="2"/>
      <c r="X38" s="2"/>
    </row>
    <row r="39" customFormat="false" ht="13.15" hidden="false" customHeight="false" outlineLevel="0" collapsed="false">
      <c r="A39" s="2" t="s">
        <v>271</v>
      </c>
      <c r="B39" s="2" t="s">
        <v>380</v>
      </c>
      <c r="C39" s="2" t="s">
        <v>314</v>
      </c>
      <c r="D39" s="2" t="n">
        <v>12</v>
      </c>
      <c r="E39" s="2" t="n">
        <v>2</v>
      </c>
      <c r="F39" s="2" t="n">
        <v>2.4</v>
      </c>
      <c r="G39" s="2" t="n">
        <f aca="false">(D39-E39)*F39</f>
        <v>24</v>
      </c>
      <c r="H39" s="2" t="n">
        <f aca="false">INT((G39*1000)/230)</f>
        <v>104</v>
      </c>
      <c r="I39" s="2" t="n">
        <f aca="false">((26-E39)*F39)-G39</f>
        <v>33.6</v>
      </c>
      <c r="J39" s="2" t="n">
        <f aca="false">H39/2</f>
        <v>52</v>
      </c>
      <c r="K39" s="2" t="n">
        <v>11</v>
      </c>
      <c r="L39" s="485" t="n">
        <v>45676</v>
      </c>
      <c r="M39" s="3" t="n">
        <f aca="false">ROUNDUP(((K39*230)/1000),0)</f>
        <v>3</v>
      </c>
      <c r="N39" s="486" t="n">
        <f aca="false">(O39*1000)/54.5</f>
        <v>60</v>
      </c>
      <c r="O39" s="486" t="n">
        <f aca="false">M39*1.09</f>
        <v>3.27</v>
      </c>
      <c r="P39" s="2"/>
      <c r="Q39" s="2"/>
      <c r="R39" s="2" t="n">
        <v>0</v>
      </c>
      <c r="S39" s="486" t="n">
        <f aca="false">(R39*230)/1000</f>
        <v>0</v>
      </c>
      <c r="T39" s="486" t="n">
        <f aca="false">K39+P39+R39</f>
        <v>11</v>
      </c>
      <c r="U39" s="486" t="n">
        <f aca="false">J39-T39</f>
        <v>41</v>
      </c>
      <c r="V39" s="396" t="n">
        <f aca="false">U39/J39</f>
        <v>0.788461538461538</v>
      </c>
      <c r="W39" s="2"/>
      <c r="X39" s="2"/>
    </row>
    <row r="40" customFormat="false" ht="13.15" hidden="false" customHeight="false" outlineLevel="0" collapsed="false">
      <c r="A40" s="2" t="s">
        <v>272</v>
      </c>
      <c r="B40" s="2" t="s">
        <v>381</v>
      </c>
      <c r="C40" s="2" t="s">
        <v>314</v>
      </c>
      <c r="D40" s="2" t="n">
        <v>12</v>
      </c>
      <c r="E40" s="2" t="n">
        <v>2</v>
      </c>
      <c r="F40" s="2" t="n">
        <v>2.4</v>
      </c>
      <c r="G40" s="2" t="n">
        <f aca="false">(D40-E40)*F40</f>
        <v>24</v>
      </c>
      <c r="H40" s="2" t="n">
        <f aca="false">INT((G40*1000)/230)</f>
        <v>104</v>
      </c>
      <c r="I40" s="2" t="n">
        <f aca="false">((14-E40)*F40)-G40</f>
        <v>4.8</v>
      </c>
      <c r="J40" s="2" t="n">
        <f aca="false">H40/2</f>
        <v>52</v>
      </c>
      <c r="K40" s="2" t="n">
        <v>15</v>
      </c>
      <c r="L40" s="485" t="n">
        <v>45676</v>
      </c>
      <c r="M40" s="3" t="n">
        <f aca="false">ROUNDUP(((K40*230)/1000),0)</f>
        <v>4</v>
      </c>
      <c r="N40" s="486" t="n">
        <f aca="false">(O40*1000)/54.5</f>
        <v>80</v>
      </c>
      <c r="O40" s="486" t="n">
        <f aca="false">M40*1.09</f>
        <v>4.36</v>
      </c>
      <c r="P40" s="2"/>
      <c r="Q40" s="2"/>
      <c r="R40" s="2" t="n">
        <v>0</v>
      </c>
      <c r="S40" s="486" t="n">
        <f aca="false">(R40*230)/1000</f>
        <v>0</v>
      </c>
      <c r="T40" s="486" t="n">
        <f aca="false">K40+P40+R40</f>
        <v>15</v>
      </c>
      <c r="U40" s="486" t="n">
        <f aca="false">J40-T40</f>
        <v>37</v>
      </c>
      <c r="V40" s="396" t="n">
        <f aca="false">U40/J40</f>
        <v>0.711538461538462</v>
      </c>
      <c r="W40" s="2"/>
      <c r="X40" s="2"/>
    </row>
    <row r="41" customFormat="false" ht="13.15" hidden="false" customHeight="false" outlineLevel="0" collapsed="false">
      <c r="A41" s="2" t="s">
        <v>272</v>
      </c>
      <c r="B41" s="2" t="s">
        <v>382</v>
      </c>
      <c r="C41" s="2" t="s">
        <v>314</v>
      </c>
      <c r="D41" s="2" t="n">
        <v>12</v>
      </c>
      <c r="E41" s="2" t="n">
        <v>2</v>
      </c>
      <c r="F41" s="2" t="n">
        <v>2.4</v>
      </c>
      <c r="G41" s="2" t="n">
        <f aca="false">(D41-E41)*F41</f>
        <v>24</v>
      </c>
      <c r="H41" s="2" t="n">
        <f aca="false">INT((G41*1000)/230)</f>
        <v>104</v>
      </c>
      <c r="I41" s="2" t="n">
        <f aca="false">((14-E41)*F41)-G41</f>
        <v>4.8</v>
      </c>
      <c r="J41" s="2" t="n">
        <f aca="false">H41/2</f>
        <v>52</v>
      </c>
      <c r="K41" s="2" t="n">
        <v>12</v>
      </c>
      <c r="L41" s="485" t="n">
        <v>45676</v>
      </c>
      <c r="M41" s="3" t="n">
        <f aca="false">ROUNDUP(((K41*230)/1000),0)</f>
        <v>3</v>
      </c>
      <c r="N41" s="486" t="n">
        <f aca="false">(O41*1000)/54.5</f>
        <v>60</v>
      </c>
      <c r="O41" s="486" t="n">
        <f aca="false">M41*1.09</f>
        <v>3.27</v>
      </c>
      <c r="P41" s="2"/>
      <c r="Q41" s="2"/>
      <c r="R41" s="2" t="n">
        <v>0</v>
      </c>
      <c r="S41" s="486" t="n">
        <f aca="false">(R41*230)/1000</f>
        <v>0</v>
      </c>
      <c r="T41" s="486" t="n">
        <f aca="false">K41+P41+R41</f>
        <v>12</v>
      </c>
      <c r="U41" s="486" t="n">
        <f aca="false">J41-T41</f>
        <v>40</v>
      </c>
      <c r="V41" s="396" t="n">
        <f aca="false">U41/J41</f>
        <v>0.769230769230769</v>
      </c>
      <c r="W41" s="2"/>
      <c r="X41" s="2"/>
    </row>
    <row r="42" customFormat="false" ht="13.15" hidden="false" customHeight="false" outlineLevel="0" collapsed="false">
      <c r="A42" s="496" t="s">
        <v>383</v>
      </c>
      <c r="B42" s="2"/>
      <c r="C42" s="2"/>
      <c r="D42" s="2"/>
      <c r="E42" s="2"/>
      <c r="F42" s="2"/>
      <c r="G42" s="2"/>
      <c r="H42" s="2"/>
      <c r="I42" s="2"/>
      <c r="J42" s="2"/>
      <c r="K42" s="2"/>
      <c r="L42" s="2"/>
      <c r="M42" s="3"/>
      <c r="N42" s="2"/>
      <c r="O42" s="2"/>
      <c r="P42" s="2"/>
      <c r="Q42" s="2"/>
      <c r="R42" s="2"/>
      <c r="S42" s="2"/>
      <c r="T42" s="2"/>
      <c r="U42" s="2"/>
      <c r="V42" s="2"/>
      <c r="W42" s="2"/>
      <c r="X42" s="2"/>
    </row>
    <row r="43" customFormat="false" ht="52.9" hidden="false" customHeight="false" outlineLevel="0" collapsed="false">
      <c r="A43" s="15" t="s">
        <v>8</v>
      </c>
      <c r="B43" s="17" t="s">
        <v>384</v>
      </c>
      <c r="C43" s="17" t="s">
        <v>385</v>
      </c>
      <c r="D43" s="18" t="s">
        <v>293</v>
      </c>
      <c r="E43" s="18" t="s">
        <v>294</v>
      </c>
      <c r="F43" s="18" t="str">
        <f aca="false">F1</f>
        <v>Inverter Module Capacity (kW)</v>
      </c>
      <c r="G43" s="18" t="s">
        <v>296</v>
      </c>
      <c r="H43" s="17" t="s">
        <v>297</v>
      </c>
      <c r="I43" s="17" t="s">
        <v>298</v>
      </c>
      <c r="J43" s="17" t="str">
        <f aca="false">J1</f>
        <v>Available Capability (A)</v>
      </c>
      <c r="K43" s="17" t="str">
        <f aca="false">K1</f>
        <v>Element Load (A)</v>
      </c>
      <c r="L43" s="17" t="s">
        <v>300</v>
      </c>
      <c r="M43" s="21" t="str">
        <f aca="false">M1</f>
        <v>Element Load (kW)</v>
      </c>
      <c r="N43" s="17" t="str">
        <f aca="false">N1</f>
        <v>Total Load on DC power plants (A)</v>
      </c>
      <c r="O43" s="17" t="s">
        <v>303</v>
      </c>
      <c r="P43" s="17" t="str">
        <f aca="false">P1</f>
        <v>Inverter Reserved Load (A)</v>
      </c>
      <c r="Q43" s="17" t="s">
        <v>386</v>
      </c>
      <c r="R43" s="17" t="s">
        <v>306</v>
      </c>
      <c r="S43" s="17" t="s">
        <v>307</v>
      </c>
      <c r="T43" s="17" t="str">
        <f aca="false">T1</f>
        <v>Element Load+Reserved+Forecast (A)</v>
      </c>
      <c r="U43" s="17" t="str">
        <f aca="false">U1</f>
        <v>Remaining Element Capability (A)</v>
      </c>
      <c r="V43" s="17" t="s">
        <v>309</v>
      </c>
      <c r="W43" s="17" t="s">
        <v>387</v>
      </c>
      <c r="X43" s="17" t="s">
        <v>388</v>
      </c>
    </row>
    <row r="44" customFormat="false" ht="13.15" hidden="false" customHeight="false" outlineLevel="0" collapsed="false">
      <c r="A44" s="2" t="s">
        <v>274</v>
      </c>
      <c r="B44" s="2" t="s">
        <v>389</v>
      </c>
      <c r="C44" s="2" t="s">
        <v>314</v>
      </c>
      <c r="D44" s="2" t="n">
        <v>6</v>
      </c>
      <c r="E44" s="2" t="n">
        <v>2</v>
      </c>
      <c r="F44" s="2" t="n">
        <v>2.4</v>
      </c>
      <c r="G44" s="2" t="n">
        <f aca="false">(D44-E44)*F44</f>
        <v>9.6</v>
      </c>
      <c r="H44" s="2" t="n">
        <f aca="false">INT((G44*1000)/230)</f>
        <v>41</v>
      </c>
      <c r="I44" s="2" t="n">
        <f aca="false">42-G44</f>
        <v>32.4</v>
      </c>
      <c r="J44" s="2" t="n">
        <f aca="false">H44</f>
        <v>41</v>
      </c>
      <c r="K44" s="2" t="n">
        <v>5</v>
      </c>
      <c r="L44" s="485" t="n">
        <v>45676</v>
      </c>
      <c r="M44" s="3" t="n">
        <f aca="false">((K44*230)/1000)</f>
        <v>1.15</v>
      </c>
      <c r="N44" s="486" t="n">
        <f aca="false">(O44*1000)/54.5</f>
        <v>23</v>
      </c>
      <c r="O44" s="497" t="n">
        <f aca="false">M44*1.09</f>
        <v>1.2535</v>
      </c>
      <c r="P44" s="497"/>
      <c r="Q44" s="497"/>
      <c r="R44" s="2" t="n">
        <v>0</v>
      </c>
      <c r="S44" s="3" t="n">
        <f aca="false">(R44*230)/1000</f>
        <v>0</v>
      </c>
      <c r="T44" s="3" t="n">
        <f aca="false">K44+P44+R44</f>
        <v>5</v>
      </c>
      <c r="U44" s="3" t="n">
        <f aca="false">J44-T44</f>
        <v>36</v>
      </c>
      <c r="V44" s="3" t="n">
        <f aca="false">U44/J44</f>
        <v>0.878048780487805</v>
      </c>
      <c r="W44" s="2"/>
      <c r="X44" s="2"/>
    </row>
    <row r="45" customFormat="false" ht="13.15" hidden="false" customHeight="false" outlineLevel="0" collapsed="false">
      <c r="A45" s="2" t="s">
        <v>276</v>
      </c>
      <c r="B45" s="2" t="s">
        <v>390</v>
      </c>
      <c r="C45" s="2" t="s">
        <v>391</v>
      </c>
      <c r="D45" s="2" t="n">
        <v>6</v>
      </c>
      <c r="E45" s="2" t="n">
        <v>3</v>
      </c>
      <c r="F45" s="2" t="n">
        <v>3</v>
      </c>
      <c r="G45" s="2" t="n">
        <f aca="false">(D45-E45)*F45</f>
        <v>9</v>
      </c>
      <c r="H45" s="2" t="n">
        <f aca="false">INT((G45*1000)/230)</f>
        <v>39</v>
      </c>
      <c r="I45" s="2" t="n">
        <f aca="false">42-G45</f>
        <v>33</v>
      </c>
      <c r="J45" s="2" t="n">
        <f aca="false">H45</f>
        <v>39</v>
      </c>
      <c r="K45" s="488" t="n">
        <v>1</v>
      </c>
      <c r="L45" s="485" t="s">
        <v>392</v>
      </c>
      <c r="M45" s="3" t="n">
        <f aca="false">((K45*230)/1000)</f>
        <v>0.23</v>
      </c>
      <c r="N45" s="486" t="n">
        <f aca="false">(O45*1000)/54.5</f>
        <v>4.6</v>
      </c>
      <c r="O45" s="497" t="n">
        <f aca="false">M45*1.09</f>
        <v>0.2507</v>
      </c>
      <c r="P45" s="497"/>
      <c r="Q45" s="497"/>
      <c r="R45" s="2" t="n">
        <v>0</v>
      </c>
      <c r="S45" s="3" t="n">
        <f aca="false">(R45*230)/1000</f>
        <v>0</v>
      </c>
      <c r="T45" s="3" t="n">
        <f aca="false">K45+P45+R45</f>
        <v>1</v>
      </c>
      <c r="U45" s="3" t="n">
        <f aca="false">J45-T45</f>
        <v>38</v>
      </c>
      <c r="V45" s="3" t="n">
        <f aca="false">U45/J45</f>
        <v>0.974358974358974</v>
      </c>
      <c r="W45" s="2"/>
      <c r="X45" s="2"/>
    </row>
    <row r="46" customFormat="false" ht="13.15" hidden="false" customHeight="false" outlineLevel="0" collapsed="false">
      <c r="A46" s="2" t="s">
        <v>277</v>
      </c>
      <c r="B46" s="2" t="s">
        <v>393</v>
      </c>
      <c r="C46" s="2" t="s">
        <v>314</v>
      </c>
      <c r="D46" s="2" t="n">
        <v>6</v>
      </c>
      <c r="E46" s="2" t="n">
        <v>2</v>
      </c>
      <c r="F46" s="2" t="n">
        <v>2.4</v>
      </c>
      <c r="G46" s="2" t="n">
        <f aca="false">(D46-E46)*F46</f>
        <v>9.6</v>
      </c>
      <c r="H46" s="2" t="n">
        <f aca="false">INT((G46*1000)/230)</f>
        <v>41</v>
      </c>
      <c r="I46" s="2" t="n">
        <f aca="false">42-G46</f>
        <v>32.4</v>
      </c>
      <c r="J46" s="2" t="n">
        <f aca="false">H46</f>
        <v>41</v>
      </c>
      <c r="K46" s="2" t="n">
        <v>5</v>
      </c>
      <c r="L46" s="485" t="n">
        <v>45676</v>
      </c>
      <c r="M46" s="3" t="n">
        <f aca="false">((K46*230)/1000)</f>
        <v>1.15</v>
      </c>
      <c r="N46" s="486" t="n">
        <f aca="false">(O46*1000)/54.5</f>
        <v>23</v>
      </c>
      <c r="O46" s="497" t="n">
        <f aca="false">M46*1.09</f>
        <v>1.2535</v>
      </c>
      <c r="P46" s="497"/>
      <c r="Q46" s="497"/>
      <c r="R46" s="2" t="n">
        <v>0</v>
      </c>
      <c r="S46" s="3" t="n">
        <f aca="false">(R46*230)/1000</f>
        <v>0</v>
      </c>
      <c r="T46" s="3" t="n">
        <f aca="false">K46+P46+R46</f>
        <v>5</v>
      </c>
      <c r="U46" s="3" t="n">
        <f aca="false">J46-T46</f>
        <v>36</v>
      </c>
      <c r="V46" s="3" t="n">
        <f aca="false">U46/J46</f>
        <v>0.878048780487805</v>
      </c>
      <c r="W46" s="2"/>
      <c r="X46" s="2"/>
    </row>
    <row r="47" customFormat="false" ht="13.15" hidden="false" customHeight="false" outlineLevel="0" collapsed="false">
      <c r="A47" s="2" t="s">
        <v>278</v>
      </c>
      <c r="B47" s="2" t="s">
        <v>394</v>
      </c>
      <c r="C47" s="2" t="s">
        <v>314</v>
      </c>
      <c r="D47" s="2" t="n">
        <v>6</v>
      </c>
      <c r="E47" s="2" t="n">
        <v>2</v>
      </c>
      <c r="F47" s="2" t="n">
        <v>2.4</v>
      </c>
      <c r="G47" s="2" t="n">
        <f aca="false">(D47-E47)*F47</f>
        <v>9.6</v>
      </c>
      <c r="H47" s="2" t="n">
        <f aca="false">INT((G47*1000)/230)</f>
        <v>41</v>
      </c>
      <c r="I47" s="2" t="n">
        <f aca="false">42-G47</f>
        <v>32.4</v>
      </c>
      <c r="J47" s="2" t="n">
        <f aca="false">H47</f>
        <v>41</v>
      </c>
      <c r="K47" s="2" t="n">
        <v>7</v>
      </c>
      <c r="L47" s="485" t="n">
        <v>45676</v>
      </c>
      <c r="M47" s="3" t="n">
        <f aca="false">((K47*230)/1000)</f>
        <v>1.61</v>
      </c>
      <c r="N47" s="486" t="n">
        <f aca="false">(O47*1000)/54.5</f>
        <v>32.2</v>
      </c>
      <c r="O47" s="497" t="n">
        <f aca="false">M47*1.09</f>
        <v>1.7549</v>
      </c>
      <c r="P47" s="497"/>
      <c r="Q47" s="497"/>
      <c r="R47" s="2" t="n">
        <v>0</v>
      </c>
      <c r="S47" s="3" t="n">
        <f aca="false">(R47*230)/1000</f>
        <v>0</v>
      </c>
      <c r="T47" s="3" t="n">
        <f aca="false">K47+P47+R47</f>
        <v>7</v>
      </c>
      <c r="U47" s="3" t="n">
        <f aca="false">J47-T47</f>
        <v>34</v>
      </c>
      <c r="V47" s="3" t="n">
        <f aca="false">U47/J47</f>
        <v>0.829268292682927</v>
      </c>
      <c r="W47" s="2"/>
      <c r="X47" s="2"/>
    </row>
    <row r="48" customFormat="false" ht="13.15" hidden="false" customHeight="false" outlineLevel="0" collapsed="false">
      <c r="A48" s="2" t="s">
        <v>279</v>
      </c>
      <c r="B48" s="2" t="s">
        <v>395</v>
      </c>
      <c r="C48" s="2" t="s">
        <v>365</v>
      </c>
      <c r="D48" s="2" t="n">
        <v>3</v>
      </c>
      <c r="E48" s="2" t="n">
        <v>1</v>
      </c>
      <c r="F48" s="2" t="n">
        <v>0.525</v>
      </c>
      <c r="G48" s="2" t="n">
        <f aca="false">(D48-E48)*F48</f>
        <v>1.05</v>
      </c>
      <c r="H48" s="2" t="n">
        <f aca="false">INT((G48*1000)/230)</f>
        <v>4</v>
      </c>
      <c r="I48" s="2" t="n">
        <v>0</v>
      </c>
      <c r="J48" s="2" t="n">
        <f aca="false">H48</f>
        <v>4</v>
      </c>
      <c r="K48" s="2" t="n">
        <v>2</v>
      </c>
      <c r="L48" s="485" t="n">
        <v>45676</v>
      </c>
      <c r="M48" s="3" t="n">
        <f aca="false">((K48*230)/1000)</f>
        <v>0.46</v>
      </c>
      <c r="N48" s="486" t="n">
        <f aca="false">(O48*1000)/54.5</f>
        <v>9.2</v>
      </c>
      <c r="O48" s="497" t="n">
        <f aca="false">M48*1.09</f>
        <v>0.5014</v>
      </c>
      <c r="P48" s="497"/>
      <c r="Q48" s="497"/>
      <c r="R48" s="2" t="n">
        <v>0</v>
      </c>
      <c r="S48" s="3" t="n">
        <f aca="false">(R48*230)/1000</f>
        <v>0</v>
      </c>
      <c r="T48" s="3" t="n">
        <f aca="false">K48+P48+R48</f>
        <v>2</v>
      </c>
      <c r="U48" s="3" t="n">
        <f aca="false">J48-T48</f>
        <v>2</v>
      </c>
      <c r="V48" s="3" t="n">
        <f aca="false">U48/J48</f>
        <v>0.5</v>
      </c>
      <c r="W48" s="2"/>
      <c r="X48" s="2"/>
    </row>
    <row r="49" customFormat="false" ht="13.15" hidden="false" customHeight="false" outlineLevel="0" collapsed="false">
      <c r="A49" s="2" t="s">
        <v>280</v>
      </c>
      <c r="B49" s="2" t="s">
        <v>396</v>
      </c>
      <c r="C49" s="2" t="s">
        <v>314</v>
      </c>
      <c r="D49" s="2" t="n">
        <v>6</v>
      </c>
      <c r="E49" s="2" t="n">
        <v>2</v>
      </c>
      <c r="F49" s="2" t="n">
        <v>2.4</v>
      </c>
      <c r="G49" s="2" t="n">
        <f aca="false">(D49-E49)*F49</f>
        <v>9.6</v>
      </c>
      <c r="H49" s="2" t="n">
        <f aca="false">INT((G49*1000)/230)</f>
        <v>41</v>
      </c>
      <c r="I49" s="2" t="n">
        <f aca="false">42-G49</f>
        <v>32.4</v>
      </c>
      <c r="J49" s="2" t="n">
        <f aca="false">H49</f>
        <v>41</v>
      </c>
      <c r="K49" s="2" t="n">
        <v>7</v>
      </c>
      <c r="L49" s="485" t="n">
        <v>45676</v>
      </c>
      <c r="M49" s="3" t="n">
        <f aca="false">((K49*230)/1000)</f>
        <v>1.61</v>
      </c>
      <c r="N49" s="486" t="n">
        <f aca="false">(O49*1000)/54.5</f>
        <v>32.2</v>
      </c>
      <c r="O49" s="497" t="n">
        <f aca="false">M49*1.09</f>
        <v>1.7549</v>
      </c>
      <c r="P49" s="497"/>
      <c r="Q49" s="497"/>
      <c r="R49" s="2" t="n">
        <v>0</v>
      </c>
      <c r="S49" s="3" t="n">
        <f aca="false">(R49*230)/1000</f>
        <v>0</v>
      </c>
      <c r="T49" s="3" t="n">
        <f aca="false">K49+P49+R49</f>
        <v>7</v>
      </c>
      <c r="U49" s="3" t="n">
        <f aca="false">J49-T49</f>
        <v>34</v>
      </c>
      <c r="V49" s="3" t="n">
        <f aca="false">U49/J49</f>
        <v>0.829268292682927</v>
      </c>
      <c r="W49" s="2"/>
      <c r="X49" s="2"/>
    </row>
    <row r="50" customFormat="false" ht="13.15" hidden="false" customHeight="false" outlineLevel="0" collapsed="false">
      <c r="A50" s="2" t="s">
        <v>282</v>
      </c>
      <c r="B50" s="2" t="s">
        <v>397</v>
      </c>
      <c r="C50" s="2" t="s">
        <v>314</v>
      </c>
      <c r="D50" s="2" t="n">
        <v>6</v>
      </c>
      <c r="E50" s="2" t="n">
        <v>2</v>
      </c>
      <c r="F50" s="2" t="n">
        <v>2.4</v>
      </c>
      <c r="G50" s="2" t="n">
        <f aca="false">(D50-E50)*F50</f>
        <v>9.6</v>
      </c>
      <c r="H50" s="2" t="n">
        <f aca="false">INT((G50*1000)/230)</f>
        <v>41</v>
      </c>
      <c r="I50" s="2" t="n">
        <f aca="false">42-G50</f>
        <v>32.4</v>
      </c>
      <c r="J50" s="2" t="n">
        <f aca="false">H50</f>
        <v>41</v>
      </c>
      <c r="K50" s="2" t="n">
        <v>6</v>
      </c>
      <c r="L50" s="485" t="n">
        <v>45676</v>
      </c>
      <c r="M50" s="3" t="n">
        <f aca="false">((K50*230)/1000)</f>
        <v>1.38</v>
      </c>
      <c r="N50" s="486" t="n">
        <f aca="false">(O50*1000)/54.5</f>
        <v>27.6</v>
      </c>
      <c r="O50" s="497" t="n">
        <f aca="false">M50*1.09</f>
        <v>1.5042</v>
      </c>
      <c r="P50" s="497"/>
      <c r="Q50" s="497"/>
      <c r="R50" s="2" t="n">
        <v>0</v>
      </c>
      <c r="S50" s="3" t="n">
        <f aca="false">(R50*230)/1000</f>
        <v>0</v>
      </c>
      <c r="T50" s="3" t="n">
        <f aca="false">K50+P50+R50</f>
        <v>6</v>
      </c>
      <c r="U50" s="3" t="n">
        <f aca="false">J50-T50</f>
        <v>35</v>
      </c>
      <c r="V50" s="3" t="n">
        <f aca="false">U50/J50</f>
        <v>0.853658536585366</v>
      </c>
      <c r="W50" s="2"/>
      <c r="X50" s="2"/>
    </row>
    <row r="51" customFormat="false" ht="13.15" hidden="false" customHeight="false" outlineLevel="0" collapsed="false">
      <c r="A51" s="2" t="s">
        <v>281</v>
      </c>
      <c r="B51" s="2" t="s">
        <v>398</v>
      </c>
      <c r="C51" s="2" t="s">
        <v>314</v>
      </c>
      <c r="D51" s="2" t="n">
        <v>8</v>
      </c>
      <c r="E51" s="2" t="n">
        <v>2</v>
      </c>
      <c r="F51" s="2" t="n">
        <v>2.4</v>
      </c>
      <c r="G51" s="2" t="n">
        <f aca="false">(D51-E51)*F51</f>
        <v>14.4</v>
      </c>
      <c r="H51" s="2" t="n">
        <f aca="false">INT((G51*1000)/230)</f>
        <v>62</v>
      </c>
      <c r="I51" s="2" t="n">
        <f aca="false">42-G51</f>
        <v>27.6</v>
      </c>
      <c r="J51" s="2" t="n">
        <f aca="false">H51</f>
        <v>62</v>
      </c>
      <c r="K51" s="2" t="n">
        <v>26</v>
      </c>
      <c r="L51" s="485" t="n">
        <v>45676</v>
      </c>
      <c r="M51" s="3" t="n">
        <f aca="false">((K51*230)/1000)</f>
        <v>5.98</v>
      </c>
      <c r="N51" s="486" t="n">
        <f aca="false">(O51*1000)/54.5</f>
        <v>119.6</v>
      </c>
      <c r="O51" s="497" t="n">
        <f aca="false">M51*1.09</f>
        <v>6.5182</v>
      </c>
      <c r="P51" s="497"/>
      <c r="Q51" s="497"/>
      <c r="R51" s="2" t="n">
        <v>0</v>
      </c>
      <c r="S51" s="3" t="n">
        <f aca="false">(R51*230)/1000</f>
        <v>0</v>
      </c>
      <c r="T51" s="3" t="n">
        <f aca="false">K51+P51+R51</f>
        <v>26</v>
      </c>
      <c r="U51" s="3" t="n">
        <f aca="false">J51-T51</f>
        <v>36</v>
      </c>
      <c r="V51" s="3" t="n">
        <f aca="false">U51/J51</f>
        <v>0.580645161290323</v>
      </c>
      <c r="W51" s="2"/>
      <c r="X51" s="2"/>
    </row>
    <row r="52" customFormat="false" ht="13.15" hidden="false" customHeight="false" outlineLevel="0" collapsed="false">
      <c r="A52" s="2" t="s">
        <v>281</v>
      </c>
      <c r="B52" s="2" t="s">
        <v>399</v>
      </c>
      <c r="C52" s="2" t="s">
        <v>400</v>
      </c>
      <c r="D52" s="14" t="n">
        <v>2</v>
      </c>
      <c r="E52" s="14" t="n">
        <v>1</v>
      </c>
      <c r="F52" s="14" t="n">
        <v>75</v>
      </c>
      <c r="G52" s="2" t="n">
        <v>75</v>
      </c>
      <c r="H52" s="2" t="n">
        <f aca="false">INT((G52*1000)/230)</f>
        <v>326</v>
      </c>
      <c r="I52" s="2" t="n">
        <v>0</v>
      </c>
      <c r="J52" s="2" t="n">
        <f aca="false">H52</f>
        <v>326</v>
      </c>
      <c r="K52" s="498" t="n">
        <v>150</v>
      </c>
      <c r="L52" s="485" t="n">
        <v>45670</v>
      </c>
      <c r="M52" s="3" t="n">
        <v>32</v>
      </c>
      <c r="N52" s="486"/>
      <c r="O52" s="497"/>
      <c r="P52" s="497"/>
      <c r="Q52" s="497"/>
      <c r="R52" s="2" t="n">
        <v>0</v>
      </c>
      <c r="S52" s="3" t="n">
        <f aca="false">(R52*230)/1000</f>
        <v>0</v>
      </c>
      <c r="T52" s="3" t="n">
        <f aca="false">K52+P52+R52</f>
        <v>150</v>
      </c>
      <c r="U52" s="3" t="n">
        <f aca="false">J52-T52</f>
        <v>176</v>
      </c>
      <c r="V52" s="3" t="n">
        <f aca="false">U52/J52</f>
        <v>0.539877300613497</v>
      </c>
      <c r="W52" s="397"/>
      <c r="X52" s="2"/>
    </row>
    <row r="53" customFormat="false" ht="13.15" hidden="false" customHeight="false" outlineLevel="0" collapsed="false">
      <c r="A53" s="2" t="s">
        <v>283</v>
      </c>
      <c r="B53" s="2" t="s">
        <v>401</v>
      </c>
      <c r="C53" s="2" t="s">
        <v>314</v>
      </c>
      <c r="D53" s="2" t="n">
        <v>6</v>
      </c>
      <c r="E53" s="2" t="n">
        <v>2</v>
      </c>
      <c r="F53" s="2" t="n">
        <v>2.4</v>
      </c>
      <c r="G53" s="2" t="n">
        <f aca="false">(D53-E53)*F53</f>
        <v>9.6</v>
      </c>
      <c r="H53" s="2" t="n">
        <f aca="false">INT((G53*1000)/230)</f>
        <v>41</v>
      </c>
      <c r="I53" s="2" t="n">
        <f aca="false">42-G53</f>
        <v>32.4</v>
      </c>
      <c r="J53" s="2" t="n">
        <f aca="false">H53</f>
        <v>41</v>
      </c>
      <c r="K53" s="2" t="n">
        <v>4</v>
      </c>
      <c r="L53" s="485" t="n">
        <v>45676</v>
      </c>
      <c r="M53" s="3" t="n">
        <f aca="false">((K53*230)/1000)</f>
        <v>0.92</v>
      </c>
      <c r="N53" s="486" t="n">
        <f aca="false">(O53*1000)/54.5</f>
        <v>18.4</v>
      </c>
      <c r="O53" s="497" t="n">
        <f aca="false">M53*1.09</f>
        <v>1.0028</v>
      </c>
      <c r="P53" s="497"/>
      <c r="Q53" s="497"/>
      <c r="R53" s="2" t="n">
        <v>0</v>
      </c>
      <c r="S53" s="3" t="n">
        <f aca="false">(R53*230)/1000</f>
        <v>0</v>
      </c>
      <c r="T53" s="3" t="n">
        <f aca="false">K53+P53+R53</f>
        <v>4</v>
      </c>
      <c r="U53" s="3" t="n">
        <f aca="false">J53-T53</f>
        <v>37</v>
      </c>
      <c r="V53" s="3" t="n">
        <f aca="false">U53/J53</f>
        <v>0.902439024390244</v>
      </c>
      <c r="W53" s="2"/>
      <c r="X53" s="2"/>
    </row>
    <row r="54" customFormat="false" ht="13.15" hidden="false" customHeight="false" outlineLevel="0" collapsed="false">
      <c r="A54" s="2" t="s">
        <v>284</v>
      </c>
      <c r="B54" s="2" t="s">
        <v>402</v>
      </c>
      <c r="C54" s="2" t="s">
        <v>314</v>
      </c>
      <c r="D54" s="2" t="n">
        <v>6</v>
      </c>
      <c r="E54" s="2" t="n">
        <v>2</v>
      </c>
      <c r="F54" s="2" t="n">
        <v>2.4</v>
      </c>
      <c r="G54" s="2" t="n">
        <f aca="false">(D54-E54)*F54</f>
        <v>9.6</v>
      </c>
      <c r="H54" s="2" t="n">
        <f aca="false">INT((G54*1000)/230)</f>
        <v>41</v>
      </c>
      <c r="I54" s="2" t="n">
        <f aca="false">42-G54</f>
        <v>32.4</v>
      </c>
      <c r="J54" s="2" t="n">
        <f aca="false">H54</f>
        <v>41</v>
      </c>
      <c r="K54" s="2" t="n">
        <v>6</v>
      </c>
      <c r="L54" s="485" t="n">
        <v>45676</v>
      </c>
      <c r="M54" s="3" t="n">
        <f aca="false">((K54*230)/1000)</f>
        <v>1.38</v>
      </c>
      <c r="N54" s="486" t="n">
        <f aca="false">(O54*1000)/54.5</f>
        <v>27.6</v>
      </c>
      <c r="O54" s="497" t="n">
        <f aca="false">M54*1.09</f>
        <v>1.5042</v>
      </c>
      <c r="P54" s="497"/>
      <c r="Q54" s="497"/>
      <c r="R54" s="2" t="n">
        <v>0</v>
      </c>
      <c r="S54" s="3" t="n">
        <f aca="false">(R54*230)/1000</f>
        <v>0</v>
      </c>
      <c r="T54" s="3" t="n">
        <f aca="false">K54+P54+R54</f>
        <v>6</v>
      </c>
      <c r="U54" s="3" t="n">
        <f aca="false">J54-T54</f>
        <v>35</v>
      </c>
      <c r="V54" s="3" t="n">
        <f aca="false">U54/J54</f>
        <v>0.853658536585366</v>
      </c>
      <c r="W54" s="2"/>
      <c r="X54" s="2"/>
    </row>
    <row r="55" customFormat="false" ht="13.15" hidden="false" customHeight="false" outlineLevel="0" collapsed="false">
      <c r="A55" s="2" t="s">
        <v>285</v>
      </c>
      <c r="B55" s="2" t="s">
        <v>403</v>
      </c>
      <c r="C55" s="2" t="s">
        <v>365</v>
      </c>
      <c r="D55" s="2" t="n">
        <v>3</v>
      </c>
      <c r="E55" s="2" t="n">
        <v>1</v>
      </c>
      <c r="F55" s="2" t="n">
        <v>2</v>
      </c>
      <c r="G55" s="2" t="n">
        <f aca="false">(D55-E55)*F55</f>
        <v>4</v>
      </c>
      <c r="H55" s="2" t="n">
        <f aca="false">INT((G55*1000)/230)</f>
        <v>17</v>
      </c>
      <c r="I55" s="2" t="n">
        <f aca="false">0</f>
        <v>0</v>
      </c>
      <c r="J55" s="2" t="n">
        <f aca="false">H55</f>
        <v>17</v>
      </c>
      <c r="K55" s="2" t="n">
        <v>3</v>
      </c>
      <c r="L55" s="485" t="n">
        <v>45676</v>
      </c>
      <c r="M55" s="3" t="n">
        <f aca="false">((K55*230)/1000)</f>
        <v>0.69</v>
      </c>
      <c r="N55" s="486" t="n">
        <f aca="false">(O55*1000)/54.5</f>
        <v>0</v>
      </c>
      <c r="O55" s="497" t="n">
        <f aca="false">0</f>
        <v>0</v>
      </c>
      <c r="P55" s="497"/>
      <c r="Q55" s="497"/>
      <c r="R55" s="2" t="n">
        <v>0</v>
      </c>
      <c r="S55" s="3" t="n">
        <f aca="false">(R55*230)/1000</f>
        <v>0</v>
      </c>
      <c r="T55" s="3" t="n">
        <f aca="false">K55+P55+R55</f>
        <v>3</v>
      </c>
      <c r="U55" s="3" t="n">
        <f aca="false">J55-T55</f>
        <v>14</v>
      </c>
      <c r="V55" s="3" t="n">
        <f aca="false">U55/J55</f>
        <v>0.823529411764706</v>
      </c>
      <c r="W55" s="2"/>
      <c r="X55" s="2"/>
    </row>
    <row r="56" customFormat="false" ht="13.15" hidden="false" customHeight="false" outlineLevel="0" collapsed="false">
      <c r="A56" s="2" t="s">
        <v>261</v>
      </c>
      <c r="B56" s="2" t="s">
        <v>404</v>
      </c>
      <c r="C56" s="2" t="s">
        <v>391</v>
      </c>
      <c r="D56" s="2" t="n">
        <v>8</v>
      </c>
      <c r="E56" s="2" t="n">
        <v>3</v>
      </c>
      <c r="F56" s="2" t="n">
        <v>3</v>
      </c>
      <c r="G56" s="2" t="n">
        <f aca="false">(D56-E56)*3</f>
        <v>15</v>
      </c>
      <c r="H56" s="2" t="n">
        <f aca="false">INT((G56*1000)/230)</f>
        <v>65</v>
      </c>
      <c r="I56" s="2" t="n">
        <f aca="false">42-G56</f>
        <v>27</v>
      </c>
      <c r="J56" s="2" t="n">
        <v>10</v>
      </c>
      <c r="K56" s="2" t="n">
        <f aca="false">ROUNDUP(((J56*230)/1000),0)</f>
        <v>3</v>
      </c>
      <c r="L56" s="2" t="n">
        <f aca="false">K56*1.09</f>
        <v>3.27</v>
      </c>
      <c r="M56" s="2"/>
      <c r="N56" s="2" t="n">
        <v>0</v>
      </c>
      <c r="O56" s="2" t="n">
        <f aca="false">(N56*230)/1000</f>
        <v>0</v>
      </c>
      <c r="P56" s="2"/>
      <c r="Q56" s="2"/>
      <c r="R56" s="2"/>
      <c r="S56" s="2"/>
      <c r="T56" s="2"/>
      <c r="U56" s="2"/>
      <c r="V56" s="2"/>
      <c r="W56" s="2"/>
      <c r="X56" s="2"/>
    </row>
    <row r="57" customFormat="false" ht="13.15" hidden="false" customHeight="false" outlineLevel="0" collapsed="false">
      <c r="A57" s="2"/>
      <c r="B57" s="2"/>
      <c r="C57" s="2"/>
      <c r="D57" s="2"/>
      <c r="E57" s="2"/>
      <c r="F57" s="2"/>
      <c r="G57" s="2"/>
      <c r="H57" s="2"/>
      <c r="I57" s="2"/>
      <c r="J57" s="2"/>
      <c r="K57" s="2"/>
      <c r="L57" s="2"/>
      <c r="M57" s="3"/>
      <c r="N57" s="2"/>
      <c r="O57" s="2"/>
      <c r="P57" s="2"/>
      <c r="Q57" s="2"/>
      <c r="R57" s="2"/>
      <c r="S57" s="2"/>
      <c r="T57" s="2"/>
      <c r="U57" s="2"/>
      <c r="V57" s="2"/>
      <c r="W57" s="2"/>
      <c r="X57" s="2"/>
    </row>
    <row r="58" customFormat="false" ht="13.15" hidden="false" customHeight="false" outlineLevel="0" collapsed="false">
      <c r="A58" s="2"/>
      <c r="B58" s="2"/>
      <c r="C58" s="2"/>
      <c r="D58" s="2"/>
      <c r="E58" s="2"/>
      <c r="F58" s="2"/>
      <c r="G58" s="2"/>
      <c r="H58" s="2"/>
      <c r="I58" s="2"/>
      <c r="J58" s="2"/>
      <c r="K58" s="2"/>
      <c r="L58" s="2"/>
      <c r="M58" s="3"/>
      <c r="N58" s="2"/>
      <c r="O58" s="2"/>
      <c r="P58" s="2"/>
      <c r="Q58" s="2"/>
      <c r="R58" s="2"/>
      <c r="S58" s="2"/>
      <c r="T58" s="2"/>
      <c r="U58" s="2"/>
      <c r="V58" s="2"/>
      <c r="W58" s="2"/>
      <c r="X58" s="2"/>
    </row>
    <row r="59" customFormat="false" ht="13.15" hidden="false" customHeight="false" outlineLevel="0" collapsed="false">
      <c r="A59" s="2"/>
      <c r="B59" s="2"/>
      <c r="C59" s="2"/>
      <c r="D59" s="2"/>
      <c r="E59" s="2"/>
      <c r="F59" s="2"/>
      <c r="G59" s="2"/>
      <c r="H59" s="2"/>
      <c r="I59" s="2"/>
      <c r="J59" s="2"/>
      <c r="K59" s="2"/>
      <c r="L59" s="2"/>
      <c r="M59" s="3"/>
      <c r="N59" s="2"/>
      <c r="O59" s="2"/>
      <c r="P59" s="2"/>
      <c r="Q59" s="2"/>
      <c r="R59" s="2"/>
      <c r="S59" s="2"/>
      <c r="T59" s="2"/>
      <c r="U59" s="2"/>
      <c r="V59" s="2"/>
      <c r="W59" s="2"/>
      <c r="X59" s="2"/>
    </row>
    <row r="60" customFormat="false" ht="13.15" hidden="false" customHeight="false" outlineLevel="0" collapsed="false">
      <c r="A60" s="404" t="s">
        <v>405</v>
      </c>
    </row>
    <row r="61" customFormat="false" ht="52.9" hidden="false" customHeight="false" outlineLevel="0" collapsed="false">
      <c r="A61" s="499" t="s">
        <v>384</v>
      </c>
      <c r="B61" s="499" t="s">
        <v>406</v>
      </c>
      <c r="C61" s="499" t="s">
        <v>407</v>
      </c>
      <c r="D61" s="499" t="s">
        <v>408</v>
      </c>
      <c r="E61" s="499" t="s">
        <v>296</v>
      </c>
      <c r="F61" s="499"/>
      <c r="G61" s="499" t="s">
        <v>409</v>
      </c>
      <c r="H61" s="499" t="s">
        <v>410</v>
      </c>
    </row>
    <row r="62" customFormat="false" ht="13.15" hidden="false" customHeight="false" outlineLevel="0" collapsed="false">
      <c r="A62" s="405" t="s">
        <v>411</v>
      </c>
      <c r="B62" s="69" t="n">
        <f aca="false">M2+M3</f>
        <v>28</v>
      </c>
      <c r="C62" s="69" t="n">
        <v>16</v>
      </c>
      <c r="D62" s="69" t="n">
        <f aca="false">S2</f>
        <v>0.575</v>
      </c>
      <c r="E62" s="69" t="n">
        <f aca="false">((G2+G3)/2)-(B62+C62+D62)</f>
        <v>-3.77500000000001</v>
      </c>
      <c r="F62" s="69"/>
      <c r="G62" s="69" t="n">
        <f aca="false">SUM(I2:I3)/2</f>
        <v>16.8</v>
      </c>
      <c r="H62" s="72" t="n">
        <f aca="false">E62/(SUM(B62:E62))</f>
        <v>-0.0925245098039217</v>
      </c>
      <c r="I62" s="2"/>
      <c r="J62" s="2"/>
      <c r="K62" s="2"/>
      <c r="L62" s="2"/>
    </row>
    <row r="63" customFormat="false" ht="13.15" hidden="false" customHeight="false" outlineLevel="0" collapsed="false">
      <c r="A63" s="405" t="s">
        <v>412</v>
      </c>
      <c r="B63" s="69" t="n">
        <f aca="false">M4+M5</f>
        <v>30</v>
      </c>
      <c r="C63" s="69" t="n">
        <f aca="false">SUM(Q4:Q5)</f>
        <v>0</v>
      </c>
      <c r="D63" s="69" t="n">
        <f aca="false">S4+S5</f>
        <v>1.38</v>
      </c>
      <c r="E63" s="69" t="n">
        <f aca="false">((G4+G5)/2)-(B63+C63+D63)</f>
        <v>26.22</v>
      </c>
      <c r="F63" s="69"/>
      <c r="G63" s="69" t="n">
        <f aca="false">SUM(I4:I5)/2</f>
        <v>0</v>
      </c>
      <c r="H63" s="72" t="n">
        <f aca="false">E63/(SUM(B63:E63))</f>
        <v>0.455208333333333</v>
      </c>
    </row>
    <row r="64" customFormat="false" ht="13.15" hidden="false" customHeight="false" outlineLevel="0" collapsed="false">
      <c r="A64" s="405" t="s">
        <v>413</v>
      </c>
      <c r="B64" s="69" t="n">
        <f aca="false">M6+M7</f>
        <v>30</v>
      </c>
      <c r="C64" s="69" t="n">
        <f aca="false">SUM(Q6:Q7)</f>
        <v>0</v>
      </c>
      <c r="D64" s="69" t="n">
        <f aca="false">S6+S7</f>
        <v>0.69</v>
      </c>
      <c r="E64" s="69" t="n">
        <f aca="false">((G6+G7)/2)-(B64+C64+D64)</f>
        <v>26.91</v>
      </c>
      <c r="F64" s="69"/>
      <c r="G64" s="69" t="n">
        <f aca="false">SUM(I6:I7)/2</f>
        <v>0</v>
      </c>
      <c r="H64" s="72" t="n">
        <f aca="false">E64/(SUM(B64:E64))</f>
        <v>0.4671875</v>
      </c>
    </row>
    <row r="65" customFormat="false" ht="13.15" hidden="false" customHeight="false" outlineLevel="0" collapsed="false">
      <c r="A65" s="405" t="s">
        <v>414</v>
      </c>
      <c r="B65" s="69" t="n">
        <f aca="false">SUM(M10:M11)</f>
        <v>16</v>
      </c>
      <c r="C65" s="69" t="n">
        <f aca="false">SUM(Q10,Q11)</f>
        <v>0</v>
      </c>
      <c r="D65" s="69" t="n">
        <f aca="false">SUM(S10:S11)</f>
        <v>0</v>
      </c>
      <c r="E65" s="69" t="n">
        <f aca="false">((G10+G11)/2)-(B65+C65+D65)</f>
        <v>8</v>
      </c>
      <c r="F65" s="69"/>
      <c r="G65" s="69" t="n">
        <f aca="false">I10</f>
        <v>4.8</v>
      </c>
      <c r="H65" s="72" t="n">
        <f aca="false">E65/(SUM(B65:E65))</f>
        <v>0.333333333333333</v>
      </c>
    </row>
    <row r="66" customFormat="false" ht="13.15" hidden="false" customHeight="false" outlineLevel="0" collapsed="false">
      <c r="A66" s="405" t="e">
        <f aca="false">#REF!</f>
        <v>#REF!</v>
      </c>
      <c r="B66" s="69" t="e">
        <f aca="false">#REF!</f>
        <v>#REF!</v>
      </c>
      <c r="C66" s="69"/>
      <c r="D66" s="69" t="e">
        <f aca="false">#REF!</f>
        <v>#REF!</v>
      </c>
      <c r="E66" s="69" t="e">
        <f aca="false">#REF!-(B66+C66+D66)</f>
        <v>#REF!</v>
      </c>
      <c r="F66" s="69"/>
      <c r="G66" s="69" t="e">
        <f aca="false">#REF!</f>
        <v>#REF!</v>
      </c>
      <c r="H66" s="72" t="e">
        <f aca="false">E66/(SUM(B66:E66))</f>
        <v>#REF!</v>
      </c>
    </row>
    <row r="67" customFormat="false" ht="13.15" hidden="false" customHeight="false" outlineLevel="0" collapsed="false">
      <c r="A67" s="405" t="e">
        <f aca="false">#REF!</f>
        <v>#REF!</v>
      </c>
      <c r="B67" s="69" t="e">
        <f aca="false">#REF!</f>
        <v>#REF!</v>
      </c>
      <c r="C67" s="69"/>
      <c r="D67" s="69" t="e">
        <f aca="false">#REF!</f>
        <v>#REF!</v>
      </c>
      <c r="E67" s="69" t="e">
        <f aca="false">#REF!-(B67+C67+D67)</f>
        <v>#REF!</v>
      </c>
      <c r="F67" s="69"/>
      <c r="G67" s="69" t="e">
        <f aca="false">#REF!</f>
        <v>#REF!</v>
      </c>
      <c r="H67" s="72" t="e">
        <f aca="false">E67/(SUM(B67:E67))</f>
        <v>#REF!</v>
      </c>
    </row>
    <row r="68" customFormat="false" ht="13.15" hidden="false" customHeight="false" outlineLevel="0" collapsed="false">
      <c r="A68" s="500" t="s">
        <v>415</v>
      </c>
      <c r="B68" s="501" t="e">
        <f aca="false">#REF!</f>
        <v>#REF!</v>
      </c>
      <c r="C68" s="501"/>
      <c r="D68" s="501" t="e">
        <f aca="false">#REF!</f>
        <v>#REF!</v>
      </c>
      <c r="E68" s="501" t="e">
        <f aca="false">#REF!-(B68+C68+D68)</f>
        <v>#REF!</v>
      </c>
      <c r="F68" s="501"/>
      <c r="G68" s="501" t="e">
        <f aca="false">#REF!</f>
        <v>#REF!</v>
      </c>
      <c r="H68" s="72" t="e">
        <f aca="false">E68/(SUM(B68:E68))</f>
        <v>#REF!</v>
      </c>
    </row>
    <row r="69" customFormat="false" ht="13.15" hidden="false" customHeight="false" outlineLevel="0" collapsed="false">
      <c r="A69" s="500" t="s">
        <v>416</v>
      </c>
      <c r="B69" s="501" t="e">
        <f aca="false">#REF!</f>
        <v>#REF!</v>
      </c>
      <c r="C69" s="501"/>
      <c r="D69" s="501" t="e">
        <f aca="false">#REF!</f>
        <v>#REF!</v>
      </c>
      <c r="E69" s="501" t="e">
        <f aca="false">#REF!-(B69+C69+D69)</f>
        <v>#REF!</v>
      </c>
      <c r="F69" s="501"/>
      <c r="G69" s="501" t="e">
        <f aca="false">#REF!</f>
        <v>#REF!</v>
      </c>
      <c r="H69" s="72" t="e">
        <f aca="false">E69/(SUM(B69:E69))</f>
        <v>#REF!</v>
      </c>
    </row>
    <row r="70" customFormat="false" ht="13.15" hidden="false" customHeight="false" outlineLevel="0" collapsed="false">
      <c r="A70" s="405" t="s">
        <v>417</v>
      </c>
      <c r="B70" s="69" t="n">
        <f aca="false">M16+M17</f>
        <v>22</v>
      </c>
      <c r="C70" s="69" t="n">
        <f aca="false">SUM(Q16:Q17)</f>
        <v>0</v>
      </c>
      <c r="D70" s="69" t="n">
        <f aca="false">S16+S17</f>
        <v>4.14</v>
      </c>
      <c r="E70" s="69" t="n">
        <f aca="false">((G16+G17)/2)-(B70+C70+D70)</f>
        <v>19.46</v>
      </c>
      <c r="F70" s="69"/>
      <c r="G70" s="69" t="n">
        <f aca="false">SUM(I16:I17)/2</f>
        <v>21.6</v>
      </c>
      <c r="H70" s="72" t="n">
        <f aca="false">E70/(SUM(B70:E70))</f>
        <v>0.426754385964912</v>
      </c>
    </row>
    <row r="71" customFormat="false" ht="13.15" hidden="false" customHeight="false" outlineLevel="0" collapsed="false">
      <c r="A71" s="405" t="s">
        <v>418</v>
      </c>
      <c r="B71" s="69" t="n">
        <f aca="false">M18+M19</f>
        <v>22</v>
      </c>
      <c r="C71" s="69" t="n">
        <f aca="false">SUM(Q18:Q19)</f>
        <v>0</v>
      </c>
      <c r="D71" s="69" t="n">
        <f aca="false">S18+S19</f>
        <v>1.15</v>
      </c>
      <c r="E71" s="69" t="n">
        <f aca="false">((G18+G19)/2)-(B71+C71+D71)</f>
        <v>22.45</v>
      </c>
      <c r="F71" s="69"/>
      <c r="G71" s="69" t="n">
        <f aca="false">SUM(I18:I19)/2</f>
        <v>21.6</v>
      </c>
      <c r="H71" s="72" t="n">
        <f aca="false">E71/(SUM(B71:E71))</f>
        <v>0.492324561403509</v>
      </c>
    </row>
    <row r="72" customFormat="false" ht="13.15" hidden="false" customHeight="false" outlineLevel="0" collapsed="false">
      <c r="A72" s="405" t="s">
        <v>419</v>
      </c>
      <c r="B72" s="69" t="n">
        <f aca="false">SUM(M20:M21)</f>
        <v>3.45</v>
      </c>
      <c r="C72" s="69" t="n">
        <f aca="false">SUM(Q20:Q21)</f>
        <v>0</v>
      </c>
      <c r="D72" s="69" t="n">
        <f aca="false">SUM(S20:S21)</f>
        <v>4.14</v>
      </c>
      <c r="E72" s="69" t="n">
        <f aca="false">(G20+G21)/2-(B72+C72+D72)</f>
        <v>21.21</v>
      </c>
      <c r="F72" s="69"/>
      <c r="G72" s="69" t="n">
        <f aca="false">SUM(I20:I21)/2</f>
        <v>0</v>
      </c>
      <c r="H72" s="72" t="n">
        <f aca="false">E72/(SUM(B72:E72))</f>
        <v>0.736458333333333</v>
      </c>
    </row>
    <row r="73" customFormat="false" ht="13.15" hidden="false" customHeight="false" outlineLevel="0" collapsed="false">
      <c r="A73" s="405" t="s">
        <v>420</v>
      </c>
      <c r="B73" s="69" t="n">
        <f aca="false">SUM(M24:M25)</f>
        <v>33</v>
      </c>
      <c r="C73" s="69" t="n">
        <f aca="false">SUM(Q24:Q25)</f>
        <v>0</v>
      </c>
      <c r="D73" s="69" t="n">
        <f aca="false">SUM(S24:S25)</f>
        <v>0</v>
      </c>
      <c r="E73" s="69" t="n">
        <f aca="false">(G24+G25)/2-(B73+C73+D73)</f>
        <v>19.8</v>
      </c>
      <c r="F73" s="69"/>
      <c r="G73" s="69" t="n">
        <f aca="false">SUM(I21:I24)/2</f>
        <v>2.4</v>
      </c>
      <c r="H73" s="72" t="n">
        <f aca="false">E73/(SUM(B73:E73))</f>
        <v>0.375</v>
      </c>
    </row>
    <row r="74" s="346" customFormat="true" ht="13.15" hidden="false" customHeight="false" outlineLevel="0" collapsed="false">
      <c r="A74" s="500" t="s">
        <v>421</v>
      </c>
      <c r="B74" s="501" t="e">
        <f aca="false">#REF!</f>
        <v>#REF!</v>
      </c>
      <c r="C74" s="501"/>
      <c r="D74" s="501" t="e">
        <f aca="false">#REF!</f>
        <v>#REF!</v>
      </c>
      <c r="E74" s="501" t="e">
        <f aca="false">#REF!-(B74+C74+D74)</f>
        <v>#REF!</v>
      </c>
      <c r="F74" s="501"/>
      <c r="G74" s="501" t="e">
        <f aca="false">#REF!</f>
        <v>#REF!</v>
      </c>
      <c r="H74" s="72" t="e">
        <f aca="false">E74/(SUM(B74:E74))</f>
        <v>#REF!</v>
      </c>
    </row>
    <row r="75" s="346" customFormat="true" ht="13.15" hidden="false" customHeight="false" outlineLevel="0" collapsed="false">
      <c r="A75" s="500" t="s">
        <v>422</v>
      </c>
      <c r="B75" s="501" t="e">
        <f aca="false">#REF!</f>
        <v>#REF!</v>
      </c>
      <c r="C75" s="501"/>
      <c r="D75" s="501" t="e">
        <f aca="false">#REF!</f>
        <v>#REF!</v>
      </c>
      <c r="E75" s="501" t="e">
        <f aca="false">#REF!-(B75+C75+D75)</f>
        <v>#REF!</v>
      </c>
      <c r="F75" s="501"/>
      <c r="G75" s="501" t="e">
        <f aca="false">#REF!</f>
        <v>#REF!</v>
      </c>
      <c r="H75" s="72" t="e">
        <f aca="false">E75/(SUM(B75:E75))</f>
        <v>#REF!</v>
      </c>
    </row>
    <row r="76" customFormat="false" ht="13.15" hidden="false" customHeight="false" outlineLevel="0" collapsed="false">
      <c r="A76" s="405" t="s">
        <v>423</v>
      </c>
      <c r="B76" s="69" t="n">
        <f aca="false">M26+M27</f>
        <v>45</v>
      </c>
      <c r="C76" s="69" t="n">
        <f aca="false">SUM(Q26:Q27)</f>
        <v>0</v>
      </c>
      <c r="D76" s="69" t="n">
        <f aca="false">S26+S27</f>
        <v>1.38</v>
      </c>
      <c r="E76" s="69" t="n">
        <f aca="false">((G26+G27)/2)-(B76+C76+D76)</f>
        <v>11.22</v>
      </c>
      <c r="F76" s="69"/>
      <c r="G76" s="69" t="n">
        <f aca="false">SUM(I26:I27)/2</f>
        <v>0</v>
      </c>
      <c r="H76" s="72" t="n">
        <f aca="false">E76/(SUM(B76:E76))</f>
        <v>0.194791666666667</v>
      </c>
    </row>
    <row r="77" s="346" customFormat="true" ht="13.15" hidden="false" customHeight="false" outlineLevel="0" collapsed="false">
      <c r="A77" s="500" t="s">
        <v>424</v>
      </c>
      <c r="B77" s="501" t="n">
        <f aca="false">M28+M29</f>
        <v>12</v>
      </c>
      <c r="C77" s="501"/>
      <c r="D77" s="501" t="n">
        <f aca="false">S28+S29</f>
        <v>0</v>
      </c>
      <c r="E77" s="501" t="n">
        <f aca="false">((G28+G29)/2)-(B77+C77+D77)</f>
        <v>18</v>
      </c>
      <c r="F77" s="501"/>
      <c r="G77" s="501" t="n">
        <f aca="false">SUM(I28:I29)/2</f>
        <v>18</v>
      </c>
      <c r="H77" s="72" t="n">
        <f aca="false">E77/(SUM(B77:E77))</f>
        <v>0.6</v>
      </c>
    </row>
    <row r="78" customFormat="false" ht="13.15" hidden="false" customHeight="false" outlineLevel="0" collapsed="false">
      <c r="A78" s="405" t="s">
        <v>425</v>
      </c>
      <c r="B78" s="69" t="n">
        <f aca="false">M30+M31</f>
        <v>30</v>
      </c>
      <c r="C78" s="69" t="n">
        <f aca="false">SUM(Q30:Q31)</f>
        <v>0</v>
      </c>
      <c r="D78" s="69" t="n">
        <f aca="false">S30+S31</f>
        <v>0</v>
      </c>
      <c r="E78" s="69" t="n">
        <f aca="false">((G30+G31)/2)-(B78+C78+D78)</f>
        <v>10.8</v>
      </c>
      <c r="F78" s="69"/>
      <c r="G78" s="69" t="n">
        <f aca="false">SUM(I30:I31)/2</f>
        <v>26.4</v>
      </c>
      <c r="H78" s="72" t="n">
        <f aca="false">E78/(SUM(B78:E78))</f>
        <v>0.264705882352941</v>
      </c>
    </row>
    <row r="79" customFormat="false" ht="13.15" hidden="false" customHeight="false" outlineLevel="0" collapsed="false">
      <c r="A79" s="405" t="s">
        <v>426</v>
      </c>
      <c r="B79" s="69" t="n">
        <f aca="false">M32+M33</f>
        <v>24</v>
      </c>
      <c r="C79" s="69" t="n">
        <f aca="false">SUM(Q32:Q33)</f>
        <v>0</v>
      </c>
      <c r="D79" s="69" t="n">
        <f aca="false">S32+S33</f>
        <v>0</v>
      </c>
      <c r="E79" s="69" t="n">
        <f aca="false">((G32+G33)/2)-(B79+C79+D79)</f>
        <v>31.2</v>
      </c>
      <c r="F79" s="69"/>
      <c r="G79" s="69" t="n">
        <f aca="false">SUM(I32:I33)/2</f>
        <v>12</v>
      </c>
      <c r="H79" s="72" t="n">
        <f aca="false">E79/(SUM(B79:E79))</f>
        <v>0.565217391304348</v>
      </c>
    </row>
    <row r="80" customFormat="false" ht="13.15" hidden="false" customHeight="false" outlineLevel="0" collapsed="false">
      <c r="A80" s="405" t="s">
        <v>427</v>
      </c>
      <c r="B80" s="69" t="n">
        <f aca="false">M34+M35</f>
        <v>46</v>
      </c>
      <c r="C80" s="69" t="n">
        <f aca="false">SUM(Q34:Q35)</f>
        <v>0</v>
      </c>
      <c r="D80" s="69" t="n">
        <f aca="false">S34+S35</f>
        <v>2.208</v>
      </c>
      <c r="E80" s="69" t="n">
        <f aca="false">((G34+G35)/2)-(B80+C80+D80)</f>
        <v>9.392</v>
      </c>
      <c r="F80" s="69"/>
      <c r="G80" s="69" t="n">
        <f aca="false">SUM(I34:I35)/2</f>
        <v>0</v>
      </c>
      <c r="H80" s="72" t="n">
        <f aca="false">E80/(SUM(B80:E80))</f>
        <v>0.163055555555556</v>
      </c>
    </row>
    <row r="81" customFormat="false" ht="13.15" hidden="false" customHeight="false" outlineLevel="0" collapsed="false">
      <c r="A81" s="405" t="s">
        <v>428</v>
      </c>
      <c r="B81" s="69" t="n">
        <f aca="false">SUM(M36:M37)</f>
        <v>8</v>
      </c>
      <c r="C81" s="69" t="n">
        <f aca="false">SUM(Q36:Q37)</f>
        <v>0</v>
      </c>
      <c r="D81" s="69" t="n">
        <f aca="false">SUM(S36:S37)</f>
        <v>0</v>
      </c>
      <c r="E81" s="69" t="n">
        <f aca="false">((G36+G37)/2)-(B81+C81+D81)</f>
        <v>16</v>
      </c>
      <c r="F81" s="69"/>
      <c r="G81" s="69" t="n">
        <f aca="false">I36</f>
        <v>4.8</v>
      </c>
      <c r="H81" s="72" t="n">
        <f aca="false">E81/(SUM(B81:E81))</f>
        <v>0.666666666666667</v>
      </c>
    </row>
    <row r="82" customFormat="false" ht="13.15" hidden="false" customHeight="false" outlineLevel="0" collapsed="false">
      <c r="A82" s="405" t="e">
        <f aca="false">#REF!</f>
        <v>#REF!</v>
      </c>
      <c r="B82" s="69" t="e">
        <f aca="false">#REF!</f>
        <v>#REF!</v>
      </c>
      <c r="C82" s="69"/>
      <c r="D82" s="69" t="e">
        <f aca="false">#REF!</f>
        <v>#REF!</v>
      </c>
      <c r="E82" s="69" t="e">
        <f aca="false">#REF!-(B82+C82+D82)</f>
        <v>#REF!</v>
      </c>
      <c r="F82" s="69"/>
      <c r="G82" s="69" t="e">
        <f aca="false">#REF!</f>
        <v>#REF!</v>
      </c>
      <c r="H82" s="72" t="e">
        <f aca="false">E82/(SUM(B82:E82))</f>
        <v>#REF!</v>
      </c>
    </row>
    <row r="83" customFormat="false" ht="13.15" hidden="false" customHeight="false" outlineLevel="0" collapsed="false">
      <c r="A83" s="405" t="s">
        <v>429</v>
      </c>
      <c r="B83" s="69" t="n">
        <f aca="false">SUM(M40:M41)</f>
        <v>7</v>
      </c>
      <c r="C83" s="69" t="n">
        <f aca="false">SUM(Q40:Q41)</f>
        <v>0</v>
      </c>
      <c r="D83" s="69" t="n">
        <f aca="false">SUM(S40:S41)</f>
        <v>0</v>
      </c>
      <c r="E83" s="69" t="n">
        <f aca="false">(G40+G41)/2-(B83+C83+D83)</f>
        <v>17</v>
      </c>
      <c r="F83" s="69"/>
      <c r="G83" s="69" t="n">
        <f aca="false">SUM(I40:I41)/2</f>
        <v>4.8</v>
      </c>
      <c r="H83" s="72" t="n">
        <f aca="false">E83/(SUM(B83:E83))</f>
        <v>0.708333333333333</v>
      </c>
    </row>
    <row r="84" customFormat="false" ht="13.15" hidden="false" customHeight="false" outlineLevel="0" collapsed="false">
      <c r="B84" s="2"/>
      <c r="C84" s="2"/>
      <c r="D84" s="2"/>
      <c r="E84" s="2"/>
      <c r="F84" s="2"/>
    </row>
    <row r="85" customFormat="false" ht="13.15" hidden="false" customHeight="false" outlineLevel="0" collapsed="false">
      <c r="A85" s="404" t="s">
        <v>430</v>
      </c>
    </row>
    <row r="86" customFormat="false" ht="13.15" hidden="false" customHeight="false" outlineLevel="0" collapsed="false">
      <c r="A86" s="1" t="s">
        <v>384</v>
      </c>
      <c r="B86" s="1" t="s">
        <v>406</v>
      </c>
      <c r="C86" s="1" t="s">
        <v>408</v>
      </c>
      <c r="D86" s="1" t="s">
        <v>296</v>
      </c>
      <c r="E86" s="1" t="s">
        <v>409</v>
      </c>
    </row>
    <row r="87" customFormat="false" ht="13.15" hidden="false" customHeight="false" outlineLevel="0" collapsed="false">
      <c r="A87" s="1" t="s">
        <v>431</v>
      </c>
      <c r="B87" s="2" t="n">
        <f aca="false">SUM(B63:B64)</f>
        <v>60</v>
      </c>
      <c r="C87" s="2" t="n">
        <f aca="false">SUM(D63:D64)</f>
        <v>2.07</v>
      </c>
      <c r="D87" s="2" t="n">
        <f aca="false">SUM(E63:E64)</f>
        <v>53.13</v>
      </c>
      <c r="E87" s="2" t="n">
        <f aca="false">SUM(G63:G64)</f>
        <v>0</v>
      </c>
      <c r="F87" s="2"/>
    </row>
    <row r="88" customFormat="false" ht="13.15" hidden="false" customHeight="false" outlineLevel="0" collapsed="false">
      <c r="A88" s="1" t="s">
        <v>432</v>
      </c>
      <c r="B88" s="2" t="n">
        <f aca="false">SUM(B70:B71)</f>
        <v>44</v>
      </c>
      <c r="C88" s="2" t="n">
        <f aca="false">SUM(D70:D71)</f>
        <v>5.29</v>
      </c>
      <c r="D88" s="2" t="n">
        <f aca="false">SUM(E70:E71)</f>
        <v>41.91</v>
      </c>
      <c r="E88" s="2" t="n">
        <f aca="false">SUM(G70:G71)</f>
        <v>43.2</v>
      </c>
      <c r="F88" s="2"/>
    </row>
    <row r="89" customFormat="false" ht="13.15" hidden="false" customHeight="false" outlineLevel="0" collapsed="false">
      <c r="A89" s="1" t="s">
        <v>433</v>
      </c>
      <c r="B89" s="2" t="n">
        <f aca="false">SUM(B76:B76)</f>
        <v>45</v>
      </c>
      <c r="C89" s="2" t="n">
        <f aca="false">SUM(D76:D76)</f>
        <v>1.38</v>
      </c>
      <c r="D89" s="2" t="n">
        <f aca="false">SUM(E76:E76)</f>
        <v>11.22</v>
      </c>
      <c r="E89" s="2" t="n">
        <f aca="false">SUM(G76:G76)</f>
        <v>0</v>
      </c>
      <c r="F89" s="2"/>
    </row>
    <row r="90" customFormat="false" ht="13.15" hidden="false" customHeight="false" outlineLevel="0" collapsed="false">
      <c r="A90" s="1" t="s">
        <v>434</v>
      </c>
      <c r="B90" s="2" t="n">
        <f aca="false">SUM(B78:B79)</f>
        <v>54</v>
      </c>
      <c r="C90" s="2" t="n">
        <f aca="false">SUM(D78:D79)</f>
        <v>0</v>
      </c>
      <c r="D90" s="2" t="n">
        <f aca="false">SUM(E78:E79)</f>
        <v>42</v>
      </c>
      <c r="E90" s="2" t="n">
        <f aca="false">SUM(G78:G79)</f>
        <v>38.4</v>
      </c>
      <c r="F90" s="2"/>
    </row>
    <row r="93" customFormat="false" ht="13.15" hidden="false" customHeight="false" outlineLevel="0" collapsed="false">
      <c r="A93" s="404" t="s">
        <v>435</v>
      </c>
    </row>
    <row r="94" customFormat="false" ht="13.15" hidden="false" customHeight="false" outlineLevel="0" collapsed="false">
      <c r="A94" s="1" t="s">
        <v>384</v>
      </c>
      <c r="B94" s="1" t="s">
        <v>406</v>
      </c>
      <c r="C94" s="1" t="s">
        <v>408</v>
      </c>
      <c r="D94" s="1" t="s">
        <v>296</v>
      </c>
      <c r="E94" s="1" t="s">
        <v>409</v>
      </c>
    </row>
    <row r="95" customFormat="false" ht="13.15" hidden="false" customHeight="false" outlineLevel="0" collapsed="false">
      <c r="A95" s="1" t="str">
        <f aca="false">B44</f>
        <v>IC2BL</v>
      </c>
      <c r="B95" s="2" t="n">
        <f aca="false">M44</f>
        <v>1.15</v>
      </c>
      <c r="C95" s="2" t="n">
        <f aca="false">S44</f>
        <v>0</v>
      </c>
      <c r="D95" s="2" t="n">
        <f aca="false">G44-(B95+C95)</f>
        <v>8.45</v>
      </c>
      <c r="E95" s="2" t="n">
        <f aca="false">I44</f>
        <v>32.4</v>
      </c>
      <c r="F95" s="2"/>
    </row>
    <row r="96" customFormat="false" ht="13.15" hidden="false" customHeight="false" outlineLevel="0" collapsed="false">
      <c r="A96" s="1" t="str">
        <f aca="false">B46</f>
        <v>IC2CE</v>
      </c>
      <c r="B96" s="2" t="n">
        <f aca="false">M46</f>
        <v>1.15</v>
      </c>
      <c r="C96" s="2" t="n">
        <f aca="false">S46</f>
        <v>0</v>
      </c>
      <c r="D96" s="2" t="n">
        <f aca="false">G46-(B96+C96)</f>
        <v>8.45</v>
      </c>
      <c r="E96" s="2" t="n">
        <f aca="false">I46</f>
        <v>32.4</v>
      </c>
      <c r="F96" s="2"/>
    </row>
    <row r="97" customFormat="false" ht="13.15" hidden="false" customHeight="false" outlineLevel="0" collapsed="false">
      <c r="A97" s="1" t="str">
        <f aca="false">B45</f>
        <v>IC2CF</v>
      </c>
      <c r="B97" s="2" t="n">
        <f aca="false">M45</f>
        <v>0.23</v>
      </c>
      <c r="C97" s="2" t="n">
        <f aca="false">S45</f>
        <v>0</v>
      </c>
      <c r="D97" s="2" t="n">
        <f aca="false">G45-(B97+C97)</f>
        <v>8.77</v>
      </c>
      <c r="E97" s="2" t="n">
        <f aca="false">I45</f>
        <v>33</v>
      </c>
      <c r="F97" s="2"/>
    </row>
    <row r="98" customFormat="false" ht="13.15" hidden="false" customHeight="false" outlineLevel="0" collapsed="false">
      <c r="A98" s="1" t="str">
        <f aca="false">B47</f>
        <v>IC3CN</v>
      </c>
      <c r="B98" s="2" t="n">
        <f aca="false">M47</f>
        <v>1.61</v>
      </c>
      <c r="C98" s="2" t="n">
        <f aca="false">S47</f>
        <v>0</v>
      </c>
      <c r="D98" s="2" t="n">
        <f aca="false">G47-(B98+C98)</f>
        <v>7.99</v>
      </c>
      <c r="E98" s="2" t="n">
        <f aca="false">I47</f>
        <v>32.4</v>
      </c>
      <c r="F98" s="2"/>
    </row>
    <row r="99" customFormat="false" ht="13.15" hidden="false" customHeight="false" outlineLevel="0" collapsed="false">
      <c r="A99" s="1" t="str">
        <f aca="false">B48</f>
        <v>IC1GW</v>
      </c>
      <c r="B99" s="2" t="n">
        <f aca="false">M48</f>
        <v>0.46</v>
      </c>
      <c r="C99" s="2" t="n">
        <f aca="false">S48</f>
        <v>0</v>
      </c>
      <c r="D99" s="2" t="n">
        <f aca="false">G48-(B99+C99)</f>
        <v>0.59</v>
      </c>
      <c r="E99" s="2" t="n">
        <f aca="false">I48</f>
        <v>0</v>
      </c>
      <c r="F99" s="2"/>
    </row>
    <row r="100" customFormat="false" ht="13.15" hidden="false" customHeight="false" outlineLevel="0" collapsed="false">
      <c r="A100" s="1" t="e">
        <f aca="false">#REF!</f>
        <v>#REF!</v>
      </c>
      <c r="B100" s="2" t="e">
        <f aca="false">#REF!</f>
        <v>#REF!</v>
      </c>
      <c r="C100" s="2" t="e">
        <f aca="false">#REF!</f>
        <v>#REF!</v>
      </c>
      <c r="D100" s="2" t="e">
        <f aca="false">#REF!-(B100+C100)</f>
        <v>#REF!</v>
      </c>
      <c r="E100" s="2" t="e">
        <f aca="false">#REF!</f>
        <v>#REF!</v>
      </c>
      <c r="F100" s="2"/>
    </row>
    <row r="101" customFormat="false" ht="13.15" hidden="false" customHeight="false" outlineLevel="0" collapsed="false">
      <c r="A101" s="1" t="str">
        <f aca="false">B49</f>
        <v>IC3LR</v>
      </c>
      <c r="B101" s="2" t="n">
        <f aca="false">M49</f>
        <v>1.61</v>
      </c>
      <c r="C101" s="2" t="n">
        <f aca="false">S49</f>
        <v>0</v>
      </c>
      <c r="D101" s="2" t="n">
        <f aca="false">G49-(B101+C101)</f>
        <v>7.99</v>
      </c>
      <c r="E101" s="2" t="n">
        <f aca="false">I49</f>
        <v>32.4</v>
      </c>
      <c r="F101" s="2"/>
    </row>
    <row r="102" customFormat="false" ht="13.15" hidden="false" customHeight="false" outlineLevel="0" collapsed="false">
      <c r="A102" s="1" t="s">
        <v>436</v>
      </c>
      <c r="B102" s="2" t="e">
        <f aca="false">#REF!</f>
        <v>#REF!</v>
      </c>
      <c r="C102" s="2" t="e">
        <f aca="false">#REF!</f>
        <v>#REF!</v>
      </c>
      <c r="D102" s="497" t="e">
        <f aca="false">#REF!-(B102+C102)</f>
        <v>#REF!</v>
      </c>
      <c r="E102" s="2" t="e">
        <f aca="false">#REF!</f>
        <v>#REF!</v>
      </c>
      <c r="F102" s="2"/>
    </row>
    <row r="103" customFormat="false" ht="13.15" hidden="false" customHeight="false" outlineLevel="0" collapsed="false">
      <c r="A103" s="1" t="str">
        <f aca="false">B50</f>
        <v>IC3NE</v>
      </c>
      <c r="B103" s="2" t="n">
        <f aca="false">M50</f>
        <v>1.38</v>
      </c>
      <c r="C103" s="2" t="n">
        <f aca="false">S50</f>
        <v>0</v>
      </c>
      <c r="D103" s="2" t="n">
        <f aca="false">G50-(B103+C103)</f>
        <v>8.22</v>
      </c>
      <c r="E103" s="2" t="n">
        <f aca="false">I50</f>
        <v>32.4</v>
      </c>
      <c r="F103" s="2"/>
    </row>
    <row r="104" customFormat="false" ht="13.15" hidden="false" customHeight="false" outlineLevel="0" collapsed="false">
      <c r="A104" s="1" t="str">
        <f aca="false">B51</f>
        <v>IC4NY</v>
      </c>
      <c r="B104" s="2" t="n">
        <f aca="false">M51</f>
        <v>5.98</v>
      </c>
      <c r="C104" s="2" t="n">
        <f aca="false">S51</f>
        <v>0</v>
      </c>
      <c r="D104" s="2" t="n">
        <f aca="false">G51-(B104+C104)</f>
        <v>8.42</v>
      </c>
      <c r="E104" s="2" t="n">
        <f aca="false">I51</f>
        <v>27.6</v>
      </c>
      <c r="F104" s="2"/>
    </row>
    <row r="105" customFormat="false" ht="13.15" hidden="false" customHeight="false" outlineLevel="0" collapsed="false">
      <c r="A105" s="1" t="str">
        <f aca="false">B53</f>
        <v>IC2OD</v>
      </c>
      <c r="B105" s="2" t="n">
        <f aca="false">M53</f>
        <v>0.92</v>
      </c>
      <c r="C105" s="2" t="n">
        <f aca="false">S53</f>
        <v>0</v>
      </c>
      <c r="D105" s="2" t="n">
        <f aca="false">G53-(B105+C105)</f>
        <v>8.68</v>
      </c>
      <c r="E105" s="2" t="n">
        <f aca="false">I53</f>
        <v>32.4</v>
      </c>
      <c r="F105" s="2"/>
    </row>
    <row r="106" customFormat="false" ht="13.15" hidden="false" customHeight="false" outlineLevel="0" collapsed="false">
      <c r="A106" s="1" t="str">
        <f aca="false">B54</f>
        <v>IC3SD</v>
      </c>
      <c r="B106" s="2" t="n">
        <f aca="false">M54</f>
        <v>1.38</v>
      </c>
      <c r="C106" s="2" t="n">
        <f aca="false">S54</f>
        <v>0</v>
      </c>
      <c r="D106" s="2" t="n">
        <f aca="false">G54-(B106+C106)</f>
        <v>8.22</v>
      </c>
      <c r="E106" s="2" t="n">
        <f aca="false">I54</f>
        <v>32.4</v>
      </c>
      <c r="F106" s="2"/>
    </row>
    <row r="107" customFormat="false" ht="13.15" hidden="false" customHeight="false" outlineLevel="0" collapsed="false">
      <c r="A107" s="1" t="str">
        <f aca="false">B55</f>
        <v>IC3WN</v>
      </c>
      <c r="B107" s="2" t="n">
        <f aca="false">M55</f>
        <v>0.69</v>
      </c>
      <c r="C107" s="2" t="n">
        <f aca="false">S55</f>
        <v>0</v>
      </c>
      <c r="D107" s="2" t="n">
        <f aca="false">G55-(B107+C107)</f>
        <v>3.31</v>
      </c>
      <c r="E107" s="2" t="n">
        <f aca="false">I55</f>
        <v>0</v>
      </c>
      <c r="F107" s="2"/>
    </row>
    <row r="108" customFormat="false" ht="13.15" hidden="false" customHeight="false" outlineLevel="0" collapsed="false">
      <c r="A108" s="1" t="s">
        <v>437</v>
      </c>
      <c r="B108" s="2" t="e">
        <f aca="false">#REF!</f>
        <v>#REF!</v>
      </c>
      <c r="C108" s="2" t="e">
        <f aca="false">#REF!</f>
        <v>#REF!</v>
      </c>
      <c r="D108" s="2" t="e">
        <f aca="false">#REF!-(B108+C108)</f>
        <v>#REF!</v>
      </c>
      <c r="E108" s="2" t="e">
        <f aca="false">#REF!</f>
        <v>#REF!</v>
      </c>
      <c r="F108" s="2"/>
    </row>
    <row r="110" customFormat="false" ht="13.15" hidden="false" customHeight="false" outlineLevel="0" collapsed="false">
      <c r="B110" s="2" t="n">
        <f aca="false">M52</f>
        <v>32</v>
      </c>
      <c r="C110" s="2" t="n">
        <f aca="false">S52</f>
        <v>0</v>
      </c>
      <c r="D110" s="2" t="n">
        <f aca="false">G52-(B110+C110)</f>
        <v>43</v>
      </c>
      <c r="E110" s="2" t="n">
        <f aca="false">I52</f>
        <v>0</v>
      </c>
      <c r="F110" s="2"/>
    </row>
    <row r="112" customFormat="false" ht="13.15" hidden="false" customHeight="false" outlineLevel="0" collapsed="false">
      <c r="A112" s="1" t="s">
        <v>438</v>
      </c>
      <c r="B112" s="1" t="s">
        <v>439</v>
      </c>
      <c r="C112" s="1" t="s">
        <v>24</v>
      </c>
      <c r="D112" s="1" t="s">
        <v>440</v>
      </c>
      <c r="W112" s="484" t="s">
        <v>441</v>
      </c>
    </row>
    <row r="113" customFormat="false" ht="13.15" hidden="false" customHeight="false" outlineLevel="0" collapsed="false">
      <c r="A113" s="1" t="s">
        <v>442</v>
      </c>
      <c r="B113" s="1" t="n">
        <v>52</v>
      </c>
      <c r="C113" s="1" t="n">
        <v>0</v>
      </c>
      <c r="D113" s="1" t="n">
        <f aca="false">130-B113-C113</f>
        <v>78</v>
      </c>
      <c r="W113" s="1" t="s">
        <v>443</v>
      </c>
    </row>
    <row r="114" customFormat="false" ht="13.15" hidden="false" customHeight="false" outlineLevel="0" collapsed="false">
      <c r="A114" s="1" t="s">
        <v>444</v>
      </c>
      <c r="B114" s="1" t="n">
        <v>42</v>
      </c>
      <c r="C114" s="1" t="n">
        <v>0</v>
      </c>
      <c r="D114" s="1" t="n">
        <f aca="false">130-B114-C114</f>
        <v>88</v>
      </c>
    </row>
    <row r="115" customFormat="false" ht="13.15" hidden="false" customHeight="false" outlineLevel="0" collapsed="false">
      <c r="A115" s="1" t="s">
        <v>445</v>
      </c>
      <c r="B115" s="1" t="n">
        <v>56</v>
      </c>
      <c r="C115" s="1" t="n">
        <v>0</v>
      </c>
      <c r="D115" s="1" t="n">
        <f aca="false">130-B115-C115</f>
        <v>74</v>
      </c>
      <c r="F115" s="1" t="s">
        <v>151</v>
      </c>
    </row>
    <row r="116" customFormat="false" ht="13.15" hidden="false" customHeight="false" outlineLevel="0" collapsed="false">
      <c r="A116" s="1" t="s">
        <v>446</v>
      </c>
      <c r="B116" s="1" t="n">
        <f aca="false">SUM(B113:B115)</f>
        <v>150</v>
      </c>
      <c r="W116" s="2"/>
    </row>
    <row r="117" customFormat="false" ht="13.15" hidden="false" customHeight="false" outlineLevel="0" collapsed="false">
      <c r="A117" s="1" t="s">
        <v>447</v>
      </c>
      <c r="B117" s="1" t="n">
        <f aca="false">ROUNDUP(((B116*230)/1000),0)</f>
        <v>35</v>
      </c>
    </row>
    <row r="118" customFormat="false" ht="13.15" hidden="false" customHeight="false" outlineLevel="0" collapsed="false">
      <c r="A118" s="1" t="s">
        <v>448</v>
      </c>
    </row>
  </sheetData>
  <conditionalFormatting sqref="H62:H83">
    <cfRule type="cellIs" priority="2" operator="lessThanOrEqual" aboveAverage="0" equalAverage="0" bottom="0" percent="0" rank="0" text="" dxfId="48">
      <formula>0.05</formula>
    </cfRule>
    <cfRule type="cellIs" priority="3" operator="between" aboveAverage="0" equalAverage="0" bottom="0" percent="0" rank="0" text="" dxfId="49">
      <formula>0.06</formula>
      <formula>0.2</formula>
    </cfRule>
    <cfRule type="cellIs" priority="4" operator="greaterThan" aboveAverage="0" equalAverage="0" bottom="0" percent="0" rank="0" text="" dxfId="50">
      <formula>0.21</formula>
    </cfRule>
  </conditionalFormatting>
  <conditionalFormatting sqref="V2:V27 V30:V41 V44:V55">
    <cfRule type="cellIs" priority="5" operator="lessThanOrEqual" aboveAverage="0" equalAverage="0" bottom="0" percent="0" rank="0" text="" dxfId="51">
      <formula>0</formula>
    </cfRule>
    <cfRule type="cellIs" priority="6" operator="lessThan" aboveAverage="0" equalAverage="0" bottom="0" percent="0" rank="0" text="" dxfId="52">
      <formula>0.06</formula>
    </cfRule>
    <cfRule type="cellIs" priority="7" operator="between" aboveAverage="0" equalAverage="0" bottom="0" percent="0" rank="0" text="" dxfId="53">
      <formula>0.06</formula>
      <formula>0.195</formula>
    </cfRule>
    <cfRule type="cellIs" priority="8" operator="greaterThanOrEqual" aboveAverage="0" equalAverage="0" bottom="0" percent="0" rank="0" text="" dxfId="54">
      <formula>0.195</formula>
    </cfRule>
  </conditionalFormatting>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4:Z136"/>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O15" activeCellId="0" sqref="O15"/>
    </sheetView>
  </sheetViews>
  <sheetFormatPr defaultColWidth="8.84765625" defaultRowHeight="10.15" zeroHeight="false" outlineLevelRow="0" outlineLevelCol="0"/>
  <cols>
    <col collapsed="false" customWidth="true" hidden="false" outlineLevel="0" max="15" min="3" style="0" width="20.5"/>
    <col collapsed="false" customWidth="true" hidden="false" outlineLevel="0" max="16" min="16" style="0" width="10.34"/>
    <col collapsed="false" customWidth="true" hidden="false" outlineLevel="0" max="18" min="18" style="0" width="12"/>
    <col collapsed="false" customWidth="true" hidden="false" outlineLevel="0" max="22" min="22" style="0" width="12"/>
    <col collapsed="false" customWidth="true" hidden="false" outlineLevel="0" max="23" min="23" style="0" width="11.66"/>
    <col collapsed="false" customWidth="true" hidden="false" outlineLevel="0" max="24" min="24" style="0" width="11.5"/>
    <col collapsed="false" customWidth="true" hidden="false" outlineLevel="0" max="26" min="26" style="0" width="12.5"/>
  </cols>
  <sheetData>
    <row r="4" customFormat="false" ht="41.45" hidden="false" customHeight="false" outlineLevel="0" collapsed="false">
      <c r="K4" s="502" t="s">
        <v>449</v>
      </c>
    </row>
    <row r="5" s="503" customFormat="true" ht="55.15" hidden="false" customHeight="false" outlineLevel="0" collapsed="false">
      <c r="C5" s="504" t="s">
        <v>450</v>
      </c>
      <c r="D5" s="505" t="s">
        <v>451</v>
      </c>
      <c r="E5" s="505" t="s">
        <v>452</v>
      </c>
      <c r="F5" s="506" t="s">
        <v>453</v>
      </c>
      <c r="G5" s="505" t="s">
        <v>454</v>
      </c>
      <c r="H5" s="505" t="s">
        <v>455</v>
      </c>
      <c r="I5" s="505" t="s">
        <v>456</v>
      </c>
      <c r="J5" s="505" t="s">
        <v>457</v>
      </c>
      <c r="K5" s="505" t="s">
        <v>458</v>
      </c>
      <c r="L5" s="505" t="s">
        <v>459</v>
      </c>
      <c r="M5" s="507" t="s">
        <v>460</v>
      </c>
      <c r="N5" s="504" t="s">
        <v>461</v>
      </c>
      <c r="O5" s="507" t="s">
        <v>462</v>
      </c>
      <c r="P5" s="504" t="s">
        <v>463</v>
      </c>
      <c r="Q5" s="508" t="s">
        <v>464</v>
      </c>
      <c r="R5" s="505" t="s">
        <v>465</v>
      </c>
      <c r="S5" s="506" t="n">
        <v>0.8</v>
      </c>
      <c r="T5" s="505"/>
      <c r="V5" s="509" t="s">
        <v>466</v>
      </c>
      <c r="W5" s="509" t="s">
        <v>467</v>
      </c>
      <c r="X5" s="509" t="s">
        <v>468</v>
      </c>
      <c r="Y5" s="509" t="s">
        <v>469</v>
      </c>
      <c r="Z5" s="509" t="s">
        <v>470</v>
      </c>
    </row>
    <row r="6" customFormat="false" ht="13.9" hidden="false" customHeight="false" outlineLevel="0" collapsed="false">
      <c r="C6" s="510" t="s">
        <v>269</v>
      </c>
      <c r="D6" s="511" t="n">
        <f aca="false" t="array" ref="D6:D6">SUM('Plant loading'!T72:T74+'Plant loading'!V72:V74)</f>
        <v>464.6125</v>
      </c>
      <c r="E6" s="511" t="n">
        <f aca="false">D6*0.9</f>
        <v>418.15125</v>
      </c>
      <c r="F6" s="511" t="n">
        <f aca="false">D6*0.1</f>
        <v>46.46125</v>
      </c>
      <c r="G6" s="511" t="n">
        <f aca="false">SUM('Plant loading'!G72:G74)</f>
        <v>271.737</v>
      </c>
      <c r="H6" s="511" t="n">
        <f aca="false">SUM('Plant loading'!P72:P74)</f>
        <v>102.133</v>
      </c>
      <c r="I6" s="511" t="n">
        <f aca="false">SUM('Plant loading'!R72:R74)</f>
        <v>7.194</v>
      </c>
      <c r="J6" s="511" t="n">
        <f aca="false">SUM(G6:I6)</f>
        <v>381.064</v>
      </c>
      <c r="K6" s="511" t="n">
        <f aca="false">SUM(E6-J6)</f>
        <v>37.08725</v>
      </c>
      <c r="L6" s="511" t="n">
        <f aca="false">SUM(E6-(I6+G6))</f>
        <v>139.22025</v>
      </c>
      <c r="M6" s="512" t="str">
        <f aca="false">[4]Sheet1!$W$15</f>
        <v>Dell S5248F</v>
      </c>
      <c r="N6" s="513" t="str">
        <f aca="false">[4]Sheet1!$W$4</f>
        <v>Dell S5248F</v>
      </c>
      <c r="O6" s="514" t="n">
        <f aca="false">SUM('Plant loading'!V72:V74)</f>
        <v>83.5485</v>
      </c>
      <c r="P6" s="515"/>
      <c r="Q6" s="516" t="n">
        <f aca="false">SUM(D6*0.85)</f>
        <v>394.920625</v>
      </c>
      <c r="R6" s="517" t="n">
        <f aca="false">SUM(Q6-J6)</f>
        <v>13.856625</v>
      </c>
      <c r="S6" s="518" t="n">
        <f aca="false">SUM(D6*0.8)</f>
        <v>371.69</v>
      </c>
      <c r="T6" s="517" t="n">
        <f aca="false">SUM(S6-J6)</f>
        <v>-9.37399999999997</v>
      </c>
      <c r="U6" s="519"/>
      <c r="V6" s="520" t="e">
        <f aca="false">N6/M6</f>
        <v>#VALUE!</v>
      </c>
      <c r="W6" s="521" t="s">
        <v>471</v>
      </c>
      <c r="X6" s="521" t="n">
        <v>6.5</v>
      </c>
      <c r="Y6" s="521" t="n">
        <v>5</v>
      </c>
      <c r="Z6" s="520" t="n">
        <f aca="false">Y6/X6</f>
        <v>0.769230769230769</v>
      </c>
    </row>
    <row r="7" customFormat="false" ht="13.9" hidden="false" customHeight="false" outlineLevel="0" collapsed="false">
      <c r="C7" s="510" t="s">
        <v>265</v>
      </c>
      <c r="D7" s="511" t="n">
        <f aca="false" t="array" ref="D7:D7">SUM('Plant loading'!T39:T41+'Plant loading'!V39:V41)</f>
        <v>461.615</v>
      </c>
      <c r="E7" s="511" t="n">
        <f aca="false">D7*0.9</f>
        <v>415.4535</v>
      </c>
      <c r="F7" s="511" t="n">
        <f aca="false">D7*0.1</f>
        <v>46.1615</v>
      </c>
      <c r="G7" s="511" t="n">
        <f aca="false">SUM('Plant loading'!G39:G41)</f>
        <v>282.5825</v>
      </c>
      <c r="H7" s="511" t="n">
        <f aca="false">SUM('Plant loading'!P39:P41)</f>
        <v>67.3075</v>
      </c>
      <c r="I7" s="511" t="n">
        <f aca="false">SUM('Plant loading'!R39:R41)</f>
        <v>11.6194</v>
      </c>
      <c r="J7" s="511" t="n">
        <f aca="false">SUM(G7:I7)</f>
        <v>361.5094</v>
      </c>
      <c r="K7" s="511" t="n">
        <f aca="false">SUM(E7-J7)</f>
        <v>53.9441</v>
      </c>
      <c r="L7" s="511" t="n">
        <f aca="false">SUM(E7-(I7+G7))</f>
        <v>121.2516</v>
      </c>
      <c r="M7" s="512" t="str">
        <f aca="false">[4]Sheet1!$W$16</f>
        <v>Dell S5248F</v>
      </c>
      <c r="N7" s="512" t="str">
        <f aca="false">[4]Sheet1!$W$5</f>
        <v>Dell S5248F</v>
      </c>
      <c r="O7" s="514" t="n">
        <f aca="false">SUM('Plant loading'!V39:V41)</f>
        <v>100.1056</v>
      </c>
      <c r="P7" s="515"/>
      <c r="Q7" s="516" t="n">
        <f aca="false">SUM(D7*0.85)</f>
        <v>392.37275</v>
      </c>
      <c r="R7" s="517" t="n">
        <f aca="false">SUM(Q7-J7)</f>
        <v>30.86335</v>
      </c>
      <c r="S7" s="518" t="n">
        <f aca="false">SUM(D7*0.8)</f>
        <v>369.292</v>
      </c>
      <c r="T7" s="517" t="n">
        <f aca="false">SUM(S7-J7)</f>
        <v>7.7826</v>
      </c>
      <c r="U7" s="519"/>
      <c r="V7" s="520" t="e">
        <f aca="false">N7/M7</f>
        <v>#VALUE!</v>
      </c>
      <c r="W7" s="521" t="s">
        <v>472</v>
      </c>
      <c r="X7" s="521" t="n">
        <v>7.5</v>
      </c>
      <c r="Y7" s="521" t="n">
        <v>5</v>
      </c>
      <c r="Z7" s="520" t="n">
        <f aca="false">Y7/X7</f>
        <v>0.666666666666667</v>
      </c>
    </row>
    <row r="8" customFormat="false" ht="13.9" hidden="false" customHeight="false" outlineLevel="0" collapsed="false">
      <c r="C8" s="510" t="s">
        <v>263</v>
      </c>
      <c r="D8" s="511" t="n">
        <f aca="false" t="array" ref="D8:D8">SUM('Plant loading'!T32:T34+'Plant loading'!V32:V34)</f>
        <v>464.7215</v>
      </c>
      <c r="E8" s="511" t="n">
        <f aca="false">D8*0.9</f>
        <v>418.24935</v>
      </c>
      <c r="F8" s="511" t="n">
        <f aca="false">D8*0.1</f>
        <v>46.47215</v>
      </c>
      <c r="G8" s="511" t="n">
        <f aca="false">SUM('Plant loading'!G32:G34)</f>
        <v>309.2875</v>
      </c>
      <c r="H8" s="511" t="n">
        <f aca="false">SUM('Plant loading'!P32:P34)</f>
        <v>98.8085</v>
      </c>
      <c r="I8" s="511" t="n">
        <f aca="false">SUM('Plant loading'!R32:R34)</f>
        <v>21.0152</v>
      </c>
      <c r="J8" s="511" t="n">
        <f aca="false">SUM(G8:I8)</f>
        <v>429.1112</v>
      </c>
      <c r="K8" s="511" t="n">
        <f aca="false">SUM(E8-J8)</f>
        <v>-10.8618500000001</v>
      </c>
      <c r="L8" s="511" t="n">
        <f aca="false">SUM(E8-(I8+G8))</f>
        <v>87.94665</v>
      </c>
      <c r="M8" s="512" t="str">
        <f aca="false">[4]Sheet1!$W$17</f>
        <v>Dell S5248F</v>
      </c>
      <c r="N8" s="512" t="str">
        <f aca="false">[4]Sheet1!$W$6</f>
        <v>Dell S5248F</v>
      </c>
      <c r="O8" s="514" t="n">
        <f aca="false">SUM('Plant loading'!V32:V34)</f>
        <v>35.6103</v>
      </c>
      <c r="P8" s="515"/>
      <c r="Q8" s="516" t="n">
        <f aca="false">SUM(D8*0.85)</f>
        <v>395.013275</v>
      </c>
      <c r="R8" s="517" t="n">
        <f aca="false">SUM(Q8-J8)</f>
        <v>-34.0979250000001</v>
      </c>
      <c r="S8" s="518" t="n">
        <f aca="false">SUM(D8*0.8)</f>
        <v>371.7772</v>
      </c>
      <c r="T8" s="517" t="n">
        <f aca="false">SUM(S8-J8)</f>
        <v>-57.3340000000001</v>
      </c>
      <c r="U8" s="519"/>
      <c r="V8" s="520" t="e">
        <f aca="false">N8/M8</f>
        <v>#VALUE!</v>
      </c>
      <c r="W8" s="521" t="s">
        <v>473</v>
      </c>
      <c r="X8" s="521" t="n">
        <v>6.5</v>
      </c>
      <c r="Y8" s="521" t="n">
        <v>4.5</v>
      </c>
      <c r="Z8" s="520" t="n">
        <f aca="false">Y8/X8</f>
        <v>0.692307692307692</v>
      </c>
    </row>
    <row r="9" customFormat="false" ht="13.9" hidden="false" customHeight="false" outlineLevel="0" collapsed="false">
      <c r="C9" s="510" t="s">
        <v>254</v>
      </c>
      <c r="D9" s="511" t="n">
        <f aca="false" t="array" ref="D9:D9">SUM('Plant loading'!T9:T12+'Plant loading'!V9:V12)</f>
        <v>503.58</v>
      </c>
      <c r="E9" s="511" t="n">
        <f aca="false">D9*0.9</f>
        <v>453.222</v>
      </c>
      <c r="F9" s="511" t="n">
        <f aca="false">D9*0.1</f>
        <v>50.358</v>
      </c>
      <c r="G9" s="511" t="n">
        <f aca="false">SUM('Plant loading'!G9:G12)</f>
        <v>382.372</v>
      </c>
      <c r="H9" s="511" t="n">
        <f aca="false">SUM('Plant loading'!P9:P12)</f>
        <v>30.302</v>
      </c>
      <c r="I9" s="511" t="n">
        <f aca="false">SUM('Plant loading'!R9:R12)</f>
        <v>32.3512</v>
      </c>
      <c r="J9" s="511" t="n">
        <f aca="false">SUM(G9:I9)</f>
        <v>445.0252</v>
      </c>
      <c r="K9" s="511" t="n">
        <f aca="false">SUM(E9-J9)</f>
        <v>8.19679999999994</v>
      </c>
      <c r="L9" s="511" t="n">
        <f aca="false">SUM(E9-(I9+G9))</f>
        <v>38.4987999999999</v>
      </c>
      <c r="M9" s="512" t="str">
        <f aca="false">[4]Sheet1!$W$19</f>
        <v>Dell S5248F</v>
      </c>
      <c r="N9" s="512" t="str">
        <f aca="false">[4]Sheet1!$W$8</f>
        <v>Dell S5248F</v>
      </c>
      <c r="O9" s="514" t="n">
        <f aca="false">SUM('Plant loading'!V9:V12)</f>
        <v>58.5548</v>
      </c>
      <c r="P9" s="515"/>
      <c r="Q9" s="516" t="n">
        <f aca="false">SUM(D9*0.85)</f>
        <v>428.043</v>
      </c>
      <c r="R9" s="517" t="n">
        <f aca="false">SUM(Q9-J9)</f>
        <v>-16.9822</v>
      </c>
      <c r="S9" s="518" t="n">
        <f aca="false">SUM(D9*0.8)</f>
        <v>402.864</v>
      </c>
      <c r="T9" s="517" t="n">
        <f aca="false">SUM(S9-J9)</f>
        <v>-42.1612</v>
      </c>
      <c r="U9" s="519"/>
      <c r="V9" s="520" t="e">
        <f aca="false">N9/M9</f>
        <v>#VALUE!</v>
      </c>
      <c r="W9" s="521" t="s">
        <v>474</v>
      </c>
      <c r="X9" s="521" t="n">
        <v>10.5</v>
      </c>
      <c r="Y9" s="521" t="n">
        <v>6.5</v>
      </c>
      <c r="Z9" s="520" t="n">
        <f aca="false">Y9/X9</f>
        <v>0.619047619047619</v>
      </c>
    </row>
    <row r="10" customFormat="false" ht="13.9" hidden="false" customHeight="false" outlineLevel="0" collapsed="false">
      <c r="C10" s="510" t="s">
        <v>259</v>
      </c>
      <c r="D10" s="511" t="n">
        <f aca="false" t="array" ref="D10:D10">SUM('Plant loading'!T22:T24+'Plant loading'!V22:V24)</f>
        <v>377.685</v>
      </c>
      <c r="E10" s="511" t="n">
        <f aca="false">D10*0.945</f>
        <v>356.912325</v>
      </c>
      <c r="F10" s="522" t="n">
        <f aca="false">D10*0.06</f>
        <v>22.6611</v>
      </c>
      <c r="G10" s="511" t="n">
        <f aca="false">SUM('Plant loading'!G22:G24)</f>
        <v>294.736</v>
      </c>
      <c r="H10" s="511" t="n">
        <f aca="false">SUM('Plant loading'!P22:P24)</f>
        <v>64.6915</v>
      </c>
      <c r="I10" s="511" t="n">
        <f aca="false">SUM('Plant loading'!R22:R24)</f>
        <v>2.943</v>
      </c>
      <c r="J10" s="511" t="n">
        <f aca="false">SUM(G10:I10)</f>
        <v>362.3705</v>
      </c>
      <c r="K10" s="522" t="n">
        <f aca="false">SUM(E10-J10)</f>
        <v>-5.45817499999998</v>
      </c>
      <c r="L10" s="511" t="n">
        <f aca="false">SUM(E10-(I10+G10))</f>
        <v>59.233325</v>
      </c>
      <c r="M10" s="512" t="str">
        <f aca="false">[4]Sheet1!$W$20</f>
        <v>Dell S5248F</v>
      </c>
      <c r="N10" s="512" t="str">
        <f aca="false">[4]Sheet1!$W$9</f>
        <v>Dell S5248F</v>
      </c>
      <c r="O10" s="514" t="n">
        <f aca="false">SUM('Plant loading'!V22:V24)</f>
        <v>15.3145</v>
      </c>
      <c r="P10" s="515"/>
      <c r="Q10" s="516" t="n">
        <f aca="false">SUM(D10*0.85)</f>
        <v>321.03225</v>
      </c>
      <c r="R10" s="517" t="n">
        <f aca="false">SUM(Q10-J10)</f>
        <v>-41.33825</v>
      </c>
      <c r="S10" s="518" t="n">
        <f aca="false">SUM(D10*0.8)</f>
        <v>302.148</v>
      </c>
      <c r="T10" s="517" t="n">
        <f aca="false">SUM(S10-J10)</f>
        <v>-60.2225</v>
      </c>
      <c r="U10" s="519"/>
      <c r="V10" s="520" t="e">
        <f aca="false">N10/M10</f>
        <v>#VALUE!</v>
      </c>
      <c r="W10" s="521" t="s">
        <v>475</v>
      </c>
      <c r="X10" s="521" t="n">
        <v>8.5</v>
      </c>
      <c r="Y10" s="521" t="n">
        <v>6</v>
      </c>
      <c r="Z10" s="520" t="n">
        <f aca="false">Y10/X10</f>
        <v>0.705882352941176</v>
      </c>
    </row>
    <row r="11" customFormat="false" ht="13.9" hidden="false" customHeight="false" outlineLevel="0" collapsed="false">
      <c r="C11" s="510" t="s">
        <v>268</v>
      </c>
      <c r="D11" s="511" t="n">
        <f aca="false" t="array" ref="D11:D11">SUM('Plant loading'!T64:T66+'Plant loading'!V64:V66)</f>
        <v>479.818</v>
      </c>
      <c r="E11" s="511" t="n">
        <f aca="false">D11*0.9</f>
        <v>431.8362</v>
      </c>
      <c r="F11" s="511" t="n">
        <f aca="false">D11*0.1</f>
        <v>47.9818</v>
      </c>
      <c r="G11" s="511" t="n">
        <f aca="false">SUM('Plant loading'!G64:G66)</f>
        <v>384.661</v>
      </c>
      <c r="H11" s="511" t="n">
        <f aca="false">SUM('Plant loading'!P64:P66)</f>
        <v>41.529</v>
      </c>
      <c r="I11" s="511" t="n">
        <f aca="false">SUM('Plant loading'!R64:R66)</f>
        <v>26.460295</v>
      </c>
      <c r="J11" s="511" t="n">
        <f aca="false">SUM(G11:I11)</f>
        <v>452.650295</v>
      </c>
      <c r="K11" s="511" t="n">
        <f aca="false">SUM(E11-J11)</f>
        <v>-20.814095</v>
      </c>
      <c r="L11" s="511" t="n">
        <f aca="false">SUM(E11-(I11+G11))</f>
        <v>20.714905</v>
      </c>
      <c r="M11" s="512" t="str">
        <f aca="false">[4]Sheet1!$W$21</f>
        <v>Dell S5248F</v>
      </c>
      <c r="N11" s="512" t="str">
        <f aca="false">[4]Sheet1!$W$10</f>
        <v>Dell S5248F</v>
      </c>
      <c r="O11" s="514" t="n">
        <f aca="false">SUM('Plant loading'!V64:V66)</f>
        <v>27.167705</v>
      </c>
      <c r="P11" s="515"/>
      <c r="Q11" s="516" t="n">
        <f aca="false">SUM(D11*0.85)</f>
        <v>407.8453</v>
      </c>
      <c r="R11" s="517" t="n">
        <f aca="false">SUM(Q11-J11)</f>
        <v>-44.8049950000001</v>
      </c>
      <c r="S11" s="518" t="n">
        <f aca="false">SUM(D11*0.8)</f>
        <v>383.8544</v>
      </c>
      <c r="T11" s="517" t="n">
        <f aca="false">SUM(S11-J11)</f>
        <v>-68.795895</v>
      </c>
      <c r="U11" s="519"/>
      <c r="V11" s="520" t="e">
        <f aca="false">N11/M11</f>
        <v>#VALUE!</v>
      </c>
      <c r="W11" s="521"/>
      <c r="X11" s="521"/>
      <c r="Y11" s="521"/>
      <c r="Z11" s="520"/>
    </row>
    <row r="12" customFormat="false" ht="13.9" hidden="false" customHeight="false" outlineLevel="0" collapsed="false">
      <c r="C12" s="510" t="s">
        <v>267</v>
      </c>
      <c r="D12" s="511" t="n">
        <f aca="false" t="array" ref="D12:D12">SUM('Plant loading'!T56:T58+'Plant loading'!V56:V58)</f>
        <v>470.67985</v>
      </c>
      <c r="E12" s="511" t="n">
        <f aca="false">D12*0.9</f>
        <v>423.611865</v>
      </c>
      <c r="F12" s="511" t="n">
        <f aca="false">D12*0.1</f>
        <v>47.067985</v>
      </c>
      <c r="G12" s="511" t="n">
        <f aca="false">SUM('Plant loading'!G56:G58)</f>
        <v>330.3245</v>
      </c>
      <c r="H12" s="511" t="n">
        <f aca="false">SUM('Plant loading'!P56:P58)</f>
        <v>53.955</v>
      </c>
      <c r="I12" s="511" t="n">
        <f aca="false">SUM('Plant loading'!R56:R58)</f>
        <v>8.03875</v>
      </c>
      <c r="J12" s="511" t="n">
        <f aca="false">SUM(G12:I12)</f>
        <v>392.31825</v>
      </c>
      <c r="K12" s="511" t="n">
        <f aca="false">SUM(E12-J12)</f>
        <v>31.293615</v>
      </c>
      <c r="L12" s="511" t="n">
        <f aca="false">SUM(E12-(I12+G12))</f>
        <v>85.248615</v>
      </c>
      <c r="M12" s="512" t="str">
        <f aca="false">[4]Sheet1!$W$22</f>
        <v>Dell S5248F</v>
      </c>
      <c r="N12" s="512" t="str">
        <f aca="false">[4]Sheet1!$W$11</f>
        <v>Dell S5248F</v>
      </c>
      <c r="O12" s="514" t="n">
        <f aca="false">SUM('Plant loading'!V56:V58)</f>
        <v>78.3616</v>
      </c>
      <c r="P12" s="515"/>
      <c r="Q12" s="516" t="n">
        <f aca="false">SUM(D12*0.85)</f>
        <v>400.0778725</v>
      </c>
      <c r="R12" s="517" t="n">
        <f aca="false">SUM(Q12-J12)</f>
        <v>7.75962249999998</v>
      </c>
      <c r="S12" s="518" t="n">
        <f aca="false">SUM(D12*0.8)</f>
        <v>376.54388</v>
      </c>
      <c r="T12" s="517" t="n">
        <f aca="false">SUM(S12-J12)</f>
        <v>-15.77437</v>
      </c>
      <c r="U12" s="519"/>
      <c r="V12" s="520" t="e">
        <f aca="false">N12/M12</f>
        <v>#VALUE!</v>
      </c>
      <c r="W12" s="521"/>
      <c r="X12" s="521"/>
      <c r="Y12" s="521"/>
      <c r="Z12" s="520"/>
    </row>
    <row r="13" customFormat="false" ht="13.9" hidden="false" customHeight="false" outlineLevel="0" collapsed="false">
      <c r="C13" s="523" t="s">
        <v>476</v>
      </c>
      <c r="D13" s="522" t="n">
        <v>345</v>
      </c>
      <c r="E13" s="524" t="n">
        <f aca="false">D13*0.9</f>
        <v>310.5</v>
      </c>
      <c r="F13" s="524" t="n">
        <f aca="false">D13*0.1</f>
        <v>34.5</v>
      </c>
      <c r="G13" s="524" t="n">
        <v>160</v>
      </c>
      <c r="H13" s="524" t="n">
        <v>61</v>
      </c>
      <c r="I13" s="524" t="n">
        <v>88</v>
      </c>
      <c r="J13" s="524" t="n">
        <f aca="false">SUM(G13:I13)</f>
        <v>309</v>
      </c>
      <c r="K13" s="524" t="n">
        <f aca="false">SUM(E13-J13)</f>
        <v>1.5</v>
      </c>
      <c r="L13" s="524" t="n">
        <f aca="false">SUM(E13-(I13+G13))</f>
        <v>62.5</v>
      </c>
      <c r="M13" s="525" t="str">
        <f aca="false">[4]Sheet1!$W$18</f>
        <v>Dell S5248F</v>
      </c>
      <c r="N13" s="525" t="str">
        <f aca="false">[4]Sheet1!$W$7</f>
        <v>Dell S5248F</v>
      </c>
      <c r="O13" s="526" t="n">
        <f aca="false">(F13+K13)</f>
        <v>36</v>
      </c>
      <c r="P13" s="515"/>
      <c r="Q13" s="516" t="n">
        <f aca="false">SUM(D13*0.85)</f>
        <v>293.25</v>
      </c>
      <c r="R13" s="517" t="n">
        <f aca="false">SUM(Q13-J13)</f>
        <v>-15.75</v>
      </c>
      <c r="S13" s="518" t="n">
        <f aca="false">SUM(D13*0.8)</f>
        <v>276</v>
      </c>
      <c r="T13" s="517" t="n">
        <f aca="false">SUM(S13-J13)</f>
        <v>-33</v>
      </c>
      <c r="U13" s="519"/>
      <c r="V13" s="520" t="e">
        <f aca="false">N13/M13</f>
        <v>#VALUE!</v>
      </c>
      <c r="W13" s="521"/>
      <c r="X13" s="521"/>
      <c r="Y13" s="521"/>
      <c r="Z13" s="520"/>
    </row>
    <row r="61" customFormat="false" ht="10.15" hidden="false" customHeight="false" outlineLevel="0" collapsed="false">
      <c r="F61" s="527"/>
      <c r="G61" s="527"/>
    </row>
    <row r="111" customFormat="false" ht="28.9" hidden="false" customHeight="false" outlineLevel="0" collapsed="false">
      <c r="C111" s="528" t="s">
        <v>477</v>
      </c>
      <c r="D111" s="529" t="s">
        <v>478</v>
      </c>
      <c r="E111" s="530" t="s">
        <v>479</v>
      </c>
      <c r="F111" s="531" t="s">
        <v>99</v>
      </c>
    </row>
    <row r="112" customFormat="false" ht="100.9" hidden="false" customHeight="false" outlineLevel="0" collapsed="false">
      <c r="C112" s="532" t="s">
        <v>480</v>
      </c>
      <c r="D112" s="533" t="n">
        <v>7.35</v>
      </c>
      <c r="E112" s="534" t="n">
        <v>4.74</v>
      </c>
      <c r="F112" s="535" t="s">
        <v>99</v>
      </c>
    </row>
    <row r="113" customFormat="false" ht="115.15" hidden="false" customHeight="false" outlineLevel="0" collapsed="false">
      <c r="B113" s="536"/>
      <c r="C113" s="532" t="s">
        <v>481</v>
      </c>
      <c r="D113" s="533" t="n">
        <v>9.15</v>
      </c>
      <c r="E113" s="534" t="n">
        <v>5.84</v>
      </c>
      <c r="F113" s="537" t="s">
        <v>99</v>
      </c>
      <c r="G113" s="538"/>
      <c r="H113" s="538"/>
    </row>
    <row r="114" customFormat="false" ht="100.9" hidden="false" customHeight="false" outlineLevel="0" collapsed="false">
      <c r="B114" s="536"/>
      <c r="C114" s="532" t="s">
        <v>482</v>
      </c>
      <c r="D114" s="533" t="n">
        <v>8.2</v>
      </c>
      <c r="E114" s="534" t="n">
        <v>5.34</v>
      </c>
      <c r="F114" s="537" t="s">
        <v>99</v>
      </c>
      <c r="G114" s="538"/>
      <c r="H114" s="538"/>
    </row>
    <row r="115" customFormat="false" ht="28.9" hidden="false" customHeight="false" outlineLevel="0" collapsed="false">
      <c r="B115" s="536"/>
      <c r="C115" s="532" t="s">
        <v>483</v>
      </c>
      <c r="D115" s="533" t="n">
        <v>8.2</v>
      </c>
      <c r="E115" s="534" t="n">
        <v>5.85</v>
      </c>
      <c r="F115" s="537" t="s">
        <v>99</v>
      </c>
      <c r="G115" s="538"/>
      <c r="H115" s="538"/>
    </row>
    <row r="116" customFormat="false" ht="14.45" hidden="false" customHeight="false" outlineLevel="0" collapsed="false">
      <c r="B116" s="536"/>
      <c r="C116" s="532" t="s">
        <v>484</v>
      </c>
      <c r="D116" s="533" t="n">
        <v>7.15</v>
      </c>
      <c r="E116" s="534" t="n">
        <v>5.04</v>
      </c>
      <c r="F116" s="537" t="s">
        <v>99</v>
      </c>
      <c r="G116" s="538"/>
      <c r="H116" s="538"/>
    </row>
    <row r="117" customFormat="false" ht="14.45" hidden="false" customHeight="false" outlineLevel="0" collapsed="false">
      <c r="B117" s="536"/>
      <c r="C117" s="538"/>
      <c r="D117" s="538"/>
      <c r="E117" s="539"/>
      <c r="F117" s="538"/>
      <c r="G117" s="538"/>
      <c r="H117" s="538"/>
    </row>
    <row r="118" customFormat="false" ht="43.15" hidden="false" customHeight="false" outlineLevel="0" collapsed="false">
      <c r="B118" s="538"/>
      <c r="C118" s="540" t="s">
        <v>485</v>
      </c>
      <c r="D118" s="541" t="s">
        <v>486</v>
      </c>
      <c r="E118" s="542" t="s">
        <v>487</v>
      </c>
      <c r="F118" s="543"/>
      <c r="G118" s="544" t="s">
        <v>488</v>
      </c>
    </row>
    <row r="119" customFormat="false" ht="14.45" hidden="false" customHeight="false" outlineLevel="0" collapsed="false">
      <c r="B119" s="538" t="n">
        <v>1</v>
      </c>
      <c r="C119" s="545" t="n">
        <v>41.85</v>
      </c>
      <c r="D119" s="546" t="n">
        <v>7.35</v>
      </c>
      <c r="E119" s="546" t="n">
        <v>49.2</v>
      </c>
      <c r="F119" s="543"/>
      <c r="G119" s="547" t="n">
        <v>34.7</v>
      </c>
    </row>
    <row r="120" customFormat="false" ht="14.45" hidden="false" customHeight="false" outlineLevel="0" collapsed="false">
      <c r="B120" s="538" t="n">
        <v>2</v>
      </c>
      <c r="C120" s="547" t="n">
        <v>83.7</v>
      </c>
      <c r="D120" s="548" t="s">
        <v>99</v>
      </c>
      <c r="E120" s="548" t="s">
        <v>99</v>
      </c>
      <c r="F120" s="543"/>
      <c r="G120" s="549"/>
      <c r="H120" s="538"/>
    </row>
    <row r="121" customFormat="false" ht="14.45" hidden="false" customHeight="false" outlineLevel="0" collapsed="false">
      <c r="B121" s="538"/>
      <c r="C121" s="549"/>
      <c r="D121" s="549"/>
      <c r="E121" s="549"/>
      <c r="F121" s="543"/>
      <c r="G121" s="549"/>
      <c r="H121" s="538"/>
    </row>
    <row r="122" customFormat="false" ht="43.15" hidden="false" customHeight="false" outlineLevel="0" collapsed="false">
      <c r="B122" s="538"/>
      <c r="C122" s="540" t="s">
        <v>489</v>
      </c>
      <c r="D122" s="541" t="s">
        <v>486</v>
      </c>
      <c r="E122" s="542" t="s">
        <v>487</v>
      </c>
      <c r="F122" s="543"/>
      <c r="G122" s="549"/>
      <c r="H122" s="538"/>
    </row>
    <row r="123" customFormat="false" ht="14.45" hidden="false" customHeight="false" outlineLevel="0" collapsed="false">
      <c r="B123" s="538" t="n">
        <v>1</v>
      </c>
      <c r="C123" s="545" t="n">
        <v>39.95</v>
      </c>
      <c r="D123" s="546" t="n">
        <v>7.35</v>
      </c>
      <c r="E123" s="546" t="n">
        <v>47.3</v>
      </c>
      <c r="F123" s="543"/>
      <c r="G123" s="549"/>
      <c r="H123" s="538"/>
    </row>
    <row r="124" customFormat="false" ht="14.45" hidden="false" customHeight="false" outlineLevel="0" collapsed="false">
      <c r="B124" s="538" t="n">
        <v>2</v>
      </c>
      <c r="C124" s="547" t="n">
        <v>79.9</v>
      </c>
      <c r="D124" s="548" t="s">
        <v>99</v>
      </c>
      <c r="E124" s="548" t="s">
        <v>99</v>
      </c>
      <c r="F124" s="543"/>
      <c r="G124" s="549"/>
      <c r="H124" s="538"/>
    </row>
    <row r="125" customFormat="false" ht="14.45" hidden="false" customHeight="false" outlineLevel="0" collapsed="false">
      <c r="B125" s="536"/>
      <c r="C125" s="538"/>
      <c r="D125" s="538"/>
      <c r="E125" s="539"/>
      <c r="F125" s="538"/>
      <c r="G125" s="538"/>
      <c r="H125" s="538"/>
    </row>
    <row r="126" customFormat="false" ht="28.9" hidden="false" customHeight="false" outlineLevel="0" collapsed="false">
      <c r="B126" s="536"/>
      <c r="C126" s="550" t="s">
        <v>490</v>
      </c>
      <c r="D126" s="551" t="s">
        <v>491</v>
      </c>
      <c r="E126" s="552" t="s">
        <v>492</v>
      </c>
      <c r="F126" s="538"/>
      <c r="G126" s="538"/>
      <c r="H126" s="538"/>
    </row>
    <row r="127" customFormat="false" ht="43.15" hidden="false" customHeight="false" outlineLevel="0" collapsed="false">
      <c r="B127" s="536"/>
      <c r="C127" s="553" t="s">
        <v>493</v>
      </c>
      <c r="D127" s="554" t="n">
        <v>131</v>
      </c>
      <c r="E127" s="555" t="n">
        <v>99.7</v>
      </c>
      <c r="F127" s="556" t="s">
        <v>494</v>
      </c>
      <c r="G127" s="556"/>
      <c r="H127" s="556"/>
    </row>
    <row r="128" customFormat="false" ht="43.15" hidden="false" customHeight="true" outlineLevel="0" collapsed="false">
      <c r="B128" s="536"/>
      <c r="C128" s="553" t="s">
        <v>495</v>
      </c>
      <c r="D128" s="557" t="n">
        <v>170.95</v>
      </c>
      <c r="E128" s="558" t="s">
        <v>496</v>
      </c>
      <c r="F128" s="559" t="s">
        <v>497</v>
      </c>
      <c r="G128" s="559"/>
      <c r="H128" s="559"/>
    </row>
    <row r="129" customFormat="false" ht="76.5" hidden="false" customHeight="true" outlineLevel="0" collapsed="false">
      <c r="C129" s="553" t="s">
        <v>498</v>
      </c>
      <c r="D129" s="554" t="n">
        <v>170.95</v>
      </c>
      <c r="E129" s="555" t="n">
        <v>75</v>
      </c>
      <c r="F129" s="559" t="s">
        <v>499</v>
      </c>
      <c r="G129" s="559"/>
      <c r="H129" s="559"/>
    </row>
    <row r="130" customFormat="false" ht="57.6" hidden="false" customHeight="false" outlineLevel="0" collapsed="false">
      <c r="C130" s="553" t="s">
        <v>500</v>
      </c>
      <c r="D130" s="557" t="n">
        <v>89.15</v>
      </c>
      <c r="E130" s="558" t="n">
        <v>90</v>
      </c>
      <c r="F130" s="556" t="s">
        <v>501</v>
      </c>
      <c r="G130" s="556"/>
      <c r="H130" s="556"/>
    </row>
    <row r="131" customFormat="false" ht="14.45" hidden="false" customHeight="false" outlineLevel="0" collapsed="false">
      <c r="C131" s="538"/>
      <c r="D131" s="538"/>
      <c r="E131" s="539"/>
      <c r="F131" s="538"/>
      <c r="G131" s="538"/>
      <c r="H131" s="538"/>
    </row>
    <row r="132" customFormat="false" ht="15" hidden="false" customHeight="false" outlineLevel="0" collapsed="false">
      <c r="C132" s="560" t="s">
        <v>502</v>
      </c>
      <c r="D132" s="560"/>
      <c r="E132" s="560"/>
      <c r="F132" s="560"/>
      <c r="G132" s="538"/>
      <c r="H132" s="538"/>
    </row>
    <row r="133" customFormat="false" ht="15" hidden="false" customHeight="false" outlineLevel="0" collapsed="false">
      <c r="C133" s="560" t="s">
        <v>503</v>
      </c>
      <c r="D133" s="560"/>
      <c r="E133" s="539"/>
      <c r="F133" s="538"/>
      <c r="G133" s="538"/>
      <c r="H133" s="538"/>
    </row>
    <row r="134" customFormat="false" ht="15" hidden="false" customHeight="false" outlineLevel="0" collapsed="false">
      <c r="C134" s="560" t="s">
        <v>504</v>
      </c>
      <c r="D134" s="560"/>
      <c r="E134" s="560"/>
      <c r="F134" s="560"/>
      <c r="G134" s="560"/>
      <c r="H134" s="538"/>
    </row>
    <row r="135" customFormat="false" ht="15" hidden="false" customHeight="false" outlineLevel="0" collapsed="false">
      <c r="C135" s="560" t="s">
        <v>505</v>
      </c>
      <c r="D135" s="560"/>
      <c r="E135" s="539"/>
      <c r="F135" s="538"/>
      <c r="G135" s="538"/>
      <c r="H135" s="538"/>
    </row>
    <row r="136" customFormat="false" ht="15" hidden="false" customHeight="false" outlineLevel="0" collapsed="false">
      <c r="C136" s="560" t="s">
        <v>506</v>
      </c>
      <c r="D136" s="560"/>
      <c r="E136" s="539"/>
      <c r="F136" s="538"/>
      <c r="G136" s="538"/>
      <c r="H136" s="538"/>
    </row>
  </sheetData>
  <mergeCells count="5">
    <mergeCell ref="F61:G61"/>
    <mergeCell ref="F127:H127"/>
    <mergeCell ref="F128:H128"/>
    <mergeCell ref="F129:H129"/>
    <mergeCell ref="F130:H130"/>
  </mergeCells>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19"/>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F38" activeCellId="0" sqref="F38"/>
    </sheetView>
  </sheetViews>
  <sheetFormatPr defaultColWidth="8.66796875" defaultRowHeight="10.15" zeroHeight="false" outlineLevelRow="0" outlineLevelCol="0"/>
  <cols>
    <col collapsed="false" customWidth="true" hidden="false" outlineLevel="0" max="1" min="1" style="0" width="37.66"/>
    <col collapsed="false" customWidth="true" hidden="false" outlineLevel="0" max="2" min="2" style="0" width="24.17"/>
    <col collapsed="false" customWidth="true" hidden="false" outlineLevel="0" max="3" min="3" style="0" width="35.66"/>
    <col collapsed="false" customWidth="true" hidden="false" outlineLevel="0" max="4" min="4" style="0" width="31.66"/>
    <col collapsed="false" customWidth="true" hidden="false" outlineLevel="0" max="5" min="5" style="0" width="36.66"/>
    <col collapsed="false" customWidth="true" hidden="false" outlineLevel="0" max="6" min="6" style="0" width="35.66"/>
    <col collapsed="false" customWidth="true" hidden="false" outlineLevel="0" max="7" min="7" style="0" width="28.5"/>
    <col collapsed="false" customWidth="true" hidden="false" outlineLevel="0" max="8" min="8" style="561" width="35.66"/>
    <col collapsed="false" customWidth="true" hidden="false" outlineLevel="0" max="9" min="9" style="561" width="28.17"/>
    <col collapsed="false" customWidth="true" hidden="false" outlineLevel="0" max="10" min="10" style="561" width="16.66"/>
    <col collapsed="false" customWidth="true" hidden="false" outlineLevel="0" max="11" min="11" style="0" width="20.66"/>
    <col collapsed="false" customWidth="true" hidden="false" outlineLevel="0" max="12" min="12" style="0" width="14.5"/>
    <col collapsed="false" customWidth="true" hidden="false" outlineLevel="0" max="13" min="13" style="0" width="27.66"/>
    <col collapsed="false" customWidth="true" hidden="false" outlineLevel="0" max="14" min="14" style="0" width="35.66"/>
    <col collapsed="false" customWidth="true" hidden="false" outlineLevel="0" max="15" min="15" style="0" width="37.66"/>
    <col collapsed="false" customWidth="true" hidden="false" outlineLevel="0" max="16" min="16" style="0" width="44.99"/>
    <col collapsed="false" customWidth="true" hidden="false" outlineLevel="0" max="20" min="20" style="0" width="10.66"/>
  </cols>
  <sheetData>
    <row r="1" customFormat="false" ht="22.9" hidden="false" customHeight="false" outlineLevel="0" collapsed="false">
      <c r="C1" s="562" t="s">
        <v>507</v>
      </c>
      <c r="D1" s="562"/>
      <c r="E1" s="562"/>
      <c r="F1" s="562"/>
    </row>
    <row r="2" customFormat="false" ht="26.45" hidden="false" customHeight="false" outlineLevel="0" collapsed="false">
      <c r="A2" s="563" t="s">
        <v>508</v>
      </c>
      <c r="B2" s="563" t="s">
        <v>509</v>
      </c>
      <c r="C2" s="563" t="s">
        <v>510</v>
      </c>
      <c r="D2" s="563" t="s">
        <v>511</v>
      </c>
      <c r="E2" s="563" t="s">
        <v>512</v>
      </c>
      <c r="F2" s="563" t="s">
        <v>513</v>
      </c>
      <c r="G2" s="564" t="s">
        <v>514</v>
      </c>
      <c r="H2" s="565" t="s">
        <v>515</v>
      </c>
      <c r="I2" s="566"/>
      <c r="J2" s="566"/>
      <c r="M2" s="567" t="s">
        <v>516</v>
      </c>
      <c r="N2" s="563" t="s">
        <v>511</v>
      </c>
      <c r="O2" s="568" t="s">
        <v>517</v>
      </c>
      <c r="P2" s="563" t="s">
        <v>518</v>
      </c>
    </row>
    <row r="3" customFormat="false" ht="14.45" hidden="false" customHeight="false" outlineLevel="0" collapsed="false">
      <c r="A3" s="567" t="s">
        <v>253</v>
      </c>
      <c r="B3" s="569" t="n">
        <v>943</v>
      </c>
      <c r="C3" s="569" t="n">
        <v>326</v>
      </c>
      <c r="D3" s="569" t="n">
        <v>96</v>
      </c>
      <c r="E3" s="569" t="n">
        <v>190</v>
      </c>
      <c r="F3" s="569" t="n">
        <v>27</v>
      </c>
      <c r="G3" s="570" t="n">
        <v>37</v>
      </c>
      <c r="H3" s="571" t="n">
        <f aca="false">INT((G3*600)/800)</f>
        <v>27</v>
      </c>
      <c r="I3" s="572"/>
      <c r="J3" s="572"/>
      <c r="M3" s="569" t="n">
        <f aca="false">B3*0.48</f>
        <v>452.64</v>
      </c>
      <c r="N3" s="569" t="n">
        <f aca="false">C3*0.8</f>
        <v>260.8</v>
      </c>
      <c r="O3" s="569" t="n">
        <f aca="false">D3*0.48</f>
        <v>46.08</v>
      </c>
      <c r="P3" s="569" t="n">
        <f aca="false">E3*0.8</f>
        <v>152</v>
      </c>
    </row>
    <row r="4" customFormat="false" ht="14.45" hidden="false" customHeight="false" outlineLevel="0" collapsed="false">
      <c r="A4" s="567" t="s">
        <v>254</v>
      </c>
      <c r="B4" s="569" t="n">
        <v>1614</v>
      </c>
      <c r="C4" s="569" t="n">
        <v>586</v>
      </c>
      <c r="D4" s="569" t="n">
        <v>261</v>
      </c>
      <c r="E4" s="569" t="n">
        <v>327</v>
      </c>
      <c r="F4" s="569" t="n">
        <v>106</v>
      </c>
      <c r="G4" s="570" t="n">
        <v>142</v>
      </c>
      <c r="H4" s="571" t="n">
        <f aca="false">INT((G4*600)/800)</f>
        <v>106</v>
      </c>
      <c r="I4" s="572"/>
      <c r="J4" s="572"/>
      <c r="M4" s="569" t="n">
        <f aca="false">B4*0.48</f>
        <v>774.72</v>
      </c>
      <c r="N4" s="569" t="n">
        <f aca="false">C4*0.8</f>
        <v>468.8</v>
      </c>
      <c r="O4" s="569" t="n">
        <f aca="false">D4*0.48</f>
        <v>125.28</v>
      </c>
      <c r="P4" s="569" t="n">
        <f aca="false">E4*0.8</f>
        <v>261.6</v>
      </c>
    </row>
    <row r="5" customFormat="false" ht="14.45" hidden="false" customHeight="false" outlineLevel="0" collapsed="false">
      <c r="A5" s="567" t="s">
        <v>256</v>
      </c>
      <c r="B5" s="569" t="n">
        <v>1073</v>
      </c>
      <c r="C5" s="569" t="n">
        <v>611</v>
      </c>
      <c r="D5" s="569" t="n">
        <v>83</v>
      </c>
      <c r="E5" s="569" t="n">
        <v>444</v>
      </c>
      <c r="F5" s="569" t="n">
        <v>24</v>
      </c>
      <c r="G5" s="570" t="n">
        <v>33</v>
      </c>
      <c r="H5" s="571" t="n">
        <f aca="false">INT((G5*600)/800)</f>
        <v>24</v>
      </c>
      <c r="I5" s="572"/>
      <c r="J5" s="572"/>
      <c r="M5" s="569" t="n">
        <f aca="false">B5*0.48</f>
        <v>515.04</v>
      </c>
      <c r="N5" s="569" t="n">
        <f aca="false">C5*0.8</f>
        <v>488.8</v>
      </c>
      <c r="O5" s="569" t="n">
        <f aca="false">D5*0.48</f>
        <v>39.84</v>
      </c>
      <c r="P5" s="569" t="n">
        <f aca="false">E5*0.8</f>
        <v>355.2</v>
      </c>
    </row>
    <row r="6" customFormat="false" ht="14.45" hidden="false" customHeight="false" outlineLevel="0" collapsed="false">
      <c r="A6" s="567" t="s">
        <v>259</v>
      </c>
      <c r="B6" s="569" t="n">
        <v>837</v>
      </c>
      <c r="C6" s="569" t="n">
        <v>337</v>
      </c>
      <c r="D6" s="569" t="n">
        <v>113</v>
      </c>
      <c r="E6" s="569" t="n">
        <v>110</v>
      </c>
      <c r="F6" s="569" t="n">
        <v>16</v>
      </c>
      <c r="G6" s="570" t="n">
        <v>22</v>
      </c>
      <c r="H6" s="571" t="n">
        <f aca="false">INT((G6*600)/800)</f>
        <v>16</v>
      </c>
      <c r="I6" s="572"/>
      <c r="J6" s="572"/>
      <c r="M6" s="569" t="n">
        <f aca="false">B6*0.48</f>
        <v>401.76</v>
      </c>
      <c r="N6" s="569" t="n">
        <f aca="false">C6*0.8</f>
        <v>269.6</v>
      </c>
      <c r="O6" s="569" t="n">
        <f aca="false">D6*0.48</f>
        <v>54.24</v>
      </c>
      <c r="P6" s="569" t="n">
        <f aca="false">E6*0.8</f>
        <v>88</v>
      </c>
    </row>
    <row r="7" customFormat="false" ht="14.45" hidden="false" customHeight="false" outlineLevel="0" collapsed="false">
      <c r="A7" s="567" t="s">
        <v>261</v>
      </c>
      <c r="B7" s="569" t="n">
        <v>701</v>
      </c>
      <c r="C7" s="569" t="n">
        <v>384</v>
      </c>
      <c r="D7" s="569" t="n">
        <v>32</v>
      </c>
      <c r="E7" s="569" t="n">
        <v>201</v>
      </c>
      <c r="F7" s="569" t="n">
        <v>16</v>
      </c>
      <c r="G7" s="570" t="n">
        <v>22</v>
      </c>
      <c r="H7" s="571" t="n">
        <f aca="false">INT((G7*600)/800)</f>
        <v>16</v>
      </c>
      <c r="I7" s="572"/>
      <c r="J7" s="572"/>
      <c r="M7" s="569" t="n">
        <f aca="false">B7*0.48</f>
        <v>336.48</v>
      </c>
      <c r="N7" s="569" t="n">
        <f aca="false">C7*0.8</f>
        <v>307.2</v>
      </c>
      <c r="O7" s="569" t="n">
        <f aca="false">D7*0.48</f>
        <v>15.36</v>
      </c>
      <c r="P7" s="569" t="n">
        <f aca="false">E7*0.8</f>
        <v>160.8</v>
      </c>
    </row>
    <row r="8" customFormat="false" ht="14.45" hidden="false" customHeight="false" outlineLevel="0" collapsed="false">
      <c r="A8" s="567" t="s">
        <v>263</v>
      </c>
      <c r="B8" s="569" t="n">
        <v>1044</v>
      </c>
      <c r="C8" s="569" t="n">
        <v>515</v>
      </c>
      <c r="D8" s="569" t="n">
        <v>114</v>
      </c>
      <c r="E8" s="569" t="n">
        <v>305</v>
      </c>
      <c r="F8" s="569" t="n">
        <v>26</v>
      </c>
      <c r="G8" s="570" t="n">
        <v>35</v>
      </c>
      <c r="H8" s="571" t="n">
        <f aca="false">INT((G8*600)/800)</f>
        <v>26</v>
      </c>
      <c r="I8" s="572"/>
      <c r="J8" s="572"/>
      <c r="M8" s="569" t="n">
        <f aca="false">B8*0.48</f>
        <v>501.12</v>
      </c>
      <c r="N8" s="569" t="n">
        <f aca="false">C8*0.8</f>
        <v>412</v>
      </c>
      <c r="O8" s="569" t="n">
        <f aca="false">D8*0.48</f>
        <v>54.72</v>
      </c>
      <c r="P8" s="569" t="n">
        <f aca="false">E8*0.8</f>
        <v>244</v>
      </c>
    </row>
    <row r="9" customFormat="false" ht="14.45" hidden="false" customHeight="false" outlineLevel="0" collapsed="false">
      <c r="A9" s="567" t="s">
        <v>265</v>
      </c>
      <c r="B9" s="569" t="n">
        <v>1045</v>
      </c>
      <c r="C9" s="569" t="n">
        <v>399</v>
      </c>
      <c r="D9" s="569" t="n">
        <v>167</v>
      </c>
      <c r="E9" s="569" t="n">
        <v>134</v>
      </c>
      <c r="F9" s="569" t="n">
        <v>26</v>
      </c>
      <c r="G9" s="570" t="n">
        <v>35</v>
      </c>
      <c r="H9" s="571" t="n">
        <f aca="false">INT((G9*600)/800)</f>
        <v>26</v>
      </c>
      <c r="I9" s="572"/>
      <c r="J9" s="572"/>
      <c r="M9" s="569" t="n">
        <f aca="false">B9*0.48</f>
        <v>501.6</v>
      </c>
      <c r="N9" s="569" t="n">
        <f aca="false">C9*0.8</f>
        <v>319.2</v>
      </c>
      <c r="O9" s="569" t="n">
        <f aca="false">D9*0.48</f>
        <v>80.16</v>
      </c>
      <c r="P9" s="569" t="n">
        <f aca="false">E9*0.8</f>
        <v>107.2</v>
      </c>
    </row>
    <row r="10" customFormat="false" ht="15.6" hidden="false" customHeight="false" outlineLevel="0" collapsed="false">
      <c r="A10" s="567" t="s">
        <v>519</v>
      </c>
      <c r="B10" s="569" t="n">
        <v>619</v>
      </c>
      <c r="C10" s="569" t="n">
        <v>302</v>
      </c>
      <c r="D10" s="569" t="n">
        <v>39</v>
      </c>
      <c r="E10" s="569" t="n">
        <v>171</v>
      </c>
      <c r="F10" s="569" t="n">
        <v>19</v>
      </c>
      <c r="G10" s="570" t="n">
        <v>26</v>
      </c>
      <c r="H10" s="571" t="n">
        <f aca="false">INT((G10*600)/800)</f>
        <v>19</v>
      </c>
      <c r="I10" s="572"/>
      <c r="J10" s="572"/>
      <c r="M10" s="569" t="n">
        <f aca="false">B10*0.48</f>
        <v>297.12</v>
      </c>
      <c r="N10" s="569" t="n">
        <f aca="false">C10*0.8</f>
        <v>241.6</v>
      </c>
      <c r="O10" s="569" t="n">
        <f aca="false">D10*0.48</f>
        <v>18.72</v>
      </c>
      <c r="P10" s="569" t="n">
        <f aca="false">E10*0.8</f>
        <v>136.8</v>
      </c>
    </row>
    <row r="11" customFormat="false" ht="15.6" hidden="false" customHeight="false" outlineLevel="0" collapsed="false">
      <c r="A11" s="567" t="s">
        <v>520</v>
      </c>
      <c r="B11" s="569" t="n">
        <v>621</v>
      </c>
      <c r="C11" s="569" t="n">
        <v>273</v>
      </c>
      <c r="D11" s="569" t="n">
        <v>39</v>
      </c>
      <c r="E11" s="569" t="n">
        <v>148</v>
      </c>
      <c r="F11" s="569" t="n">
        <v>1</v>
      </c>
      <c r="G11" s="570" t="n">
        <v>2</v>
      </c>
      <c r="H11" s="571" t="n">
        <f aca="false">INT((G11*600)/800)</f>
        <v>1</v>
      </c>
      <c r="I11" s="572"/>
      <c r="J11" s="572"/>
      <c r="M11" s="569" t="n">
        <f aca="false">B11*0.48</f>
        <v>298.08</v>
      </c>
      <c r="N11" s="569" t="n">
        <f aca="false">C11*0.8</f>
        <v>218.4</v>
      </c>
      <c r="O11" s="569" t="n">
        <f aca="false">D11*0.48</f>
        <v>18.72</v>
      </c>
      <c r="P11" s="569" t="n">
        <f aca="false">E11*0.8</f>
        <v>118.4</v>
      </c>
    </row>
    <row r="12" customFormat="false" ht="15.6" hidden="false" customHeight="false" outlineLevel="0" collapsed="false">
      <c r="A12" s="567" t="s">
        <v>521</v>
      </c>
      <c r="B12" s="569" t="n">
        <v>622</v>
      </c>
      <c r="C12" s="569" t="n">
        <v>240</v>
      </c>
      <c r="D12" s="569" t="n">
        <v>30</v>
      </c>
      <c r="E12" s="569" t="n">
        <v>195</v>
      </c>
      <c r="F12" s="569" t="n">
        <v>24</v>
      </c>
      <c r="G12" s="570" t="n">
        <v>41</v>
      </c>
      <c r="H12" s="571" t="n">
        <f aca="false">INT((G12*600)/800)</f>
        <v>30</v>
      </c>
      <c r="I12" s="572"/>
      <c r="J12" s="572"/>
      <c r="M12" s="569" t="n">
        <f aca="false">B12*0.48</f>
        <v>298.56</v>
      </c>
      <c r="N12" s="569" t="n">
        <f aca="false">C12*0.8</f>
        <v>192</v>
      </c>
      <c r="O12" s="569" t="n">
        <f aca="false">D12*0.48</f>
        <v>14.4</v>
      </c>
      <c r="P12" s="569" t="n">
        <f aca="false">E12*0.8</f>
        <v>156</v>
      </c>
    </row>
    <row r="13" customFormat="false" ht="14.45" hidden="false" customHeight="false" outlineLevel="0" collapsed="false">
      <c r="A13" s="567" t="s">
        <v>267</v>
      </c>
      <c r="B13" s="569" t="n">
        <v>1049</v>
      </c>
      <c r="C13" s="569" t="n">
        <v>453</v>
      </c>
      <c r="D13" s="569" t="n">
        <v>127</v>
      </c>
      <c r="E13" s="569" t="n">
        <v>171</v>
      </c>
      <c r="F13" s="569" t="n">
        <v>28</v>
      </c>
      <c r="G13" s="570" t="n">
        <v>38</v>
      </c>
      <c r="H13" s="571" t="n">
        <f aca="false">INT((G13*600)/800)</f>
        <v>28</v>
      </c>
      <c r="I13" s="572"/>
      <c r="J13" s="572"/>
      <c r="M13" s="569" t="n">
        <f aca="false">B13*0.48</f>
        <v>503.52</v>
      </c>
      <c r="N13" s="569" t="n">
        <f aca="false">C13*0.8</f>
        <v>362.4</v>
      </c>
      <c r="O13" s="569" t="n">
        <f aca="false">D13*0.48</f>
        <v>60.96</v>
      </c>
      <c r="P13" s="569" t="n">
        <f aca="false">E13*0.8</f>
        <v>136.8</v>
      </c>
    </row>
    <row r="14" customFormat="false" ht="14.45" hidden="false" customHeight="false" outlineLevel="0" collapsed="false">
      <c r="A14" s="567" t="s">
        <v>268</v>
      </c>
      <c r="B14" s="569" t="n">
        <v>1045</v>
      </c>
      <c r="C14" s="569" t="n">
        <v>386</v>
      </c>
      <c r="D14" s="569" t="n">
        <v>208</v>
      </c>
      <c r="E14" s="569" t="n">
        <v>188</v>
      </c>
      <c r="F14" s="569" t="n">
        <v>35</v>
      </c>
      <c r="G14" s="570" t="n">
        <v>47</v>
      </c>
      <c r="H14" s="571" t="n">
        <f aca="false">INT((G14*600)/800)</f>
        <v>35</v>
      </c>
      <c r="I14" s="572"/>
      <c r="J14" s="572"/>
      <c r="M14" s="569" t="n">
        <f aca="false">B14*0.48</f>
        <v>501.6</v>
      </c>
      <c r="N14" s="569" t="n">
        <f aca="false">C14*0.8</f>
        <v>308.8</v>
      </c>
      <c r="O14" s="569" t="n">
        <f aca="false">D14*0.48</f>
        <v>99.84</v>
      </c>
      <c r="P14" s="569" t="n">
        <f aca="false">E14*0.8</f>
        <v>150.4</v>
      </c>
    </row>
    <row r="15" customFormat="false" ht="14.45" hidden="false" customHeight="false" outlineLevel="0" collapsed="false">
      <c r="A15" s="567" t="s">
        <v>269</v>
      </c>
      <c r="B15" s="569" t="n">
        <v>1415</v>
      </c>
      <c r="C15" s="569" t="n">
        <v>536</v>
      </c>
      <c r="D15" s="569" t="n">
        <v>117</v>
      </c>
      <c r="E15" s="569" t="n">
        <v>357</v>
      </c>
      <c r="F15" s="569" t="n">
        <v>47</v>
      </c>
      <c r="G15" s="570" t="n">
        <v>53</v>
      </c>
      <c r="H15" s="571" t="n">
        <f aca="false">INT((G15*600)/800)</f>
        <v>39</v>
      </c>
      <c r="I15" s="572"/>
      <c r="J15" s="572"/>
      <c r="M15" s="569" t="n">
        <f aca="false">B15*0.48</f>
        <v>679.2</v>
      </c>
      <c r="N15" s="569" t="n">
        <f aca="false">C15*0.8</f>
        <v>428.8</v>
      </c>
      <c r="O15" s="569" t="n">
        <f aca="false">D15*0.48</f>
        <v>56.16</v>
      </c>
      <c r="P15" s="569" t="n">
        <f aca="false">E15*0.8</f>
        <v>285.6</v>
      </c>
    </row>
    <row r="16" customFormat="false" ht="14.45" hidden="false" customHeight="false" outlineLevel="0" collapsed="false">
      <c r="A16" s="567" t="s">
        <v>270</v>
      </c>
      <c r="B16" s="569" t="n">
        <v>1078</v>
      </c>
      <c r="C16" s="569" t="n">
        <v>595</v>
      </c>
      <c r="D16" s="569" t="n">
        <v>63</v>
      </c>
      <c r="E16" s="569" t="n">
        <v>379</v>
      </c>
      <c r="F16" s="569" t="n">
        <v>21</v>
      </c>
      <c r="G16" s="570" t="n">
        <v>29</v>
      </c>
      <c r="H16" s="571" t="n">
        <f aca="false">INT((G16*600)/800)</f>
        <v>21</v>
      </c>
      <c r="I16" s="572"/>
      <c r="J16" s="572"/>
      <c r="M16" s="569" t="n">
        <f aca="false">B16*0.48</f>
        <v>517.44</v>
      </c>
      <c r="N16" s="569" t="n">
        <f aca="false">C16*0.8</f>
        <v>476</v>
      </c>
      <c r="O16" s="569" t="n">
        <f aca="false">D16*0.48</f>
        <v>30.24</v>
      </c>
      <c r="P16" s="569" t="n">
        <f aca="false">E16*0.8</f>
        <v>303.2</v>
      </c>
    </row>
    <row r="17" customFormat="false" ht="14.45" hidden="false" customHeight="false" outlineLevel="0" collapsed="false">
      <c r="A17" s="567" t="s">
        <v>271</v>
      </c>
      <c r="B17" s="569" t="n">
        <v>1218</v>
      </c>
      <c r="C17" s="569" t="n">
        <v>666</v>
      </c>
      <c r="D17" s="569" t="n">
        <v>57</v>
      </c>
      <c r="E17" s="569" t="n">
        <v>521</v>
      </c>
      <c r="F17" s="569" t="n">
        <v>15</v>
      </c>
      <c r="G17" s="570" t="n">
        <v>76</v>
      </c>
      <c r="H17" s="571" t="n">
        <f aca="false">INT((G17*600)/800)</f>
        <v>57</v>
      </c>
      <c r="I17" s="572"/>
      <c r="J17" s="572"/>
      <c r="M17" s="569" t="n">
        <f aca="false">B17*0.48</f>
        <v>584.64</v>
      </c>
      <c r="N17" s="569" t="n">
        <f aca="false">C17*0.8</f>
        <v>532.8</v>
      </c>
      <c r="O17" s="569" t="n">
        <f aca="false">D17*0.48</f>
        <v>27.36</v>
      </c>
      <c r="P17" s="569" t="n">
        <f aca="false">E17*0.8</f>
        <v>416.8</v>
      </c>
    </row>
    <row r="18" customFormat="false" ht="14.45" hidden="false" customHeight="false" outlineLevel="0" collapsed="false">
      <c r="A18" s="567" t="s">
        <v>272</v>
      </c>
      <c r="B18" s="569" t="n">
        <v>861</v>
      </c>
      <c r="C18" s="569" t="n">
        <v>469</v>
      </c>
      <c r="D18" s="569" t="n">
        <v>43</v>
      </c>
      <c r="E18" s="569" t="n">
        <v>283</v>
      </c>
      <c r="F18" s="569" t="n">
        <v>20</v>
      </c>
      <c r="G18" s="570" t="n">
        <v>27</v>
      </c>
      <c r="H18" s="571" t="n">
        <f aca="false">INT((G18*600)/800)</f>
        <v>20</v>
      </c>
      <c r="I18" s="572"/>
      <c r="J18" s="572"/>
      <c r="M18" s="569" t="n">
        <f aca="false">B18*0.48</f>
        <v>413.28</v>
      </c>
      <c r="N18" s="569" t="n">
        <f aca="false">C18*0.8</f>
        <v>375.2</v>
      </c>
      <c r="O18" s="569" t="n">
        <f aca="false">D18*0.48</f>
        <v>20.64</v>
      </c>
      <c r="P18" s="569" t="n">
        <f aca="false">E18*0.8</f>
        <v>226.4</v>
      </c>
      <c r="S18" s="573"/>
      <c r="T18" s="573"/>
    </row>
    <row r="20" customFormat="false" ht="13.15" hidden="false" customHeight="false" outlineLevel="0" collapsed="false">
      <c r="A20" s="574" t="s">
        <v>522</v>
      </c>
    </row>
    <row r="21" customFormat="false" ht="13.15" hidden="false" customHeight="false" outlineLevel="0" collapsed="false">
      <c r="A21" s="575" t="s">
        <v>523</v>
      </c>
      <c r="B21" s="568"/>
    </row>
    <row r="22" customFormat="false" ht="40.9" hidden="false" customHeight="false" outlineLevel="0" collapsed="false">
      <c r="A22" s="567" t="s">
        <v>524</v>
      </c>
      <c r="B22" s="567" t="s">
        <v>525</v>
      </c>
      <c r="C22" s="567" t="s">
        <v>526</v>
      </c>
      <c r="D22" s="563" t="s">
        <v>527</v>
      </c>
      <c r="E22" s="563" t="s">
        <v>528</v>
      </c>
      <c r="F22" s="567" t="s">
        <v>529</v>
      </c>
      <c r="G22" s="567" t="s">
        <v>530</v>
      </c>
      <c r="H22" s="563" t="s">
        <v>531</v>
      </c>
      <c r="I22" s="563" t="s">
        <v>532</v>
      </c>
      <c r="J22" s="576" t="s">
        <v>533</v>
      </c>
      <c r="K22" s="576" t="s">
        <v>534</v>
      </c>
      <c r="L22" s="576" t="s">
        <v>535</v>
      </c>
      <c r="M22" s="576" t="s">
        <v>536</v>
      </c>
      <c r="N22" s="577" t="s">
        <v>537</v>
      </c>
      <c r="O22" s="576" t="s">
        <v>538</v>
      </c>
      <c r="R22" s="577" t="s">
        <v>537</v>
      </c>
    </row>
    <row r="23" customFormat="false" ht="13.15" hidden="false" customHeight="false" outlineLevel="0" collapsed="false">
      <c r="A23" s="567" t="s">
        <v>254</v>
      </c>
      <c r="B23" s="569" t="n">
        <f aca="false">B4-D4</f>
        <v>1353</v>
      </c>
      <c r="C23" s="569" t="n">
        <v>0</v>
      </c>
      <c r="D23" s="569" t="n">
        <v>0</v>
      </c>
      <c r="E23" s="569" t="n">
        <f aca="false">(B4-B23)-C23-D23</f>
        <v>261</v>
      </c>
      <c r="F23" s="569" t="n">
        <f aca="false">C4-E4</f>
        <v>259</v>
      </c>
      <c r="G23" s="569" t="n">
        <v>1</v>
      </c>
      <c r="H23" s="569" t="n">
        <v>8</v>
      </c>
      <c r="I23" s="569" t="n">
        <f aca="false">C4-F23-G23-H23</f>
        <v>318</v>
      </c>
      <c r="J23" s="578" t="n">
        <f aca="false">(B23*0.96)+(F23*1.6)</f>
        <v>1713.28</v>
      </c>
      <c r="K23" s="578" t="n">
        <f aca="false">(C23*0.96)+(G23*1.6)</f>
        <v>1.6</v>
      </c>
      <c r="L23" s="578" t="n">
        <f aca="false">(D23*0.96)+(H23*1.6)</f>
        <v>12.8</v>
      </c>
      <c r="M23" s="578" t="n">
        <f aca="false">(B4*0.96)+(C4*1.6)</f>
        <v>2487.04</v>
      </c>
      <c r="N23" s="579" t="n">
        <f aca="false">1-(J23/M23)</f>
        <v>0.311116829644879</v>
      </c>
      <c r="O23" s="580" t="n">
        <f aca="false">M23-(J23+K23+L23)</f>
        <v>759.36</v>
      </c>
      <c r="P23" s="573"/>
      <c r="Q23" s="573"/>
      <c r="R23" s="579" t="n">
        <v>0.444082519001086</v>
      </c>
      <c r="S23" s="581" t="n">
        <v>1</v>
      </c>
      <c r="T23" s="581" t="n">
        <f aca="false">S23-R23</f>
        <v>0.555917480998914</v>
      </c>
    </row>
    <row r="24" customFormat="false" ht="13.15" hidden="false" customHeight="false" outlineLevel="0" collapsed="false">
      <c r="A24" s="567" t="s">
        <v>268</v>
      </c>
      <c r="B24" s="569" t="n">
        <f aca="false">B14-D14</f>
        <v>837</v>
      </c>
      <c r="C24" s="569" t="n">
        <v>2</v>
      </c>
      <c r="D24" s="569" t="n">
        <v>6</v>
      </c>
      <c r="E24" s="569" t="n">
        <f aca="false">(B14-B24)-C24-D24</f>
        <v>200</v>
      </c>
      <c r="F24" s="569" t="n">
        <f aca="false">C14-E14</f>
        <v>198</v>
      </c>
      <c r="G24" s="569" t="n">
        <v>0</v>
      </c>
      <c r="H24" s="569" t="n">
        <v>6</v>
      </c>
      <c r="I24" s="569" t="n">
        <f aca="false">C14-F24-G24-H24</f>
        <v>182</v>
      </c>
      <c r="J24" s="578" t="n">
        <f aca="false">(B24*0.96)+(F24*1.6)</f>
        <v>1120.32</v>
      </c>
      <c r="K24" s="578" t="n">
        <f aca="false">(C24*0.96)+(G24*1.6)</f>
        <v>1.92</v>
      </c>
      <c r="L24" s="578" t="n">
        <f aca="false">(D24*0.96)+(H24*1.6)</f>
        <v>15.36</v>
      </c>
      <c r="M24" s="578" t="n">
        <f aca="false">(B14*0.96)+(C14*1.6)</f>
        <v>1620.8</v>
      </c>
      <c r="N24" s="579" t="n">
        <f aca="false">1-(J24/M24)</f>
        <v>0.308785784797631</v>
      </c>
      <c r="O24" s="580" t="n">
        <f aca="false">M24-(J24+K24+L24)</f>
        <v>483.2</v>
      </c>
      <c r="P24" s="573"/>
      <c r="Q24" s="573"/>
      <c r="R24" s="579" t="n">
        <v>0.22017866526537</v>
      </c>
      <c r="S24" s="581" t="n">
        <v>1</v>
      </c>
      <c r="T24" s="581" t="n">
        <f aca="false">S24-R24</f>
        <v>0.779821334734629</v>
      </c>
    </row>
    <row r="25" customFormat="false" ht="13.15" hidden="false" customHeight="false" outlineLevel="0" collapsed="false">
      <c r="A25" s="567" t="s">
        <v>267</v>
      </c>
      <c r="B25" s="569" t="n">
        <f aca="false">B13-D13</f>
        <v>922</v>
      </c>
      <c r="C25" s="569" t="n">
        <v>16</v>
      </c>
      <c r="D25" s="569" t="n">
        <v>0</v>
      </c>
      <c r="E25" s="569" t="n">
        <f aca="false">(B13-B25)-C25-D25</f>
        <v>111</v>
      </c>
      <c r="F25" s="569" t="n">
        <f aca="false">C13-E13</f>
        <v>282</v>
      </c>
      <c r="G25" s="569" t="n">
        <v>3</v>
      </c>
      <c r="H25" s="569" t="n">
        <v>0</v>
      </c>
      <c r="I25" s="569" t="n">
        <f aca="false">C13-F25-G25-H25</f>
        <v>168</v>
      </c>
      <c r="J25" s="578" t="n">
        <f aca="false">(B25*0.96)+(F25*1.6)</f>
        <v>1336.32</v>
      </c>
      <c r="K25" s="578" t="n">
        <f aca="false">(C25*0.96)+(G25*1.6)</f>
        <v>20.16</v>
      </c>
      <c r="L25" s="578" t="n">
        <f aca="false">(D25*0.96)+(H25*1.6)</f>
        <v>0</v>
      </c>
      <c r="M25" s="578" t="n">
        <f aca="false">(B13*0.96)+(C13*1.6)</f>
        <v>1731.84</v>
      </c>
      <c r="N25" s="579" t="n">
        <f aca="false">1-(J25/M25)</f>
        <v>0.228381374722838</v>
      </c>
      <c r="O25" s="580" t="n">
        <f aca="false">M25-(J25+K25+L25)</f>
        <v>375.36</v>
      </c>
      <c r="P25" s="573"/>
      <c r="Q25" s="582"/>
      <c r="R25" s="579" t="n">
        <v>0.355376653248994</v>
      </c>
      <c r="S25" s="581" t="n">
        <v>1</v>
      </c>
      <c r="T25" s="581" t="n">
        <f aca="false">S25-R25</f>
        <v>0.644623346751006</v>
      </c>
    </row>
    <row r="26" customFormat="false" ht="13.15" hidden="false" customHeight="false" outlineLevel="0" collapsed="false">
      <c r="A26" s="567" t="s">
        <v>259</v>
      </c>
      <c r="B26" s="569" t="n">
        <f aca="false">B6-D6</f>
        <v>724</v>
      </c>
      <c r="C26" s="569" t="n">
        <v>6</v>
      </c>
      <c r="D26" s="569" t="n">
        <v>4</v>
      </c>
      <c r="E26" s="569" t="n">
        <f aca="false">(B6-B26)-C26-D26</f>
        <v>103</v>
      </c>
      <c r="F26" s="569" t="n">
        <f aca="false">C6-E6</f>
        <v>227</v>
      </c>
      <c r="G26" s="569" t="n">
        <v>1</v>
      </c>
      <c r="H26" s="569" t="n">
        <v>0</v>
      </c>
      <c r="I26" s="569" t="n">
        <f aca="false">C6-F26-G26-H26</f>
        <v>109</v>
      </c>
      <c r="J26" s="578" t="n">
        <f aca="false">(B26*0.96)+(F26*1.6)</f>
        <v>1058.24</v>
      </c>
      <c r="K26" s="578" t="n">
        <f aca="false">(C26*0.96)+(G26*1.6)</f>
        <v>7.36</v>
      </c>
      <c r="L26" s="578" t="n">
        <f aca="false">(D26*0.96)+(H26*1.6)</f>
        <v>3.84</v>
      </c>
      <c r="M26" s="578" t="n">
        <f aca="false">(B6*0.96)+(C6*1.6)</f>
        <v>1342.72</v>
      </c>
      <c r="N26" s="579" t="n">
        <f aca="false">1-(J26/M26)</f>
        <v>0.21186844613918</v>
      </c>
      <c r="O26" s="580" t="n">
        <f aca="false">M26-(J26+K26+L26)</f>
        <v>273.28</v>
      </c>
      <c r="P26" s="573"/>
      <c r="Q26" s="573"/>
      <c r="R26" s="579" t="n">
        <v>0.230964467005076</v>
      </c>
      <c r="S26" s="581" t="n">
        <v>1</v>
      </c>
      <c r="T26" s="581" t="n">
        <f aca="false">S26-R26</f>
        <v>0.769035532994924</v>
      </c>
    </row>
    <row r="27" customFormat="false" ht="13.15" hidden="false" customHeight="false" outlineLevel="0" collapsed="false">
      <c r="A27" s="567" t="s">
        <v>265</v>
      </c>
      <c r="B27" s="569" t="n">
        <f aca="false">B9-D9</f>
        <v>878</v>
      </c>
      <c r="C27" s="569" t="n">
        <v>12</v>
      </c>
      <c r="D27" s="569" t="n">
        <v>0</v>
      </c>
      <c r="E27" s="569" t="n">
        <f aca="false">(B9-B27)-C27-D27</f>
        <v>155</v>
      </c>
      <c r="F27" s="569" t="n">
        <f aca="false">C9-E9</f>
        <v>265</v>
      </c>
      <c r="G27" s="569" t="n">
        <v>1</v>
      </c>
      <c r="H27" s="569" t="n">
        <v>0</v>
      </c>
      <c r="I27" s="569" t="n">
        <f aca="false">C9-F27-G27-H27</f>
        <v>133</v>
      </c>
      <c r="J27" s="578" t="n">
        <f aca="false">(B27*0.96)+(F27*1.6)</f>
        <v>1266.88</v>
      </c>
      <c r="K27" s="578" t="n">
        <f aca="false">(C27*0.96)+(G27*1.6)</f>
        <v>13.12</v>
      </c>
      <c r="L27" s="578" t="n">
        <f aca="false">(D27*0.96)+(H27*1.6)</f>
        <v>0</v>
      </c>
      <c r="M27" s="578" t="n">
        <f aca="false">(B9*0.96)+(C9*1.6)</f>
        <v>1641.6</v>
      </c>
      <c r="N27" s="579" t="n">
        <f aca="false">1-(J27/M27)</f>
        <v>0.228265107212475</v>
      </c>
      <c r="O27" s="580" t="n">
        <f aca="false">M27-(J27+K27+L27)</f>
        <v>361.6</v>
      </c>
      <c r="P27" s="573"/>
      <c r="Q27" s="582"/>
      <c r="R27" s="579" t="n">
        <v>0.210669569951007</v>
      </c>
      <c r="S27" s="581" t="n">
        <v>1</v>
      </c>
      <c r="T27" s="581" t="n">
        <f aca="false">S27-R27</f>
        <v>0.789330430048993</v>
      </c>
    </row>
    <row r="28" customFormat="false" ht="13.15" hidden="false" customHeight="false" outlineLevel="0" collapsed="false">
      <c r="A28" s="567" t="s">
        <v>263</v>
      </c>
      <c r="B28" s="569" t="n">
        <f aca="false">B8-D8</f>
        <v>930</v>
      </c>
      <c r="C28" s="569" t="n">
        <v>0</v>
      </c>
      <c r="D28" s="569" t="n">
        <v>10</v>
      </c>
      <c r="E28" s="569" t="n">
        <f aca="false">(B8-B28)-C28-D28</f>
        <v>104</v>
      </c>
      <c r="F28" s="569" t="n">
        <f aca="false">C8-E8</f>
        <v>210</v>
      </c>
      <c r="G28" s="569" t="n">
        <v>0</v>
      </c>
      <c r="H28" s="569" t="n">
        <v>2</v>
      </c>
      <c r="I28" s="569" t="n">
        <f aca="false">C8-F28-G28-H28</f>
        <v>303</v>
      </c>
      <c r="J28" s="578" t="n">
        <f aca="false">(B28*0.96)+(F28*1.6)</f>
        <v>1228.8</v>
      </c>
      <c r="K28" s="578" t="n">
        <f aca="false">(C28*0.96)+(G28*1.6)</f>
        <v>0</v>
      </c>
      <c r="L28" s="578" t="n">
        <f aca="false">(D28*0.96)+(H28*1.6)</f>
        <v>12.8</v>
      </c>
      <c r="M28" s="578" t="n">
        <f aca="false">(B8*0.96)+(C8*1.6)</f>
        <v>1826.24</v>
      </c>
      <c r="N28" s="579" t="n">
        <f aca="false">1-(J28/M28)</f>
        <v>0.327142106185386</v>
      </c>
      <c r="O28" s="580" t="n">
        <f aca="false">M28-(J28+K28+L28)</f>
        <v>584.64</v>
      </c>
      <c r="P28" s="573"/>
      <c r="Q28" s="573"/>
      <c r="R28" s="579" t="n">
        <v>0.565957446808511</v>
      </c>
      <c r="S28" s="581" t="n">
        <v>1</v>
      </c>
      <c r="T28" s="581" t="n">
        <f aca="false">S28-R28</f>
        <v>0.434042553191489</v>
      </c>
    </row>
    <row r="29" customFormat="false" ht="13.15" hidden="false" customHeight="false" outlineLevel="0" collapsed="false">
      <c r="A29" s="567" t="s">
        <v>269</v>
      </c>
      <c r="B29" s="569" t="n">
        <f aca="false">B15-D15</f>
        <v>1298</v>
      </c>
      <c r="C29" s="569" t="n">
        <v>11</v>
      </c>
      <c r="D29" s="569" t="n">
        <v>0</v>
      </c>
      <c r="E29" s="569" t="n">
        <f aca="false">(B15-B29)-C29-D29</f>
        <v>106</v>
      </c>
      <c r="F29" s="569" t="n">
        <f aca="false">C15-E15</f>
        <v>179</v>
      </c>
      <c r="G29" s="569" t="n">
        <v>0</v>
      </c>
      <c r="H29" s="569" t="n">
        <v>0</v>
      </c>
      <c r="I29" s="569" t="n">
        <f aca="false">C15-F29-G29-H29</f>
        <v>357</v>
      </c>
      <c r="J29" s="578" t="n">
        <f aca="false">(B29*0.96)+(F29*1.6)</f>
        <v>1532.48</v>
      </c>
      <c r="K29" s="578" t="n">
        <f aca="false">(C29*0.96)+(G29*1.6)</f>
        <v>10.56</v>
      </c>
      <c r="L29" s="578" t="n">
        <f aca="false">(D29*0.96)+(H29*1.6)</f>
        <v>0</v>
      </c>
      <c r="M29" s="578" t="n">
        <f aca="false">(B15*0.96)+(C15*1.6)</f>
        <v>2216</v>
      </c>
      <c r="N29" s="579" t="n">
        <f aca="false">1-(J29/M29)</f>
        <v>0.308447653429603</v>
      </c>
      <c r="O29" s="580" t="n">
        <f aca="false">M29-(J29+K29+L29)</f>
        <v>672.96</v>
      </c>
      <c r="P29" s="573"/>
      <c r="Q29" s="573"/>
      <c r="R29" s="579" t="n">
        <v>0.60312764158918</v>
      </c>
      <c r="S29" s="581" t="n">
        <v>1</v>
      </c>
      <c r="T29" s="581" t="n">
        <f aca="false">S29-R29</f>
        <v>0.39687235841082</v>
      </c>
    </row>
    <row r="30" customFormat="false" ht="13.15" hidden="false" customHeight="false" outlineLevel="0" collapsed="false">
      <c r="A30" s="567"/>
      <c r="B30" s="569"/>
      <c r="C30" s="569"/>
      <c r="D30" s="569"/>
      <c r="E30" s="569"/>
      <c r="F30" s="569"/>
      <c r="G30" s="569"/>
      <c r="H30" s="569"/>
      <c r="I30" s="569"/>
      <c r="J30" s="578"/>
      <c r="K30" s="578"/>
      <c r="L30" s="578"/>
      <c r="M30" s="578"/>
      <c r="N30" s="579"/>
      <c r="O30" s="580"/>
      <c r="P30" s="573"/>
      <c r="Q30" s="582"/>
      <c r="R30" s="579"/>
      <c r="S30" s="581"/>
      <c r="T30" s="581"/>
    </row>
    <row r="31" customFormat="false" ht="10.15" hidden="false" customHeight="false" outlineLevel="0" collapsed="false">
      <c r="S31" s="581"/>
      <c r="T31" s="581"/>
    </row>
    <row r="32" customFormat="false" ht="13.15" hidden="false" customHeight="false" outlineLevel="0" collapsed="false">
      <c r="A32" s="574" t="s">
        <v>539</v>
      </c>
      <c r="B32" s="569"/>
      <c r="C32" s="569"/>
      <c r="D32" s="569"/>
      <c r="E32" s="569"/>
      <c r="F32" s="569"/>
      <c r="G32" s="569"/>
      <c r="H32" s="569"/>
      <c r="I32" s="569"/>
      <c r="J32" s="578"/>
      <c r="K32" s="578"/>
      <c r="L32" s="578"/>
      <c r="M32" s="578"/>
      <c r="N32" s="579"/>
      <c r="O32" s="580"/>
      <c r="P32" s="573"/>
      <c r="Q32" s="573"/>
      <c r="R32" s="579"/>
      <c r="S32" s="581"/>
      <c r="T32" s="581"/>
    </row>
    <row r="33" customFormat="false" ht="40.9" hidden="false" customHeight="false" outlineLevel="0" collapsed="false">
      <c r="A33" s="567" t="s">
        <v>524</v>
      </c>
      <c r="B33" s="569"/>
      <c r="C33" s="569"/>
      <c r="D33" s="569"/>
      <c r="E33" s="569"/>
      <c r="F33" s="569"/>
      <c r="G33" s="569"/>
      <c r="H33" s="569"/>
      <c r="I33" s="569"/>
      <c r="J33" s="576" t="s">
        <v>533</v>
      </c>
      <c r="K33" s="576" t="s">
        <v>534</v>
      </c>
      <c r="L33" s="576" t="s">
        <v>535</v>
      </c>
      <c r="M33" s="577" t="s">
        <v>540</v>
      </c>
      <c r="N33" s="577" t="s">
        <v>537</v>
      </c>
      <c r="O33" s="576" t="s">
        <v>538</v>
      </c>
      <c r="P33" s="573"/>
      <c r="Q33" s="573"/>
      <c r="R33" s="577" t="s">
        <v>537</v>
      </c>
      <c r="S33" s="581"/>
      <c r="T33" s="581"/>
    </row>
    <row r="34" customFormat="false" ht="13.15" hidden="false" customHeight="false" outlineLevel="0" collapsed="false">
      <c r="A34" s="567" t="s">
        <v>253</v>
      </c>
      <c r="B34" s="569" t="n">
        <f aca="false">B3-D3</f>
        <v>847</v>
      </c>
      <c r="C34" s="569" t="n">
        <v>0</v>
      </c>
      <c r="D34" s="569" t="n">
        <v>2</v>
      </c>
      <c r="E34" s="569" t="n">
        <f aca="false">(B3-B34)-C34-D34</f>
        <v>94</v>
      </c>
      <c r="F34" s="569" t="n">
        <f aca="false">C3-E3</f>
        <v>136</v>
      </c>
      <c r="G34" s="569" t="n">
        <v>0</v>
      </c>
      <c r="H34" s="569" t="n">
        <v>0</v>
      </c>
      <c r="I34" s="569" t="n">
        <f aca="false">C3-F34-H34</f>
        <v>190</v>
      </c>
      <c r="J34" s="578" t="n">
        <f aca="false">(B34*0.96)+(F34*1.6)</f>
        <v>1030.72</v>
      </c>
      <c r="K34" s="578" t="n">
        <f aca="false">(C34*0.96)+(G34*1.6)</f>
        <v>0</v>
      </c>
      <c r="L34" s="578" t="n">
        <f aca="false">(D34*0.96)+(H34*1.6)</f>
        <v>1.92</v>
      </c>
      <c r="M34" s="578" t="n">
        <f aca="false">(B3*0.96)+(C3*1.6)</f>
        <v>1426.88</v>
      </c>
      <c r="N34" s="579" t="n">
        <f aca="false">1-(J34/M34)</f>
        <v>0.277640726620318</v>
      </c>
      <c r="O34" s="580" t="n">
        <f aca="false">M34-(J34+K34+L34)</f>
        <v>394.24</v>
      </c>
      <c r="P34" s="573"/>
      <c r="Q34" s="573"/>
      <c r="R34" s="579" t="n">
        <v>0.446467589220685</v>
      </c>
      <c r="S34" s="581" t="n">
        <v>1</v>
      </c>
      <c r="T34" s="581" t="n">
        <f aca="false">S34-R34</f>
        <v>0.553532410779315</v>
      </c>
    </row>
    <row r="35" customFormat="false" ht="13.15" hidden="false" customHeight="false" outlineLevel="0" collapsed="false">
      <c r="A35" s="567" t="s">
        <v>256</v>
      </c>
      <c r="B35" s="569" t="n">
        <f aca="false">B5-D5</f>
        <v>990</v>
      </c>
      <c r="C35" s="569" t="n">
        <v>0</v>
      </c>
      <c r="D35" s="569" t="n">
        <v>0</v>
      </c>
      <c r="E35" s="569" t="n">
        <f aca="false">(B5-B35)-C35-D35</f>
        <v>83</v>
      </c>
      <c r="F35" s="569" t="n">
        <f aca="false">C5-E5</f>
        <v>167</v>
      </c>
      <c r="G35" s="569"/>
      <c r="H35" s="569" t="n">
        <v>0</v>
      </c>
      <c r="I35" s="569" t="n">
        <f aca="false">C5-F35-G35-H35</f>
        <v>444</v>
      </c>
      <c r="J35" s="578" t="n">
        <f aca="false">(B35*0.96)+(F35*1.6)</f>
        <v>1217.6</v>
      </c>
      <c r="K35" s="578" t="n">
        <f aca="false">(C35*0.96)+(G35*1.6)</f>
        <v>0</v>
      </c>
      <c r="L35" s="578" t="n">
        <f aca="false">(D35*0.96)+(H35*1.6)</f>
        <v>0</v>
      </c>
      <c r="M35" s="578" t="n">
        <f aca="false">(B5*0.96)+(C5*1.6)</f>
        <v>2007.68</v>
      </c>
      <c r="N35" s="579" t="n">
        <f aca="false">1-(J35/M35)</f>
        <v>0.393528849218999</v>
      </c>
      <c r="O35" s="580" t="n">
        <f aca="false">M35-(J35+K35+L35)</f>
        <v>790.08</v>
      </c>
      <c r="P35" s="573"/>
      <c r="Q35" s="573"/>
      <c r="R35" s="579" t="n">
        <v>0.641014234875445</v>
      </c>
      <c r="S35" s="581" t="n">
        <v>1</v>
      </c>
      <c r="T35" s="581" t="n">
        <f aca="false">S35-R35</f>
        <v>0.358985765124555</v>
      </c>
    </row>
    <row r="36" customFormat="false" ht="13.15" hidden="false" customHeight="false" outlineLevel="0" collapsed="false">
      <c r="A36" s="567" t="s">
        <v>261</v>
      </c>
      <c r="B36" s="569" t="n">
        <f aca="false">B7-D7</f>
        <v>669</v>
      </c>
      <c r="C36" s="569" t="n">
        <v>0</v>
      </c>
      <c r="D36" s="569" t="n">
        <v>0</v>
      </c>
      <c r="E36" s="569" t="n">
        <f aca="false">(B7-B36)-C36-D36</f>
        <v>32</v>
      </c>
      <c r="F36" s="569" t="n">
        <f aca="false">C7-E7</f>
        <v>183</v>
      </c>
      <c r="G36" s="569" t="n">
        <v>0</v>
      </c>
      <c r="H36" s="569" t="n">
        <v>0</v>
      </c>
      <c r="I36" s="569" t="n">
        <f aca="false">C7-F36-G36-H36</f>
        <v>201</v>
      </c>
      <c r="J36" s="578" t="n">
        <f aca="false">(B36*0.96)+(F36*1.6)</f>
        <v>935.04</v>
      </c>
      <c r="K36" s="578" t="n">
        <f aca="false">(C36*0.96)+(G36*1.6)</f>
        <v>0</v>
      </c>
      <c r="L36" s="578" t="n">
        <f aca="false">(D36*0.96)+(H36*1.6)</f>
        <v>0</v>
      </c>
      <c r="M36" s="578" t="n">
        <f aca="false">(B7*0.96)+(C7*1.6)</f>
        <v>1287.36</v>
      </c>
      <c r="N36" s="579" t="n">
        <f aca="false">1-(J36/M36)</f>
        <v>0.273676360924683</v>
      </c>
      <c r="O36" s="580" t="n">
        <f aca="false">M36-(J36+K36+L36)</f>
        <v>352.32</v>
      </c>
      <c r="P36" s="573"/>
      <c r="Q36" s="573"/>
      <c r="R36" s="579" t="n">
        <v>0.504573170731707</v>
      </c>
      <c r="S36" s="581" t="n">
        <v>1</v>
      </c>
      <c r="T36" s="581" t="n">
        <f aca="false">S36-R36</f>
        <v>0.495426829268293</v>
      </c>
    </row>
    <row r="37" customFormat="false" ht="13.15" hidden="false" customHeight="false" outlineLevel="0" collapsed="false">
      <c r="A37" s="567" t="s">
        <v>266</v>
      </c>
      <c r="B37" s="569" t="n">
        <f aca="false">SUM(B38:B40)</f>
        <v>1754</v>
      </c>
      <c r="C37" s="569" t="n">
        <v>6</v>
      </c>
      <c r="D37" s="569" t="n">
        <v>0</v>
      </c>
      <c r="E37" s="569" t="n">
        <f aca="false">SUM(E38:E40)</f>
        <v>108</v>
      </c>
      <c r="F37" s="569" t="n">
        <f aca="false">SUM(F38:F40)</f>
        <v>301</v>
      </c>
      <c r="G37" s="569" t="n">
        <f aca="false">SUM(G38:G40)</f>
        <v>0</v>
      </c>
      <c r="H37" s="569" t="n">
        <f aca="false">SUM(H38:H40)</f>
        <v>0</v>
      </c>
      <c r="I37" s="569" t="n">
        <f aca="false">SUM(I38:I40)</f>
        <v>514</v>
      </c>
      <c r="J37" s="578" t="n">
        <f aca="false">(B37*0.96)+(F37*1.6)</f>
        <v>2165.44</v>
      </c>
      <c r="K37" s="578" t="n">
        <f aca="false">(C37*0.96)+(G37*1.6)</f>
        <v>5.76</v>
      </c>
      <c r="L37" s="578" t="n">
        <f aca="false">(D37*0.96)+(H37*1.6)</f>
        <v>0</v>
      </c>
      <c r="M37" s="583" t="n">
        <f aca="false">SUM(M38:M40)</f>
        <v>3091.52</v>
      </c>
      <c r="N37" s="584" t="n">
        <f aca="false">1-(J37/M37)</f>
        <v>0.299554911499845</v>
      </c>
      <c r="O37" s="580" t="n">
        <f aca="false">M37-(J37+K37+L37)</f>
        <v>920.32</v>
      </c>
      <c r="P37" s="573"/>
      <c r="Q37" s="573"/>
      <c r="R37" s="584" t="n">
        <v>0.57822445561139</v>
      </c>
      <c r="S37" s="581" t="n">
        <v>1</v>
      </c>
      <c r="T37" s="581" t="n">
        <f aca="false">S37-R37</f>
        <v>0.42177554438861</v>
      </c>
    </row>
    <row r="38" customFormat="false" ht="15.6" hidden="false" customHeight="false" outlineLevel="0" collapsed="false">
      <c r="A38" s="567" t="s">
        <v>519</v>
      </c>
      <c r="B38" s="569" t="n">
        <f aca="false">B10-D10</f>
        <v>580</v>
      </c>
      <c r="C38" s="569"/>
      <c r="D38" s="569" t="n">
        <v>0</v>
      </c>
      <c r="E38" s="569" t="n">
        <f aca="false">(B10-B38)-C38-D38</f>
        <v>39</v>
      </c>
      <c r="F38" s="569" t="n">
        <f aca="false">C10-E10</f>
        <v>131</v>
      </c>
      <c r="G38" s="569"/>
      <c r="H38" s="569" t="n">
        <v>0</v>
      </c>
      <c r="I38" s="569" t="n">
        <f aca="false">C10-F38-G38-H38</f>
        <v>171</v>
      </c>
      <c r="J38" s="578" t="n">
        <f aca="false">(B38*0.96)+(F38*1.6)</f>
        <v>766.4</v>
      </c>
      <c r="K38" s="578" t="n">
        <f aca="false">(C38*0.96)+(G38*1.6)</f>
        <v>0</v>
      </c>
      <c r="L38" s="578" t="n">
        <f aca="false">(D38*0.96)+(H38*1.6)</f>
        <v>0</v>
      </c>
      <c r="M38" s="578" t="n">
        <f aca="false">(B10*0.96)+(C10*1.6)</f>
        <v>1077.44</v>
      </c>
      <c r="N38" s="579" t="n">
        <f aca="false">1-(J38/M38)</f>
        <v>0.288684288684289</v>
      </c>
      <c r="O38" s="580" t="n">
        <f aca="false">M38-(J38+K38+L38)</f>
        <v>311.04</v>
      </c>
      <c r="P38" s="573"/>
      <c r="Q38" s="573"/>
      <c r="R38" s="579" t="n">
        <v>0.552225249772934</v>
      </c>
      <c r="S38" s="581" t="n">
        <v>1</v>
      </c>
      <c r="T38" s="581" t="n">
        <f aca="false">S38-R38</f>
        <v>0.447774750227066</v>
      </c>
    </row>
    <row r="39" customFormat="false" ht="15.6" hidden="false" customHeight="false" outlineLevel="0" collapsed="false">
      <c r="A39" s="567" t="s">
        <v>520</v>
      </c>
      <c r="B39" s="569" t="n">
        <f aca="false">B11-D11</f>
        <v>582</v>
      </c>
      <c r="C39" s="569" t="n">
        <v>0</v>
      </c>
      <c r="D39" s="569" t="n">
        <v>0</v>
      </c>
      <c r="E39" s="569" t="n">
        <f aca="false">(B11-B39)-C39-D39</f>
        <v>39</v>
      </c>
      <c r="F39" s="569" t="n">
        <f aca="false">C11-E11</f>
        <v>125</v>
      </c>
      <c r="G39" s="569"/>
      <c r="H39" s="569" t="n">
        <v>0</v>
      </c>
      <c r="I39" s="569" t="n">
        <f aca="false">C11-F39-G39-H39</f>
        <v>148</v>
      </c>
      <c r="J39" s="578" t="n">
        <f aca="false">(B39*0.96)+(F39*1.6)</f>
        <v>758.72</v>
      </c>
      <c r="K39" s="578" t="n">
        <f aca="false">(C39*0.96)+(G39*1.6)</f>
        <v>0</v>
      </c>
      <c r="L39" s="578" t="n">
        <f aca="false">(D39*0.96)+(H39*1.6)</f>
        <v>0</v>
      </c>
      <c r="M39" s="578" t="n">
        <f aca="false">(B11*0.96)+(C11*1.6)</f>
        <v>1032.96</v>
      </c>
      <c r="N39" s="579" t="n">
        <f aca="false">1-(J39/M39)</f>
        <v>0.26548946716233</v>
      </c>
      <c r="O39" s="580" t="n">
        <f aca="false">M39-(J39+K39+L39)</f>
        <v>274.24</v>
      </c>
      <c r="P39" s="573"/>
      <c r="Q39" s="573"/>
      <c r="R39" s="579" t="n">
        <v>0.407297830374753</v>
      </c>
      <c r="S39" s="581" t="n">
        <v>1</v>
      </c>
      <c r="T39" s="581" t="n">
        <f aca="false">S39-R39</f>
        <v>0.592702169625246</v>
      </c>
    </row>
    <row r="40" customFormat="false" ht="15.6" hidden="false" customHeight="false" outlineLevel="0" collapsed="false">
      <c r="A40" s="567" t="s">
        <v>521</v>
      </c>
      <c r="B40" s="569" t="n">
        <f aca="false">B12-D12</f>
        <v>592</v>
      </c>
      <c r="C40" s="569"/>
      <c r="D40" s="569" t="n">
        <v>0</v>
      </c>
      <c r="E40" s="569" t="n">
        <f aca="false">(B12-B40)-C40-D40</f>
        <v>30</v>
      </c>
      <c r="F40" s="569" t="n">
        <f aca="false">C12-E12</f>
        <v>45</v>
      </c>
      <c r="G40" s="569" t="n">
        <v>0</v>
      </c>
      <c r="H40" s="569" t="n">
        <v>0</v>
      </c>
      <c r="I40" s="569" t="n">
        <f aca="false">C12-F40-G40-H40</f>
        <v>195</v>
      </c>
      <c r="J40" s="578" t="n">
        <f aca="false">(B40*0.96)+(F40*1.6)</f>
        <v>640.32</v>
      </c>
      <c r="K40" s="578" t="n">
        <f aca="false">(C40*0.96)+(G40*1.6)</f>
        <v>0</v>
      </c>
      <c r="L40" s="578" t="n">
        <f aca="false">(D40*0.96)+(H40*1.6)</f>
        <v>0</v>
      </c>
      <c r="M40" s="578" t="n">
        <f aca="false">(B12*0.96)+(C12*1.6)</f>
        <v>981.12</v>
      </c>
      <c r="N40" s="579" t="n">
        <f aca="false">1-(J40/M40)</f>
        <v>0.347358121330724</v>
      </c>
      <c r="O40" s="580" t="n">
        <f aca="false">M40-(J40+K40+L40)</f>
        <v>340.8</v>
      </c>
      <c r="P40" s="573"/>
      <c r="Q40" s="573"/>
      <c r="R40" s="579" t="n">
        <v>0.810344827586207</v>
      </c>
      <c r="S40" s="581" t="n">
        <v>1</v>
      </c>
      <c r="T40" s="581" t="n">
        <f aca="false">S40-R40</f>
        <v>0.189655172413793</v>
      </c>
    </row>
    <row r="41" customFormat="false" ht="13.15" hidden="false" customHeight="false" outlineLevel="0" collapsed="false">
      <c r="A41" s="567" t="s">
        <v>270</v>
      </c>
      <c r="B41" s="569" t="n">
        <f aca="false">B16-D16</f>
        <v>1015</v>
      </c>
      <c r="C41" s="569" t="n">
        <v>0</v>
      </c>
      <c r="D41" s="569" t="n">
        <v>2</v>
      </c>
      <c r="E41" s="569" t="n">
        <f aca="false">(B16-B41)-C41-D41</f>
        <v>61</v>
      </c>
      <c r="F41" s="569" t="n">
        <f aca="false">C16-E16</f>
        <v>216</v>
      </c>
      <c r="G41" s="569" t="n">
        <v>0</v>
      </c>
      <c r="H41" s="569" t="n">
        <v>2</v>
      </c>
      <c r="I41" s="569" t="n">
        <f aca="false">C16-F41-G41-H41</f>
        <v>377</v>
      </c>
      <c r="J41" s="578" t="n">
        <f aca="false">(B41*0.96)+(F41*1.6)</f>
        <v>1320</v>
      </c>
      <c r="K41" s="578" t="n">
        <f aca="false">(C41*0.96)+(G41*1.6)</f>
        <v>0</v>
      </c>
      <c r="L41" s="578" t="n">
        <f aca="false">(D41*0.96)+(H41*1.6)</f>
        <v>5.12</v>
      </c>
      <c r="M41" s="578" t="n">
        <f aca="false">(B16*0.96)+(C16*1.6)</f>
        <v>1986.88</v>
      </c>
      <c r="N41" s="579" t="n">
        <f aca="false">1-(J41/M41)</f>
        <v>0.335641810275407</v>
      </c>
      <c r="O41" s="580" t="n">
        <f aca="false">M41-(J41+K41+L41)</f>
        <v>661.76</v>
      </c>
      <c r="P41" s="573"/>
      <c r="Q41" s="573"/>
      <c r="R41" s="579" t="n">
        <v>0.58981612446959</v>
      </c>
      <c r="S41" s="581" t="n">
        <v>1</v>
      </c>
      <c r="T41" s="581" t="n">
        <f aca="false">S41-R41</f>
        <v>0.41018387553041</v>
      </c>
    </row>
    <row r="42" customFormat="false" ht="13.15" hidden="false" customHeight="false" outlineLevel="0" collapsed="false">
      <c r="A42" s="567" t="s">
        <v>271</v>
      </c>
      <c r="B42" s="569" t="n">
        <f aca="false">B17-D17</f>
        <v>1161</v>
      </c>
      <c r="C42" s="569" t="n">
        <v>0</v>
      </c>
      <c r="D42" s="569" t="n">
        <v>14</v>
      </c>
      <c r="E42" s="569" t="n">
        <f aca="false">(B17-B42)-C42-D42</f>
        <v>43</v>
      </c>
      <c r="F42" s="569" t="n">
        <f aca="false">C17-E17</f>
        <v>145</v>
      </c>
      <c r="G42" s="569" t="n">
        <v>0</v>
      </c>
      <c r="H42" s="569" t="n">
        <v>0</v>
      </c>
      <c r="I42" s="569" t="n">
        <f aca="false">C17-F42-G42-H42</f>
        <v>521</v>
      </c>
      <c r="J42" s="578" t="n">
        <f aca="false">(B42*0.96)+(F42*1.6)</f>
        <v>1346.56</v>
      </c>
      <c r="K42" s="578" t="n">
        <f aca="false">(C42*0.96)+(G42*1.6)</f>
        <v>0</v>
      </c>
      <c r="L42" s="578" t="n">
        <f aca="false">(D42*0.96)+(H42*1.6)</f>
        <v>13.44</v>
      </c>
      <c r="M42" s="578" t="n">
        <f aca="false">(B17*0.96)+(C17*1.6)</f>
        <v>2234.88</v>
      </c>
      <c r="N42" s="579" t="n">
        <f aca="false">1-(J42/M42)</f>
        <v>0.397479954180985</v>
      </c>
      <c r="O42" s="580" t="n">
        <f aca="false">M42-(J42+K42+L42)</f>
        <v>874.88</v>
      </c>
      <c r="P42" s="573"/>
      <c r="Q42" s="573"/>
      <c r="R42" s="579" t="n">
        <v>0.701361440491875</v>
      </c>
      <c r="S42" s="581" t="n">
        <v>1</v>
      </c>
      <c r="T42" s="581" t="n">
        <f aca="false">S42-R42</f>
        <v>0.298638559508125</v>
      </c>
    </row>
    <row r="43" customFormat="false" ht="13.15" hidden="false" customHeight="false" outlineLevel="0" collapsed="false">
      <c r="A43" s="567" t="s">
        <v>272</v>
      </c>
      <c r="B43" s="569" t="n">
        <f aca="false">B18-D18</f>
        <v>818</v>
      </c>
      <c r="C43" s="569" t="n">
        <v>0</v>
      </c>
      <c r="D43" s="569" t="n">
        <v>0</v>
      </c>
      <c r="E43" s="569" t="n">
        <f aca="false">(B18-B43)-C43-D43</f>
        <v>43</v>
      </c>
      <c r="F43" s="569" t="n">
        <f aca="false">C18-E18</f>
        <v>186</v>
      </c>
      <c r="G43" s="569" t="n">
        <v>0</v>
      </c>
      <c r="H43" s="569" t="n">
        <v>0</v>
      </c>
      <c r="I43" s="569" t="n">
        <f aca="false">C18-F43-G43-H43</f>
        <v>283</v>
      </c>
      <c r="J43" s="578" t="n">
        <f aca="false">(B43*0.96)+(F43*1.6)</f>
        <v>1082.88</v>
      </c>
      <c r="K43" s="578" t="n">
        <f aca="false">(C43*0.96)+(G43*1.6)</f>
        <v>0</v>
      </c>
      <c r="L43" s="578" t="n">
        <f aca="false">(D43*0.96)+(H43*1.6)</f>
        <v>0</v>
      </c>
      <c r="M43" s="578" t="n">
        <f aca="false">(B18*0.96)+(C18*1.6)</f>
        <v>1576.96</v>
      </c>
      <c r="N43" s="579" t="n">
        <f aca="false">1-(J43/M43)</f>
        <v>0.313311688311688</v>
      </c>
      <c r="O43" s="580" t="n">
        <f aca="false">M43-(J43+K43+L43)</f>
        <v>494.08</v>
      </c>
      <c r="P43" s="573"/>
      <c r="Q43" s="573"/>
      <c r="R43" s="579" t="n">
        <v>0.568434032059186</v>
      </c>
      <c r="S43" s="581" t="n">
        <v>1</v>
      </c>
      <c r="T43" s="581" t="n">
        <f aca="false">S43-R43</f>
        <v>0.431565967940814</v>
      </c>
    </row>
    <row r="44" customFormat="false" ht="13.15" hidden="false" customHeight="false" outlineLevel="0" collapsed="false">
      <c r="A44" s="567"/>
      <c r="B44" s="569"/>
      <c r="C44" s="569"/>
      <c r="D44" s="569"/>
      <c r="E44" s="569"/>
      <c r="F44" s="569"/>
      <c r="G44" s="569"/>
      <c r="H44" s="450"/>
      <c r="I44" s="450"/>
      <c r="J44" s="450"/>
      <c r="K44" s="450"/>
      <c r="L44" s="450"/>
      <c r="M44" s="450"/>
      <c r="N44" s="450"/>
      <c r="O44" s="585"/>
      <c r="P44" s="586"/>
      <c r="S44" s="587" t="n">
        <f aca="false" t="array" ref="S44:S53">R23:R29+R34:R43</f>
        <v>0.89055010822177</v>
      </c>
      <c r="T44" s="587"/>
      <c r="U44" s="587" t="n">
        <f aca="false" t="array" ref="U44:U53">T23:T29+T34:T43</f>
        <v>1.10944989177823</v>
      </c>
    </row>
    <row r="45" customFormat="false" ht="13.15" hidden="false" customHeight="false" outlineLevel="0" collapsed="false">
      <c r="A45" s="588"/>
      <c r="B45" s="567" t="s">
        <v>525</v>
      </c>
      <c r="C45" s="563" t="s">
        <v>541</v>
      </c>
      <c r="D45" s="567" t="s">
        <v>528</v>
      </c>
      <c r="E45" s="567" t="s">
        <v>529</v>
      </c>
      <c r="F45" s="568" t="s">
        <v>542</v>
      </c>
      <c r="G45" s="567" t="s">
        <v>532</v>
      </c>
      <c r="K45" s="450"/>
      <c r="L45" s="450"/>
      <c r="M45" s="450"/>
      <c r="N45" s="450"/>
      <c r="O45" s="585"/>
      <c r="P45" s="586"/>
      <c r="S45" s="0" t="n">
        <v>0.861192900140815</v>
      </c>
      <c r="U45" s="0" t="n">
        <v>1.13880709985918</v>
      </c>
    </row>
    <row r="46" customFormat="false" ht="13.15" hidden="false" customHeight="false" outlineLevel="0" collapsed="false">
      <c r="A46" s="589" t="s">
        <v>543</v>
      </c>
      <c r="B46" s="0" t="n">
        <f aca="false">SUM(B23:B43)</f>
        <v>15950</v>
      </c>
      <c r="C46" s="590" t="n">
        <f aca="false">SUM(D23:D43)</f>
        <v>38</v>
      </c>
      <c r="D46" s="0" t="n">
        <f aca="false">SUM(E23:E43)</f>
        <v>1612</v>
      </c>
      <c r="E46" s="0" t="n">
        <f aca="false">SUM(F23:F43)</f>
        <v>3255</v>
      </c>
      <c r="F46" s="590" t="n">
        <f aca="false">SUM(H23:H43)</f>
        <v>18</v>
      </c>
      <c r="G46" s="590" t="n">
        <f aca="false">SUM(I23:I43)</f>
        <v>4614</v>
      </c>
      <c r="K46" s="450"/>
      <c r="L46" s="450"/>
      <c r="M46" s="450"/>
      <c r="N46" s="450"/>
      <c r="O46" s="585"/>
      <c r="P46" s="586"/>
      <c r="S46" s="0" t="n">
        <v>0.859949823980701</v>
      </c>
      <c r="U46" s="0" t="n">
        <v>1.1400501760193</v>
      </c>
    </row>
    <row r="47" customFormat="false" ht="10.15" hidden="false" customHeight="false" outlineLevel="0" collapsed="false">
      <c r="K47" s="450"/>
      <c r="L47" s="450"/>
      <c r="M47" s="450"/>
      <c r="N47" s="450"/>
      <c r="O47" s="585"/>
      <c r="P47" s="586"/>
      <c r="S47" s="0" t="n">
        <v>0.809188922616466</v>
      </c>
      <c r="U47" s="0" t="n">
        <v>1.19081107738353</v>
      </c>
    </row>
    <row r="48" customFormat="false" ht="10.15" hidden="false" customHeight="false" outlineLevel="0" collapsed="false">
      <c r="A48" s="588"/>
      <c r="K48" s="450"/>
      <c r="L48" s="450"/>
      <c r="M48" s="450"/>
      <c r="N48" s="450"/>
      <c r="O48" s="585"/>
      <c r="P48" s="586"/>
      <c r="S48" s="0" t="n">
        <v>0.762894819723941</v>
      </c>
      <c r="U48" s="0" t="n">
        <v>1.23710518027606</v>
      </c>
    </row>
    <row r="49" customFormat="false" ht="10.15" hidden="false" customHeight="false" outlineLevel="0" collapsed="false">
      <c r="K49" s="450"/>
      <c r="L49" s="450"/>
      <c r="M49" s="450"/>
      <c r="N49" s="450"/>
      <c r="O49" s="585"/>
      <c r="P49" s="586"/>
      <c r="S49" s="0" t="n">
        <v>0.973255277183264</v>
      </c>
      <c r="U49" s="0" t="n">
        <v>1.02674472281674</v>
      </c>
    </row>
    <row r="50" customFormat="false" ht="26.45" hidden="false" customHeight="false" outlineLevel="0" collapsed="false">
      <c r="A50" s="591" t="s">
        <v>544</v>
      </c>
      <c r="B50" s="563" t="s">
        <v>509</v>
      </c>
      <c r="C50" s="567" t="s">
        <v>510</v>
      </c>
      <c r="D50" s="563" t="s">
        <v>511</v>
      </c>
      <c r="E50" s="563" t="s">
        <v>517</v>
      </c>
      <c r="F50" s="563" t="s">
        <v>518</v>
      </c>
      <c r="H50" s="592" t="s">
        <v>514</v>
      </c>
      <c r="I50" s="593" t="s">
        <v>545</v>
      </c>
      <c r="J50" s="593"/>
      <c r="K50" s="593"/>
      <c r="L50" s="450"/>
      <c r="M50" s="450"/>
      <c r="N50" s="450"/>
      <c r="O50" s="450"/>
      <c r="P50" s="585"/>
      <c r="Q50" s="586"/>
      <c r="S50" s="0" t="n">
        <v>1.41347246917539</v>
      </c>
      <c r="U50" s="0" t="n">
        <v>0.586527530824613</v>
      </c>
    </row>
    <row r="51" customFormat="false" ht="13.15" hidden="false" customHeight="false" outlineLevel="0" collapsed="false">
      <c r="A51" s="568" t="s">
        <v>274</v>
      </c>
      <c r="B51" s="594" t="n">
        <v>373</v>
      </c>
      <c r="C51" s="0" t="n">
        <v>207</v>
      </c>
      <c r="D51" s="0" t="n">
        <v>13</v>
      </c>
      <c r="E51" s="0" t="n">
        <v>104</v>
      </c>
      <c r="F51" s="0" t="n">
        <v>9</v>
      </c>
      <c r="H51" s="595" t="n">
        <v>12</v>
      </c>
      <c r="I51" s="595" t="n">
        <f aca="false">INT((H51*600)/800)</f>
        <v>9</v>
      </c>
      <c r="J51" s="595"/>
      <c r="K51" s="595"/>
      <c r="L51" s="450"/>
      <c r="M51" s="450"/>
      <c r="N51" s="450"/>
      <c r="O51" s="450"/>
      <c r="P51" s="585"/>
      <c r="Q51" s="586"/>
      <c r="S51" s="0" t="e">
        <v>#N/A</v>
      </c>
      <c r="U51" s="0" t="e">
        <v>#N/A</v>
      </c>
    </row>
    <row r="52" customFormat="false" ht="13.15" hidden="false" customHeight="false" outlineLevel="0" collapsed="false">
      <c r="A52" s="568" t="s">
        <v>277</v>
      </c>
      <c r="B52" s="594" t="n">
        <v>1046</v>
      </c>
      <c r="C52" s="0" t="n">
        <v>643</v>
      </c>
      <c r="D52" s="0" t="n">
        <v>52</v>
      </c>
      <c r="E52" s="0" t="n">
        <v>527</v>
      </c>
      <c r="F52" s="0" t="n">
        <v>46</v>
      </c>
      <c r="H52" s="595" t="n">
        <v>62</v>
      </c>
      <c r="I52" s="595" t="n">
        <f aca="false">INT((H52*600)/800)</f>
        <v>46</v>
      </c>
      <c r="J52" s="595"/>
      <c r="K52" s="595"/>
      <c r="L52" s="450"/>
      <c r="M52" s="450"/>
      <c r="N52" s="450"/>
      <c r="O52" s="450"/>
      <c r="P52" s="585"/>
      <c r="Q52" s="586"/>
      <c r="S52" s="0" t="e">
        <v>#N/A</v>
      </c>
      <c r="U52" s="0" t="e">
        <v>#N/A</v>
      </c>
    </row>
    <row r="53" customFormat="false" ht="13.15" hidden="false" customHeight="false" outlineLevel="0" collapsed="false">
      <c r="A53" s="568" t="s">
        <v>276</v>
      </c>
      <c r="B53" s="594" t="n">
        <v>666</v>
      </c>
      <c r="C53" s="0" t="n">
        <v>391</v>
      </c>
      <c r="D53" s="0" t="n">
        <v>12</v>
      </c>
      <c r="E53" s="0" t="n">
        <v>269</v>
      </c>
      <c r="F53" s="0" t="n">
        <v>12</v>
      </c>
      <c r="H53" s="595" t="n">
        <v>16</v>
      </c>
      <c r="I53" s="595" t="n">
        <f aca="false">INT((H53*600)/800)</f>
        <v>12</v>
      </c>
      <c r="J53" s="595"/>
      <c r="K53" s="595"/>
      <c r="L53" s="450"/>
      <c r="M53" s="450"/>
      <c r="N53" s="450"/>
      <c r="O53" s="450"/>
      <c r="P53" s="585"/>
      <c r="Q53" s="586"/>
      <c r="S53" s="0" t="e">
        <v>#N/A</v>
      </c>
      <c r="U53" s="0" t="e">
        <v>#N/A</v>
      </c>
    </row>
    <row r="54" customFormat="false" ht="13.15" hidden="false" customHeight="false" outlineLevel="0" collapsed="false">
      <c r="A54" s="568" t="s">
        <v>278</v>
      </c>
      <c r="B54" s="594" t="n">
        <v>995</v>
      </c>
      <c r="C54" s="0" t="n">
        <v>630</v>
      </c>
      <c r="D54" s="0" t="n">
        <v>6</v>
      </c>
      <c r="E54" s="0" t="n">
        <v>450</v>
      </c>
      <c r="F54" s="0" t="n">
        <v>5</v>
      </c>
      <c r="H54" s="595" t="n">
        <v>7</v>
      </c>
      <c r="I54" s="595" t="n">
        <f aca="false">INT((H54*600)/800)</f>
        <v>5</v>
      </c>
      <c r="J54" s="595"/>
      <c r="K54" s="595"/>
      <c r="L54" s="450"/>
      <c r="M54" s="450"/>
      <c r="N54" s="450"/>
      <c r="O54" s="450"/>
      <c r="P54" s="585"/>
      <c r="Q54" s="586"/>
    </row>
    <row r="55" customFormat="false" ht="13.15" hidden="false" customHeight="false" outlineLevel="0" collapsed="false">
      <c r="A55" s="568" t="s">
        <v>279</v>
      </c>
      <c r="B55" s="594" t="n">
        <v>67</v>
      </c>
      <c r="C55" s="0" t="n">
        <v>29</v>
      </c>
      <c r="D55" s="0" t="n">
        <v>0</v>
      </c>
      <c r="E55" s="0" t="n">
        <v>8</v>
      </c>
      <c r="F55" s="0" t="n">
        <v>0</v>
      </c>
      <c r="H55" s="595"/>
      <c r="I55" s="595" t="n">
        <f aca="false">INT((H55*600)/800)</f>
        <v>0</v>
      </c>
      <c r="J55" s="595"/>
      <c r="K55" s="595"/>
      <c r="L55" s="450"/>
      <c r="M55" s="450"/>
      <c r="N55" s="450"/>
      <c r="O55" s="450"/>
      <c r="P55" s="585"/>
      <c r="Q55" s="586"/>
    </row>
    <row r="56" customFormat="false" ht="13.15" hidden="false" customHeight="false" outlineLevel="0" collapsed="false">
      <c r="A56" s="568" t="s">
        <v>280</v>
      </c>
      <c r="B56" s="594" t="n">
        <v>694</v>
      </c>
      <c r="C56" s="0" t="n">
        <v>396</v>
      </c>
      <c r="D56" s="0" t="n">
        <v>0</v>
      </c>
      <c r="E56" s="0" t="n">
        <v>171</v>
      </c>
      <c r="F56" s="0" t="n">
        <v>0</v>
      </c>
      <c r="H56" s="595"/>
      <c r="I56" s="595" t="n">
        <f aca="false">INT((H56*600)/800)</f>
        <v>0</v>
      </c>
      <c r="J56" s="595"/>
      <c r="K56" s="595"/>
      <c r="L56" s="450"/>
      <c r="M56" s="450"/>
      <c r="N56" s="450"/>
      <c r="O56" s="450"/>
      <c r="P56" s="585"/>
      <c r="Q56" s="586"/>
    </row>
    <row r="57" customFormat="false" ht="13.15" hidden="false" customHeight="false" outlineLevel="0" collapsed="false">
      <c r="A57" s="568" t="s">
        <v>546</v>
      </c>
      <c r="B57" s="594" t="n">
        <v>588</v>
      </c>
      <c r="C57" s="0" t="n">
        <v>336</v>
      </c>
      <c r="D57" s="0" t="n">
        <v>0</v>
      </c>
      <c r="E57" s="0" t="n">
        <v>252</v>
      </c>
      <c r="F57" s="0" t="n">
        <v>0</v>
      </c>
      <c r="H57" s="595"/>
      <c r="I57" s="595"/>
      <c r="J57" s="595"/>
      <c r="K57" s="595"/>
      <c r="L57" s="450"/>
      <c r="M57" s="450"/>
      <c r="N57" s="450"/>
      <c r="O57" s="450"/>
      <c r="P57" s="585"/>
      <c r="Q57" s="586"/>
    </row>
    <row r="58" customFormat="false" ht="13.15" hidden="false" customHeight="false" outlineLevel="0" collapsed="false">
      <c r="A58" s="568" t="s">
        <v>547</v>
      </c>
      <c r="B58" s="594" t="n">
        <v>108</v>
      </c>
      <c r="C58" s="0" t="n">
        <v>172</v>
      </c>
      <c r="D58" s="0" t="n">
        <v>7</v>
      </c>
      <c r="E58" s="0" t="n">
        <v>99</v>
      </c>
      <c r="F58" s="0" t="n">
        <v>7</v>
      </c>
      <c r="H58" s="595" t="n">
        <v>10</v>
      </c>
      <c r="I58" s="595" t="n">
        <f aca="false">INT((H58*600)/800)</f>
        <v>7</v>
      </c>
      <c r="J58" s="595"/>
      <c r="K58" s="595"/>
      <c r="L58" s="450"/>
      <c r="M58" s="450"/>
      <c r="N58" s="450"/>
      <c r="O58" s="450"/>
      <c r="P58" s="585"/>
      <c r="Q58" s="586"/>
    </row>
    <row r="59" customFormat="false" ht="13.15" hidden="false" customHeight="false" outlineLevel="0" collapsed="false">
      <c r="A59" s="568" t="s">
        <v>281</v>
      </c>
      <c r="B59" s="594" t="n">
        <v>966</v>
      </c>
      <c r="C59" s="0" t="n">
        <v>512</v>
      </c>
      <c r="D59" s="0" t="n">
        <v>21</v>
      </c>
      <c r="E59" s="0" t="n">
        <v>265</v>
      </c>
      <c r="F59" s="0" t="n">
        <v>7</v>
      </c>
      <c r="H59" s="595" t="n">
        <v>10</v>
      </c>
      <c r="I59" s="595" t="n">
        <f aca="false">INT((H59*600)/800)</f>
        <v>7</v>
      </c>
      <c r="J59" s="595"/>
      <c r="K59" s="595"/>
      <c r="L59" s="450"/>
      <c r="M59" s="450"/>
      <c r="N59" s="450"/>
      <c r="O59" s="450"/>
      <c r="P59" s="585"/>
      <c r="Q59" s="586"/>
    </row>
    <row r="60" customFormat="false" ht="13.15" hidden="false" customHeight="false" outlineLevel="0" collapsed="false">
      <c r="A60" s="568" t="s">
        <v>548</v>
      </c>
      <c r="B60" s="594" t="n">
        <v>166</v>
      </c>
      <c r="C60" s="0" t="n">
        <v>55</v>
      </c>
      <c r="D60" s="0" t="n">
        <v>0</v>
      </c>
      <c r="E60" s="0" t="n">
        <v>4</v>
      </c>
      <c r="F60" s="0" t="n">
        <v>0</v>
      </c>
      <c r="H60" s="595"/>
      <c r="I60" s="595"/>
      <c r="J60" s="595"/>
      <c r="K60" s="595"/>
      <c r="L60" s="450"/>
      <c r="M60" s="450"/>
      <c r="N60" s="450"/>
      <c r="O60" s="450"/>
      <c r="P60" s="585"/>
      <c r="Q60" s="586"/>
    </row>
    <row r="61" customFormat="false" ht="13.15" hidden="false" customHeight="false" outlineLevel="0" collapsed="false">
      <c r="A61" s="568" t="s">
        <v>549</v>
      </c>
      <c r="B61" s="594" t="n">
        <v>250</v>
      </c>
      <c r="C61" s="0" t="n">
        <v>156</v>
      </c>
      <c r="D61" s="0" t="n">
        <v>0</v>
      </c>
      <c r="E61" s="0" t="n">
        <v>56</v>
      </c>
      <c r="F61" s="0" t="n">
        <v>0</v>
      </c>
      <c r="H61" s="595"/>
      <c r="I61" s="595" t="n">
        <f aca="false">INT((H61*600)/800)</f>
        <v>0</v>
      </c>
      <c r="J61" s="595"/>
      <c r="K61" s="595"/>
      <c r="L61" s="450"/>
      <c r="M61" s="450"/>
      <c r="N61" s="450"/>
      <c r="O61" s="450"/>
      <c r="P61" s="585"/>
      <c r="Q61" s="586"/>
    </row>
    <row r="62" customFormat="false" ht="13.15" hidden="false" customHeight="false" outlineLevel="0" collapsed="false">
      <c r="A62" s="568" t="s">
        <v>550</v>
      </c>
      <c r="B62" s="594" t="n">
        <v>252</v>
      </c>
      <c r="C62" s="0" t="n">
        <v>156</v>
      </c>
      <c r="D62" s="0" t="n">
        <v>0</v>
      </c>
      <c r="E62" s="0" t="n">
        <v>115</v>
      </c>
      <c r="F62" s="0" t="n">
        <v>0</v>
      </c>
      <c r="H62" s="595"/>
      <c r="I62" s="595"/>
      <c r="J62" s="595"/>
      <c r="K62" s="595"/>
      <c r="L62" s="450"/>
      <c r="M62" s="450"/>
      <c r="N62" s="450"/>
      <c r="O62" s="450"/>
      <c r="P62" s="585"/>
      <c r="Q62" s="586"/>
    </row>
    <row r="63" customFormat="false" ht="13.15" hidden="false" customHeight="false" outlineLevel="0" collapsed="false">
      <c r="A63" s="568" t="s">
        <v>284</v>
      </c>
      <c r="B63" s="594" t="n">
        <v>939</v>
      </c>
      <c r="C63" s="0" t="n">
        <v>640</v>
      </c>
      <c r="D63" s="0" t="n">
        <v>9</v>
      </c>
      <c r="E63" s="0" t="n">
        <v>488</v>
      </c>
      <c r="F63" s="0" t="n">
        <v>1</v>
      </c>
      <c r="H63" s="595" t="n">
        <v>2</v>
      </c>
      <c r="I63" s="595" t="n">
        <f aca="false">INT((H63*600)/800)</f>
        <v>1</v>
      </c>
      <c r="J63" s="595"/>
      <c r="K63" s="595"/>
      <c r="L63" s="450"/>
      <c r="M63" s="450"/>
      <c r="N63" s="450"/>
      <c r="O63" s="450"/>
      <c r="P63" s="585"/>
      <c r="Q63" s="586"/>
    </row>
    <row r="64" customFormat="false" ht="13.15" hidden="false" customHeight="false" outlineLevel="0" collapsed="false">
      <c r="A64" s="568" t="s">
        <v>285</v>
      </c>
      <c r="B64" s="594" t="n">
        <v>268</v>
      </c>
      <c r="C64" s="0" t="n">
        <v>105</v>
      </c>
      <c r="D64" s="0" t="n">
        <v>0</v>
      </c>
      <c r="E64" s="0" t="n">
        <v>41</v>
      </c>
      <c r="F64" s="0" t="n">
        <v>0</v>
      </c>
      <c r="H64" s="595"/>
      <c r="I64" s="595" t="n">
        <f aca="false">INT((H64*600)/800)</f>
        <v>0</v>
      </c>
      <c r="J64" s="595"/>
      <c r="K64" s="595"/>
      <c r="L64" s="450"/>
      <c r="M64" s="450"/>
      <c r="N64" s="450"/>
      <c r="O64" s="450"/>
      <c r="P64" s="585"/>
      <c r="Q64" s="586"/>
    </row>
    <row r="67" customFormat="false" ht="13.15" hidden="false" customHeight="false" outlineLevel="0" collapsed="false">
      <c r="A67" s="568" t="s">
        <v>551</v>
      </c>
      <c r="B67" s="568"/>
      <c r="K67" s="450"/>
      <c r="L67" s="450"/>
      <c r="M67" s="450"/>
      <c r="N67" s="450"/>
      <c r="O67" s="585"/>
      <c r="P67" s="586"/>
    </row>
    <row r="68" customFormat="false" ht="21" hidden="false" customHeight="false" outlineLevel="0" collapsed="false">
      <c r="A68" s="568" t="s">
        <v>524</v>
      </c>
      <c r="B68" s="567" t="s">
        <v>525</v>
      </c>
      <c r="C68" s="567" t="s">
        <v>526</v>
      </c>
      <c r="D68" s="567" t="s">
        <v>527</v>
      </c>
      <c r="E68" s="563" t="s">
        <v>528</v>
      </c>
      <c r="F68" s="567" t="s">
        <v>529</v>
      </c>
      <c r="G68" s="567" t="s">
        <v>530</v>
      </c>
      <c r="H68" s="568" t="s">
        <v>531</v>
      </c>
      <c r="I68" s="567" t="s">
        <v>532</v>
      </c>
      <c r="J68" s="567"/>
      <c r="K68" s="578" t="s">
        <v>533</v>
      </c>
      <c r="L68" s="578" t="s">
        <v>534</v>
      </c>
      <c r="M68" s="578" t="s">
        <v>535</v>
      </c>
      <c r="N68" s="596" t="s">
        <v>540</v>
      </c>
      <c r="O68" s="579" t="s">
        <v>537</v>
      </c>
      <c r="P68" s="580" t="s">
        <v>538</v>
      </c>
    </row>
    <row r="69" customFormat="false" ht="13.15" hidden="false" customHeight="false" outlineLevel="0" collapsed="false">
      <c r="A69" s="568" t="s">
        <v>274</v>
      </c>
      <c r="B69" s="569" t="n">
        <f aca="false">C51-E51</f>
        <v>103</v>
      </c>
      <c r="C69" s="569"/>
      <c r="D69" s="569" t="n">
        <v>0</v>
      </c>
      <c r="E69" s="569" t="n">
        <f aca="false">SUM(E51-C69-D69)</f>
        <v>104</v>
      </c>
      <c r="F69" s="569" t="n">
        <f aca="false">D51-F51</f>
        <v>4</v>
      </c>
      <c r="G69" s="569"/>
      <c r="H69" s="569" t="n">
        <v>0</v>
      </c>
      <c r="I69" s="569" t="n">
        <f aca="false">D51-F69-H69</f>
        <v>9</v>
      </c>
      <c r="J69" s="569"/>
      <c r="K69" s="578" t="n">
        <f aca="false">(B69*0.96)+(F69*1.6)</f>
        <v>105.28</v>
      </c>
      <c r="L69" s="578" t="n">
        <f aca="false">(C69*0.96)+(G69*1.6)</f>
        <v>0</v>
      </c>
      <c r="M69" s="578" t="n">
        <f aca="false">(D69*0.96)+(H69*1.6)</f>
        <v>0</v>
      </c>
      <c r="N69" s="578" t="n">
        <f aca="false">(C51*0.96)+(D51*1.6)</f>
        <v>219.52</v>
      </c>
      <c r="O69" s="579" t="n">
        <f aca="false">1-(K69/N69)</f>
        <v>0.520408163265306</v>
      </c>
      <c r="P69" s="580" t="n">
        <f aca="false">N69-(K69+M69)</f>
        <v>114.24</v>
      </c>
    </row>
    <row r="70" customFormat="false" ht="13.15" hidden="false" customHeight="false" outlineLevel="0" collapsed="false">
      <c r="A70" s="568" t="s">
        <v>277</v>
      </c>
      <c r="B70" s="569" t="n">
        <f aca="false">C52-E52</f>
        <v>116</v>
      </c>
      <c r="C70" s="569"/>
      <c r="D70" s="569" t="n">
        <v>0</v>
      </c>
      <c r="E70" s="569" t="n">
        <f aca="false">SUM(E52-C70-D70)</f>
        <v>527</v>
      </c>
      <c r="F70" s="569" t="n">
        <f aca="false">D52-F52</f>
        <v>6</v>
      </c>
      <c r="G70" s="569"/>
      <c r="H70" s="569" t="n">
        <v>0</v>
      </c>
      <c r="I70" s="569" t="n">
        <f aca="false">D52-F70-H70</f>
        <v>46</v>
      </c>
      <c r="J70" s="569"/>
      <c r="K70" s="578" t="n">
        <f aca="false">(B70*0.96)+(F70*1.6)</f>
        <v>120.96</v>
      </c>
      <c r="L70" s="578" t="n">
        <f aca="false">(C70*0.96)+(G70*1.6)</f>
        <v>0</v>
      </c>
      <c r="M70" s="578" t="n">
        <f aca="false">(D70*0.96)+(H70*1.6)</f>
        <v>0</v>
      </c>
      <c r="N70" s="578" t="n">
        <f aca="false">(C52*0.96)+(D52*1.6)</f>
        <v>700.48</v>
      </c>
      <c r="O70" s="579" t="n">
        <f aca="false">1-(K70/N70)</f>
        <v>0.827318410232983</v>
      </c>
      <c r="P70" s="580" t="n">
        <f aca="false">N70-(K70+M70)</f>
        <v>579.52</v>
      </c>
    </row>
    <row r="71" customFormat="false" ht="13.15" hidden="false" customHeight="false" outlineLevel="0" collapsed="false">
      <c r="A71" s="568" t="s">
        <v>276</v>
      </c>
      <c r="B71" s="569" t="n">
        <f aca="false">C53-E53</f>
        <v>122</v>
      </c>
      <c r="C71" s="569"/>
      <c r="D71" s="569" t="n">
        <v>1</v>
      </c>
      <c r="E71" s="569" t="n">
        <f aca="false">SUM(E53-C71-D71)</f>
        <v>268</v>
      </c>
      <c r="F71" s="569" t="n">
        <f aca="false">D53-F53</f>
        <v>0</v>
      </c>
      <c r="G71" s="569"/>
      <c r="H71" s="569" t="n">
        <v>0</v>
      </c>
      <c r="I71" s="569" t="n">
        <f aca="false">D53-F71-H71</f>
        <v>12</v>
      </c>
      <c r="J71" s="569"/>
      <c r="K71" s="578" t="n">
        <f aca="false">(B71*0.96)+(F71*1.6)</f>
        <v>117.12</v>
      </c>
      <c r="L71" s="578" t="n">
        <f aca="false">(C71*0.96)+(G71*1.6)</f>
        <v>0</v>
      </c>
      <c r="M71" s="578" t="n">
        <f aca="false">(D71*0.96)+(H71*1.6)</f>
        <v>0.96</v>
      </c>
      <c r="N71" s="578" t="n">
        <f aca="false">(C53*0.96)+(D53*1.6)</f>
        <v>394.56</v>
      </c>
      <c r="O71" s="579" t="n">
        <f aca="false">1-(K71/N71)</f>
        <v>0.70316301703163</v>
      </c>
      <c r="P71" s="580" t="n">
        <f aca="false">N71-(K71+M71)</f>
        <v>276.48</v>
      </c>
    </row>
    <row r="72" customFormat="false" ht="13.15" hidden="false" customHeight="false" outlineLevel="0" collapsed="false">
      <c r="A72" s="597" t="s">
        <v>278</v>
      </c>
      <c r="B72" s="569" t="n">
        <f aca="false">C54-E54</f>
        <v>180</v>
      </c>
      <c r="C72" s="569"/>
      <c r="D72" s="569" t="n">
        <v>0</v>
      </c>
      <c r="E72" s="569" t="n">
        <f aca="false">SUM(E54-C72-D72)</f>
        <v>450</v>
      </c>
      <c r="F72" s="569" t="n">
        <f aca="false">D54-F54</f>
        <v>1</v>
      </c>
      <c r="G72" s="569"/>
      <c r="H72" s="569" t="n">
        <v>0</v>
      </c>
      <c r="I72" s="569" t="n">
        <f aca="false">D54-F72-H72</f>
        <v>5</v>
      </c>
      <c r="J72" s="569"/>
      <c r="K72" s="578" t="n">
        <f aca="false">(B72*0.96)+(F72*1.6)</f>
        <v>174.4</v>
      </c>
      <c r="L72" s="578" t="n">
        <f aca="false">(C72*0.96)+(G72*1.6)</f>
        <v>0</v>
      </c>
      <c r="M72" s="578" t="n">
        <f aca="false">(D72*0.96)+(H72*1.6)</f>
        <v>0</v>
      </c>
      <c r="N72" s="578" t="n">
        <f aca="false">(C54*0.96)+(D54*1.6)</f>
        <v>614.4</v>
      </c>
      <c r="O72" s="579" t="n">
        <f aca="false">1-(K72/N72)</f>
        <v>0.716145833333333</v>
      </c>
      <c r="P72" s="580" t="n">
        <f aca="false">N72-(K72+M72)</f>
        <v>440</v>
      </c>
    </row>
    <row r="73" customFormat="false" ht="13.15" hidden="false" customHeight="false" outlineLevel="0" collapsed="false">
      <c r="A73" s="568" t="s">
        <v>279</v>
      </c>
      <c r="B73" s="569" t="n">
        <f aca="false">C55-E55</f>
        <v>21</v>
      </c>
      <c r="C73" s="569"/>
      <c r="D73" s="569" t="n">
        <v>0</v>
      </c>
      <c r="E73" s="569" t="n">
        <f aca="false">SUM(E55-C73-D73)</f>
        <v>8</v>
      </c>
      <c r="F73" s="569" t="n">
        <f aca="false">D55-F55</f>
        <v>0</v>
      </c>
      <c r="G73" s="569"/>
      <c r="H73" s="569" t="n">
        <v>0</v>
      </c>
      <c r="I73" s="569" t="n">
        <f aca="false">D55-F73-H73</f>
        <v>0</v>
      </c>
      <c r="J73" s="569"/>
      <c r="K73" s="578" t="n">
        <f aca="false">(B73*0.96)+(F73*1.6)</f>
        <v>20.16</v>
      </c>
      <c r="L73" s="578" t="n">
        <f aca="false">(C73*0.96)+(G73*1.6)</f>
        <v>0</v>
      </c>
      <c r="M73" s="578" t="n">
        <f aca="false">(D73*0.96)+(H73*1.6)</f>
        <v>0</v>
      </c>
      <c r="N73" s="578" t="n">
        <f aca="false">(C55*0.96)+(D55*1.6)</f>
        <v>27.84</v>
      </c>
      <c r="O73" s="579" t="n">
        <f aca="false">1-(K73/N73)</f>
        <v>0.275862068965517</v>
      </c>
      <c r="P73" s="580" t="n">
        <f aca="false">N73-(K73+M73)</f>
        <v>7.68</v>
      </c>
    </row>
    <row r="74" customFormat="false" ht="13.15" hidden="false" customHeight="false" outlineLevel="0" collapsed="false">
      <c r="A74" s="568" t="s">
        <v>280</v>
      </c>
      <c r="B74" s="569" t="n">
        <f aca="false">C56-E56</f>
        <v>225</v>
      </c>
      <c r="C74" s="569"/>
      <c r="D74" s="569" t="n">
        <v>10</v>
      </c>
      <c r="E74" s="569" t="n">
        <f aca="false">SUM(E56-C74-D74)</f>
        <v>161</v>
      </c>
      <c r="F74" s="569" t="n">
        <f aca="false">D56-F56</f>
        <v>0</v>
      </c>
      <c r="G74" s="569"/>
      <c r="H74" s="569" t="n">
        <v>0</v>
      </c>
      <c r="I74" s="569" t="n">
        <f aca="false">D56-F74-H74</f>
        <v>0</v>
      </c>
      <c r="J74" s="569"/>
      <c r="K74" s="578" t="n">
        <f aca="false">(B74*0.96)+(F74*1.6)</f>
        <v>216</v>
      </c>
      <c r="L74" s="578" t="n">
        <f aca="false">(C74*0.96)+(G74*1.6)</f>
        <v>0</v>
      </c>
      <c r="M74" s="578" t="n">
        <f aca="false">(D74*0.96)+(H74*1.6)</f>
        <v>9.6</v>
      </c>
      <c r="N74" s="578" t="n">
        <f aca="false">(C56*0.96)+(D56*1.6)</f>
        <v>380.16</v>
      </c>
      <c r="O74" s="579" t="n">
        <f aca="false">1-(K74/N74)</f>
        <v>0.431818181818182</v>
      </c>
      <c r="P74" s="580" t="n">
        <f aca="false">N74-(K74+M74)</f>
        <v>154.56</v>
      </c>
    </row>
    <row r="75" customFormat="false" ht="13.15" hidden="false" customHeight="false" outlineLevel="0" collapsed="false">
      <c r="A75" s="568" t="s">
        <v>546</v>
      </c>
      <c r="B75" s="569" t="n">
        <f aca="false">C57-E57</f>
        <v>84</v>
      </c>
      <c r="C75" s="569"/>
      <c r="D75" s="569" t="n">
        <v>0</v>
      </c>
      <c r="E75" s="569" t="n">
        <f aca="false">SUM(E57-C75-D75)</f>
        <v>252</v>
      </c>
      <c r="F75" s="569" t="n">
        <f aca="false">D57-F57</f>
        <v>0</v>
      </c>
      <c r="G75" s="569"/>
      <c r="H75" s="569" t="n">
        <v>0</v>
      </c>
      <c r="I75" s="569" t="n">
        <f aca="false">D57-F75-H75</f>
        <v>0</v>
      </c>
      <c r="J75" s="569"/>
      <c r="K75" s="578" t="n">
        <f aca="false">(B75*0.96)+(F75*1.6)</f>
        <v>80.64</v>
      </c>
      <c r="L75" s="578" t="n">
        <f aca="false">(C75*0.96)+(G75*1.6)</f>
        <v>0</v>
      </c>
      <c r="M75" s="578" t="n">
        <f aca="false">(D75*0.96)+(H75*1.6)</f>
        <v>0</v>
      </c>
      <c r="N75" s="578" t="n">
        <f aca="false">(C57*0.96)+(D57*1.6)</f>
        <v>322.56</v>
      </c>
      <c r="O75" s="579" t="n">
        <f aca="false">1-(K75/N75)</f>
        <v>0.75</v>
      </c>
      <c r="P75" s="580" t="n">
        <f aca="false">N75-(K75+M75)</f>
        <v>241.92</v>
      </c>
    </row>
    <row r="76" customFormat="false" ht="13.15" hidden="false" customHeight="false" outlineLevel="0" collapsed="false">
      <c r="A76" s="568" t="s">
        <v>547</v>
      </c>
      <c r="B76" s="569" t="n">
        <f aca="false">C58-E58</f>
        <v>73</v>
      </c>
      <c r="C76" s="569"/>
      <c r="D76" s="569" t="n">
        <v>0</v>
      </c>
      <c r="E76" s="569" t="n">
        <f aca="false">SUM(E58-C76-D76)</f>
        <v>99</v>
      </c>
      <c r="F76" s="569" t="n">
        <f aca="false">D58-F58</f>
        <v>0</v>
      </c>
      <c r="G76" s="569"/>
      <c r="H76" s="569" t="n">
        <v>1</v>
      </c>
      <c r="I76" s="569" t="n">
        <f aca="false">D58-F76-H76</f>
        <v>6</v>
      </c>
      <c r="J76" s="569"/>
      <c r="K76" s="578" t="n">
        <f aca="false">(B76*0.96)+(F76*1.6)</f>
        <v>70.08</v>
      </c>
      <c r="L76" s="578" t="n">
        <f aca="false">(C76*0.96)+(G76*1.6)</f>
        <v>0</v>
      </c>
      <c r="M76" s="578" t="n">
        <f aca="false">(D76*0.96)+(H76*1.6)</f>
        <v>1.6</v>
      </c>
      <c r="N76" s="578" t="n">
        <f aca="false">(C58*0.96)+(D58*1.6)</f>
        <v>176.32</v>
      </c>
      <c r="O76" s="579" t="n">
        <f aca="false">1-(K76/N76)</f>
        <v>0.602540834845735</v>
      </c>
      <c r="P76" s="580" t="n">
        <f aca="false">N76-(K76+M76)</f>
        <v>104.64</v>
      </c>
    </row>
    <row r="77" customFormat="false" ht="13.15" hidden="false" customHeight="false" outlineLevel="0" collapsed="false">
      <c r="A77" s="568" t="s">
        <v>281</v>
      </c>
      <c r="B77" s="569" t="n">
        <f aca="false">C59-E59</f>
        <v>247</v>
      </c>
      <c r="C77" s="569"/>
      <c r="D77" s="569" t="n">
        <v>1</v>
      </c>
      <c r="E77" s="569" t="n">
        <f aca="false">SUM(E59-C77-D77)</f>
        <v>264</v>
      </c>
      <c r="F77" s="569" t="n">
        <f aca="false">D59-F59</f>
        <v>14</v>
      </c>
      <c r="G77" s="569"/>
      <c r="H77" s="569" t="n">
        <v>0</v>
      </c>
      <c r="I77" s="569" t="n">
        <f aca="false">D59-F77-H77</f>
        <v>7</v>
      </c>
      <c r="J77" s="569"/>
      <c r="K77" s="578" t="n">
        <f aca="false">(B77*0.96)+(F77*1.6)</f>
        <v>259.52</v>
      </c>
      <c r="L77" s="578" t="n">
        <f aca="false">(C77*0.96)+(G77*1.6)</f>
        <v>0</v>
      </c>
      <c r="M77" s="578" t="n">
        <f aca="false">(D77*0.96)+(H77*1.6)</f>
        <v>0.96</v>
      </c>
      <c r="N77" s="578" t="n">
        <f aca="false">(C59*0.96)+(D59*1.6)</f>
        <v>525.12</v>
      </c>
      <c r="O77" s="579" t="n">
        <f aca="false">1-(K77/N77)</f>
        <v>0.505789152955515</v>
      </c>
      <c r="P77" s="580" t="n">
        <f aca="false">N77-(K77+M77)</f>
        <v>264.64</v>
      </c>
    </row>
    <row r="78" customFormat="false" ht="13.15" hidden="false" customHeight="false" outlineLevel="0" collapsed="false">
      <c r="A78" s="568" t="s">
        <v>548</v>
      </c>
      <c r="B78" s="569" t="n">
        <f aca="false">C60-E60</f>
        <v>51</v>
      </c>
      <c r="C78" s="569"/>
      <c r="D78" s="569" t="n">
        <v>4</v>
      </c>
      <c r="E78" s="569" t="n">
        <f aca="false">SUM(E60-C78-D78)</f>
        <v>0</v>
      </c>
      <c r="F78" s="569" t="n">
        <v>0</v>
      </c>
      <c r="G78" s="569"/>
      <c r="H78" s="569" t="n">
        <v>0</v>
      </c>
      <c r="I78" s="569" t="n">
        <v>0</v>
      </c>
      <c r="J78" s="569"/>
      <c r="K78" s="578" t="n">
        <f aca="false">(B78*0.96)+(F78*1.6)</f>
        <v>48.96</v>
      </c>
      <c r="L78" s="578" t="n">
        <f aca="false">(C78*0.96)+(G78*1.6)</f>
        <v>0</v>
      </c>
      <c r="M78" s="578" t="n">
        <f aca="false">(D78*0.96)+(H78*1.6)</f>
        <v>3.84</v>
      </c>
      <c r="N78" s="578" t="n">
        <f aca="false">(C60*0.96)+(D60*1.6)</f>
        <v>52.8</v>
      </c>
      <c r="O78" s="579" t="n">
        <f aca="false">1-(K78/N78)</f>
        <v>0.0727272727272726</v>
      </c>
      <c r="P78" s="580" t="n">
        <f aca="false">N78-(K78+M78)</f>
        <v>0</v>
      </c>
    </row>
    <row r="79" customFormat="false" ht="13.15" hidden="false" customHeight="false" outlineLevel="0" collapsed="false">
      <c r="A79" s="568" t="s">
        <v>549</v>
      </c>
      <c r="B79" s="569" t="n">
        <f aca="false">C61-E61</f>
        <v>100</v>
      </c>
      <c r="C79" s="569"/>
      <c r="D79" s="569" t="n">
        <v>0</v>
      </c>
      <c r="E79" s="569" t="n">
        <f aca="false">SUM(E61-C79-D79)</f>
        <v>56</v>
      </c>
      <c r="F79" s="569" t="n">
        <f aca="false">D61-F61</f>
        <v>0</v>
      </c>
      <c r="G79" s="569"/>
      <c r="H79" s="569" t="n">
        <v>0</v>
      </c>
      <c r="I79" s="569" t="n">
        <f aca="false">D61-F79-H79</f>
        <v>0</v>
      </c>
      <c r="J79" s="569"/>
      <c r="K79" s="578" t="n">
        <f aca="false">(B79*0.96)+(F79*1.6)</f>
        <v>96</v>
      </c>
      <c r="L79" s="578" t="n">
        <f aca="false">(C79*0.96)+(G79*1.6)</f>
        <v>0</v>
      </c>
      <c r="M79" s="578" t="n">
        <f aca="false">(D79*0.96)+(H79*1.6)</f>
        <v>0</v>
      </c>
      <c r="N79" s="578" t="n">
        <f aca="false">(C61*0.96)+(D61*1.6)</f>
        <v>149.76</v>
      </c>
      <c r="O79" s="579" t="n">
        <f aca="false">1-(K79/N79)</f>
        <v>0.358974358974359</v>
      </c>
      <c r="P79" s="580" t="n">
        <f aca="false">N79-(K79+M79)</f>
        <v>53.76</v>
      </c>
    </row>
    <row r="80" customFormat="false" ht="13.15" hidden="false" customHeight="false" outlineLevel="0" collapsed="false">
      <c r="A80" s="568" t="s">
        <v>550</v>
      </c>
      <c r="B80" s="569" t="n">
        <f aca="false">C62-E62</f>
        <v>41</v>
      </c>
      <c r="C80" s="569"/>
      <c r="D80" s="569" t="n">
        <v>0</v>
      </c>
      <c r="E80" s="569" t="n">
        <f aca="false">SUM(E62-C80-D80)</f>
        <v>115</v>
      </c>
      <c r="F80" s="569" t="n">
        <f aca="false">D62-F62</f>
        <v>0</v>
      </c>
      <c r="G80" s="569"/>
      <c r="H80" s="569" t="n">
        <v>0</v>
      </c>
      <c r="I80" s="569" t="n">
        <f aca="false">D62-F80-H80</f>
        <v>0</v>
      </c>
      <c r="J80" s="569"/>
      <c r="K80" s="578" t="n">
        <f aca="false">(B80*0.96)+(F80*1.6)</f>
        <v>39.36</v>
      </c>
      <c r="L80" s="578" t="n">
        <f aca="false">(C80*0.96)+(G80*1.6)</f>
        <v>0</v>
      </c>
      <c r="M80" s="578" t="n">
        <f aca="false">(D80*0.96)+(H80*1.6)</f>
        <v>0</v>
      </c>
      <c r="N80" s="578" t="n">
        <f aca="false">(C62*0.96)+(D62*1.6)</f>
        <v>149.76</v>
      </c>
      <c r="O80" s="579" t="n">
        <f aca="false">1-(K80/N80)</f>
        <v>0.737179487179487</v>
      </c>
      <c r="P80" s="580" t="n">
        <f aca="false">N80-(K80+M80)</f>
        <v>110.4</v>
      </c>
    </row>
    <row r="81" customFormat="false" ht="13.15" hidden="false" customHeight="false" outlineLevel="0" collapsed="false">
      <c r="A81" s="568" t="s">
        <v>284</v>
      </c>
      <c r="B81" s="569" t="n">
        <f aca="false">C63-E63</f>
        <v>152</v>
      </c>
      <c r="C81" s="569"/>
      <c r="D81" s="569" t="n">
        <v>0</v>
      </c>
      <c r="E81" s="569" t="n">
        <f aca="false">SUM(E63-C81-D81)</f>
        <v>488</v>
      </c>
      <c r="F81" s="569" t="n">
        <f aca="false">D63-F63</f>
        <v>8</v>
      </c>
      <c r="G81" s="569"/>
      <c r="H81" s="569" t="n">
        <v>1</v>
      </c>
      <c r="I81" s="569" t="n">
        <f aca="false">D63-F81-H81</f>
        <v>0</v>
      </c>
      <c r="J81" s="569"/>
      <c r="K81" s="578" t="n">
        <f aca="false">(B81*0.96)+(F81*1.6)</f>
        <v>158.72</v>
      </c>
      <c r="L81" s="578" t="n">
        <f aca="false">(C81*0.96)+(G81*1.6)</f>
        <v>0</v>
      </c>
      <c r="M81" s="578" t="n">
        <f aca="false">(D81*0.96)+(H81*1.6)</f>
        <v>1.6</v>
      </c>
      <c r="N81" s="578" t="n">
        <f aca="false">(C63*0.96)+(D63*1.6)</f>
        <v>628.8</v>
      </c>
      <c r="O81" s="579" t="n">
        <f aca="false">1-(K81/N81)</f>
        <v>0.747582697201018</v>
      </c>
      <c r="P81" s="580" t="n">
        <f aca="false">N81-(K81+M81)</f>
        <v>468.48</v>
      </c>
    </row>
    <row r="82" customFormat="false" ht="13.15" hidden="false" customHeight="false" outlineLevel="0" collapsed="false">
      <c r="A82" s="568" t="s">
        <v>285</v>
      </c>
      <c r="B82" s="569" t="n">
        <f aca="false">C64-E64</f>
        <v>64</v>
      </c>
      <c r="C82" s="569"/>
      <c r="D82" s="569" t="n">
        <v>0</v>
      </c>
      <c r="E82" s="569" t="n">
        <f aca="false">SUM(E64-C82-D82)</f>
        <v>41</v>
      </c>
      <c r="F82" s="569" t="n">
        <f aca="false">D64-F64</f>
        <v>0</v>
      </c>
      <c r="G82" s="569"/>
      <c r="H82" s="569" t="n">
        <v>0</v>
      </c>
      <c r="I82" s="569" t="n">
        <f aca="false">D64-F82-H82</f>
        <v>0</v>
      </c>
      <c r="J82" s="569"/>
      <c r="K82" s="578" t="n">
        <f aca="false">(B82*0.96)+(F82*1.6)</f>
        <v>61.44</v>
      </c>
      <c r="L82" s="578" t="n">
        <f aca="false">(C82*0.96)+(G82*1.6)</f>
        <v>0</v>
      </c>
      <c r="M82" s="578" t="n">
        <f aca="false">(D82*0.96)+(H82*1.6)</f>
        <v>0</v>
      </c>
      <c r="N82" s="578" t="n">
        <f aca="false">(C64*0.96)+(D64*1.6)</f>
        <v>100.8</v>
      </c>
      <c r="O82" s="579" t="n">
        <f aca="false">1-(K82/N82)</f>
        <v>0.390476190476191</v>
      </c>
      <c r="P82" s="580" t="n">
        <f aca="false">N82-(K82+M82)</f>
        <v>39.36</v>
      </c>
    </row>
    <row r="83" customFormat="false" ht="13.15" hidden="false" customHeight="false" outlineLevel="0" collapsed="false">
      <c r="A83" s="598"/>
      <c r="B83" s="599" t="s">
        <v>552</v>
      </c>
      <c r="C83" s="600" t="s">
        <v>553</v>
      </c>
      <c r="D83" s="599" t="s">
        <v>554</v>
      </c>
      <c r="E83" s="569"/>
      <c r="F83" s="569"/>
      <c r="G83" s="569"/>
      <c r="K83" s="450"/>
      <c r="L83" s="450"/>
      <c r="M83" s="450"/>
      <c r="N83" s="450"/>
      <c r="O83" s="585"/>
      <c r="P83" s="586"/>
    </row>
    <row r="84" customFormat="false" ht="13.15" hidden="false" customHeight="false" outlineLevel="0" collapsed="false">
      <c r="A84" s="598" t="s">
        <v>548</v>
      </c>
      <c r="B84" s="601" t="n">
        <f aca="false">C60-E60</f>
        <v>51</v>
      </c>
      <c r="C84" s="601" t="n">
        <v>0</v>
      </c>
      <c r="D84" s="601" t="n">
        <f aca="false">(C60-B84)-C84</f>
        <v>4</v>
      </c>
      <c r="E84" s="569"/>
      <c r="F84" s="569"/>
      <c r="G84" s="569"/>
    </row>
    <row r="85" customFormat="false" ht="13.15" hidden="false" customHeight="false" outlineLevel="0" collapsed="false">
      <c r="A85" s="598"/>
      <c r="B85" s="601" t="s">
        <v>555</v>
      </c>
      <c r="C85" s="601" t="s">
        <v>556</v>
      </c>
      <c r="D85" s="601" t="s">
        <v>557</v>
      </c>
      <c r="E85" s="569"/>
      <c r="F85" s="569"/>
      <c r="G85" s="569"/>
    </row>
    <row r="86" customFormat="false" ht="13.15" hidden="false" customHeight="false" outlineLevel="0" collapsed="false">
      <c r="A86" s="598" t="s">
        <v>558</v>
      </c>
      <c r="B86" s="602" t="n">
        <f aca="false">B84*0.96</f>
        <v>48.96</v>
      </c>
      <c r="C86" s="602" t="n">
        <f aca="false">C84*0.96</f>
        <v>0</v>
      </c>
      <c r="D86" s="602" t="n">
        <f aca="false">D84*0.96</f>
        <v>3.84</v>
      </c>
    </row>
    <row r="87" customFormat="false" ht="13.15" hidden="false" customHeight="false" outlineLevel="0" collapsed="false">
      <c r="B87" s="567" t="s">
        <v>525</v>
      </c>
      <c r="C87" s="563" t="s">
        <v>541</v>
      </c>
      <c r="D87" s="567" t="s">
        <v>528</v>
      </c>
      <c r="E87" s="567" t="s">
        <v>529</v>
      </c>
      <c r="F87" s="568" t="s">
        <v>542</v>
      </c>
      <c r="G87" s="567" t="s">
        <v>532</v>
      </c>
    </row>
    <row r="88" customFormat="false" ht="13.15" hidden="false" customHeight="false" outlineLevel="0" collapsed="false">
      <c r="A88" s="603" t="s">
        <v>543</v>
      </c>
      <c r="B88" s="569" t="n">
        <f aca="false">SUM(B69:B82)</f>
        <v>1579</v>
      </c>
      <c r="C88" s="569" t="n">
        <f aca="false">SUM(E69:E82)</f>
        <v>2833</v>
      </c>
      <c r="D88" s="569" t="n">
        <f aca="false">SUM(F69:F82)</f>
        <v>33</v>
      </c>
      <c r="E88" s="569" t="n">
        <f aca="false">SUM(G69:G82)</f>
        <v>0</v>
      </c>
      <c r="F88" s="569" t="n">
        <f aca="false">SUM(H69:H82)</f>
        <v>2</v>
      </c>
      <c r="G88" s="569" t="n">
        <f aca="false">SUM(I69:I82)</f>
        <v>85</v>
      </c>
    </row>
    <row r="94" customFormat="false" ht="13.15" hidden="false" customHeight="false" outlineLevel="0" collapsed="false">
      <c r="A94" s="568" t="s">
        <v>559</v>
      </c>
      <c r="B94" s="568" t="s">
        <v>560</v>
      </c>
      <c r="C94" s="568" t="s">
        <v>561</v>
      </c>
      <c r="D94" s="568" t="s">
        <v>553</v>
      </c>
      <c r="E94" s="568" t="s">
        <v>562</v>
      </c>
      <c r="F94" s="568" t="s">
        <v>563</v>
      </c>
      <c r="G94" s="567" t="s">
        <v>564</v>
      </c>
      <c r="H94" s="604" t="s">
        <v>565</v>
      </c>
      <c r="I94" s="604"/>
      <c r="J94" s="604"/>
    </row>
    <row r="95" customFormat="false" ht="13.15" hidden="false" customHeight="false" outlineLevel="0" collapsed="false">
      <c r="A95" s="568" t="s">
        <v>566</v>
      </c>
      <c r="B95" s="0" t="n">
        <v>20</v>
      </c>
      <c r="C95" s="0" t="n">
        <f aca="false">B95*8.5</f>
        <v>170</v>
      </c>
      <c r="D95" s="0" t="n">
        <v>1</v>
      </c>
      <c r="E95" s="0" t="n">
        <f aca="false">D95*0.8</f>
        <v>0.8</v>
      </c>
      <c r="F95" s="0" t="n">
        <v>23</v>
      </c>
      <c r="G95" s="0" t="n">
        <f aca="false">F95*8.5</f>
        <v>195.5</v>
      </c>
    </row>
    <row r="96" customFormat="false" ht="13.15" hidden="false" customHeight="false" outlineLevel="0" collapsed="false">
      <c r="A96" s="568" t="s">
        <v>567</v>
      </c>
      <c r="B96" s="0" t="n">
        <v>14</v>
      </c>
      <c r="C96" s="0" t="n">
        <f aca="false">B96*8.5</f>
        <v>119</v>
      </c>
      <c r="D96" s="0" t="n">
        <v>6</v>
      </c>
      <c r="E96" s="0" t="n">
        <f aca="false">D96*0.8</f>
        <v>4.8</v>
      </c>
      <c r="F96" s="0" t="n">
        <v>27</v>
      </c>
      <c r="G96" s="0" t="n">
        <f aca="false">F96*8.5</f>
        <v>229.5</v>
      </c>
    </row>
    <row r="97" customFormat="false" ht="13.15" hidden="false" customHeight="false" outlineLevel="0" collapsed="false">
      <c r="A97" s="568" t="s">
        <v>568</v>
      </c>
      <c r="B97" s="0" t="n">
        <v>8.5</v>
      </c>
      <c r="C97" s="0" t="n">
        <f aca="false">B97*8.5</f>
        <v>72.25</v>
      </c>
      <c r="D97" s="0" t="n">
        <v>3</v>
      </c>
      <c r="E97" s="0" t="n">
        <f aca="false">D97*0.8</f>
        <v>2.4</v>
      </c>
      <c r="F97" s="0" t="n">
        <v>27</v>
      </c>
      <c r="G97" s="0" t="n">
        <f aca="false">F97*8.5</f>
        <v>229.5</v>
      </c>
    </row>
    <row r="98" customFormat="false" ht="13.15" hidden="false" customHeight="false" outlineLevel="0" collapsed="false">
      <c r="A98" s="568" t="s">
        <v>569</v>
      </c>
      <c r="B98" s="0" t="n">
        <v>16.5</v>
      </c>
      <c r="C98" s="0" t="n">
        <f aca="false">B98*8.5</f>
        <v>140.25</v>
      </c>
      <c r="D98" s="0" t="n">
        <v>28</v>
      </c>
      <c r="E98" s="0" t="n">
        <f aca="false">D98*0.8</f>
        <v>22.4</v>
      </c>
      <c r="F98" s="0" t="n">
        <v>27</v>
      </c>
      <c r="G98" s="0" t="n">
        <f aca="false">F98*8.5</f>
        <v>229.5</v>
      </c>
    </row>
    <row r="99" customFormat="false" ht="13.15" hidden="false" customHeight="false" outlineLevel="0" collapsed="false">
      <c r="A99" s="568" t="s">
        <v>570</v>
      </c>
      <c r="B99" s="568" t="s">
        <v>571</v>
      </c>
      <c r="C99" s="568" t="s">
        <v>562</v>
      </c>
      <c r="D99" s="567" t="s">
        <v>572</v>
      </c>
      <c r="E99" s="567" t="s">
        <v>565</v>
      </c>
      <c r="H99" s="561" t="s">
        <v>573</v>
      </c>
      <c r="K99" s="0" t="s">
        <v>574</v>
      </c>
    </row>
    <row r="100" customFormat="false" ht="13.15" hidden="false" customHeight="false" outlineLevel="0" collapsed="false">
      <c r="A100" s="568" t="s">
        <v>566</v>
      </c>
      <c r="B100" s="0" t="n">
        <f aca="false">G95-C95</f>
        <v>25.5</v>
      </c>
      <c r="C100" s="0" t="n">
        <f aca="false">E95</f>
        <v>0.8</v>
      </c>
      <c r="D100" s="0" t="n">
        <f aca="false">G95-B100-C100</f>
        <v>169.2</v>
      </c>
      <c r="H100" s="561" t="n">
        <f aca="false">SUM(G95/100)*25</f>
        <v>48.875</v>
      </c>
      <c r="K100" s="0" t="n">
        <f aca="false">SUM(D100-H100)</f>
        <v>120.325</v>
      </c>
    </row>
    <row r="101" customFormat="false" ht="13.15" hidden="false" customHeight="false" outlineLevel="0" collapsed="false">
      <c r="A101" s="568" t="s">
        <v>567</v>
      </c>
      <c r="B101" s="0" t="n">
        <f aca="false">G96-C96</f>
        <v>110.5</v>
      </c>
      <c r="C101" s="0" t="n">
        <f aca="false">E96</f>
        <v>4.8</v>
      </c>
      <c r="D101" s="0" t="n">
        <f aca="false">G96-B101-C101</f>
        <v>114.2</v>
      </c>
      <c r="H101" s="561" t="n">
        <f aca="false">SUM(G96/100)*25</f>
        <v>57.375</v>
      </c>
      <c r="K101" s="0" t="n">
        <f aca="false">SUM(D101-H101)</f>
        <v>56.825</v>
      </c>
    </row>
    <row r="102" customFormat="false" ht="13.15" hidden="false" customHeight="false" outlineLevel="0" collapsed="false">
      <c r="A102" s="568" t="s">
        <v>568</v>
      </c>
      <c r="B102" s="0" t="n">
        <f aca="false">G97-C97</f>
        <v>157.25</v>
      </c>
      <c r="C102" s="0" t="n">
        <f aca="false">E97</f>
        <v>2.4</v>
      </c>
      <c r="D102" s="0" t="n">
        <f aca="false">G97-B102-C102</f>
        <v>69.85</v>
      </c>
      <c r="H102" s="561" t="n">
        <f aca="false">SUM(G97/100)*25</f>
        <v>57.375</v>
      </c>
      <c r="K102" s="0" t="n">
        <f aca="false">SUM(D102-H102)</f>
        <v>12.475</v>
      </c>
    </row>
    <row r="103" customFormat="false" ht="13.15" hidden="false" customHeight="false" outlineLevel="0" collapsed="false">
      <c r="A103" s="568" t="s">
        <v>569</v>
      </c>
      <c r="B103" s="0" t="n">
        <f aca="false">G98-C98</f>
        <v>89.25</v>
      </c>
      <c r="C103" s="0" t="n">
        <f aca="false">E98</f>
        <v>22.4</v>
      </c>
      <c r="D103" s="0" t="n">
        <f aca="false">G98-B103-C103</f>
        <v>117.85</v>
      </c>
      <c r="H103" s="561" t="n">
        <f aca="false">SUM(G98/100)*25</f>
        <v>57.375</v>
      </c>
      <c r="K103" s="0" t="n">
        <f aca="false">SUM(D103-H103)</f>
        <v>60.475</v>
      </c>
    </row>
    <row r="106" customFormat="false" ht="13.15" hidden="false" customHeight="false" outlineLevel="0" collapsed="false">
      <c r="A106" s="568" t="s">
        <v>575</v>
      </c>
      <c r="B106" s="568" t="s">
        <v>571</v>
      </c>
      <c r="C106" s="568" t="s">
        <v>562</v>
      </c>
      <c r="D106" s="567" t="s">
        <v>572</v>
      </c>
    </row>
    <row r="107" customFormat="false" ht="13.15" hidden="false" customHeight="false" outlineLevel="0" collapsed="false">
      <c r="A107" s="568" t="s">
        <v>576</v>
      </c>
      <c r="B107" s="0" t="n">
        <f aca="false">382-(25*8.5)</f>
        <v>169.5</v>
      </c>
      <c r="C107" s="0" t="n">
        <f aca="false">4*0.8</f>
        <v>3.2</v>
      </c>
      <c r="D107" s="0" t="n">
        <v>382</v>
      </c>
    </row>
    <row r="108" customFormat="false" ht="13.15" hidden="false" customHeight="false" outlineLevel="0" collapsed="false">
      <c r="A108" s="568" t="s">
        <v>577</v>
      </c>
      <c r="B108" s="0" t="n">
        <f aca="false">221-(11*8.5)</f>
        <v>127.5</v>
      </c>
      <c r="C108" s="0" t="n">
        <f aca="false">2*0.8</f>
        <v>1.6</v>
      </c>
      <c r="D108" s="0" t="n">
        <v>221</v>
      </c>
    </row>
    <row r="109" customFormat="false" ht="13.15" hidden="false" customHeight="false" outlineLevel="0" collapsed="false">
      <c r="A109" s="568" t="s">
        <v>578</v>
      </c>
      <c r="B109" s="0" t="n">
        <f aca="false">B29</f>
        <v>1298</v>
      </c>
      <c r="C109" s="0" t="n">
        <f aca="false">H40</f>
        <v>0</v>
      </c>
      <c r="D109" s="0" t="n">
        <f aca="false">SUM(D107+D108)</f>
        <v>603</v>
      </c>
    </row>
    <row r="113" customFormat="false" ht="13.15" hidden="false" customHeight="false" outlineLevel="0" collapsed="false">
      <c r="A113" s="574" t="s">
        <v>579</v>
      </c>
    </row>
    <row r="114" customFormat="false" ht="13.15" hidden="false" customHeight="false" outlineLevel="0" collapsed="false">
      <c r="A114" s="567" t="s">
        <v>524</v>
      </c>
      <c r="B114" s="595" t="str">
        <f aca="false">J33</f>
        <v>Used (m²) </v>
      </c>
      <c r="C114" s="595" t="str">
        <f aca="false">L33</f>
        <v>Forecast (m²) </v>
      </c>
      <c r="D114" s="595" t="str">
        <f aca="false">O33</f>
        <v>Remaining (m²) </v>
      </c>
    </row>
    <row r="115" customFormat="false" ht="13.15" hidden="false" customHeight="false" outlineLevel="0" collapsed="false">
      <c r="A115" s="567" t="s">
        <v>261</v>
      </c>
      <c r="B115" s="450" t="n">
        <f aca="false">J36</f>
        <v>935.04</v>
      </c>
      <c r="C115" s="450" t="n">
        <f aca="false">L36</f>
        <v>0</v>
      </c>
      <c r="D115" s="450" t="n">
        <f aca="false">O36</f>
        <v>352.32</v>
      </c>
    </row>
    <row r="116" customFormat="false" ht="13.15" hidden="false" customHeight="false" outlineLevel="0" collapsed="false">
      <c r="A116" s="567" t="s">
        <v>259</v>
      </c>
      <c r="B116" s="450" t="n">
        <f aca="false">J26</f>
        <v>1058.24</v>
      </c>
      <c r="C116" s="450" t="n">
        <f aca="false">L26</f>
        <v>3.84</v>
      </c>
      <c r="D116" s="450" t="n">
        <f aca="false">O26</f>
        <v>273.28</v>
      </c>
    </row>
    <row r="117" customFormat="false" ht="13.15" hidden="false" customHeight="false" outlineLevel="0" collapsed="false">
      <c r="A117" s="567" t="s">
        <v>266</v>
      </c>
      <c r="B117" s="450" t="n">
        <f aca="false">J37</f>
        <v>2165.44</v>
      </c>
      <c r="C117" s="450" t="n">
        <f aca="false">L37</f>
        <v>0</v>
      </c>
      <c r="D117" s="450" t="n">
        <f aca="false">O37</f>
        <v>920.32</v>
      </c>
    </row>
    <row r="118" customFormat="false" ht="13.15" hidden="false" customHeight="false" outlineLevel="0" collapsed="false">
      <c r="A118" s="567" t="s">
        <v>271</v>
      </c>
      <c r="B118" s="450" t="n">
        <f aca="false">J42</f>
        <v>1346.56</v>
      </c>
      <c r="C118" s="450" t="n">
        <f aca="false">L42</f>
        <v>13.44</v>
      </c>
      <c r="D118" s="450" t="n">
        <f aca="false">O42</f>
        <v>874.88</v>
      </c>
    </row>
    <row r="119" customFormat="false" ht="13.15" hidden="false" customHeight="false" outlineLevel="0" collapsed="false">
      <c r="A119" s="567" t="s">
        <v>272</v>
      </c>
      <c r="B119" s="450" t="n">
        <f aca="false">J43</f>
        <v>1082.88</v>
      </c>
      <c r="C119" s="450" t="n">
        <f aca="false">L43</f>
        <v>0</v>
      </c>
      <c r="D119" s="450" t="n">
        <f aca="false">O43</f>
        <v>494.08</v>
      </c>
    </row>
  </sheetData>
  <mergeCells count="1">
    <mergeCell ref="C1:F1"/>
  </mergeCells>
  <conditionalFormatting sqref="O23:O30 O32 O34:O43 P44:P49 Q50:Q64 P65:P83">
    <cfRule type="cellIs" priority="2" operator="equal" aboveAverage="0" equalAverage="0" bottom="0" percent="0" rank="0" text="" dxfId="55">
      <formula>"100"</formula>
    </cfRule>
    <cfRule type="cellIs" priority="3" operator="equal" aboveAverage="0" equalAverage="0" bottom="0" percent="0" rank="0" text="" dxfId="56">
      <formula>"0.1"</formula>
    </cfRule>
    <cfRule type="cellIs" priority="4" operator="equal" aboveAverage="0" equalAverage="0" bottom="0" percent="0" rank="0" text="" dxfId="57">
      <formula>"3"</formula>
    </cfRule>
  </conditionalFormatting>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2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I1" activeCellId="0" sqref="I1"/>
    </sheetView>
  </sheetViews>
  <sheetFormatPr defaultColWidth="8.66796875" defaultRowHeight="10.15" zeroHeight="false" outlineLevelRow="0" outlineLevelCol="0"/>
  <cols>
    <col collapsed="false" customWidth="true" hidden="false" outlineLevel="0" max="1" min="1" style="0" width="12.17"/>
    <col collapsed="false" customWidth="true" hidden="false" outlineLevel="0" max="2" min="2" style="0" width="13"/>
    <col collapsed="false" customWidth="true" hidden="false" outlineLevel="0" max="3" min="3" style="0" width="15.66"/>
    <col collapsed="false" customWidth="true" hidden="false" outlineLevel="0" max="4" min="4" style="0" width="19.66"/>
    <col collapsed="false" customWidth="true" hidden="false" outlineLevel="0" max="5" min="5" style="0" width="20.5"/>
    <col collapsed="false" customWidth="true" hidden="false" outlineLevel="0" max="6" min="6" style="0" width="25.17"/>
    <col collapsed="false" customWidth="true" hidden="false" outlineLevel="0" max="7" min="7" style="0" width="13"/>
    <col collapsed="false" customWidth="true" hidden="false" outlineLevel="0" max="9" min="8" style="0" width="15.66"/>
    <col collapsed="false" customWidth="true" hidden="false" outlineLevel="0" max="10" min="10" style="0" width="12.17"/>
    <col collapsed="false" customWidth="true" hidden="false" outlineLevel="0" max="11" min="11" style="0" width="17.17"/>
    <col collapsed="false" customWidth="true" hidden="false" outlineLevel="0" max="12" min="12" style="0" width="17.66"/>
    <col collapsed="false" customWidth="true" hidden="false" outlineLevel="0" max="13" min="13" style="0" width="31.17"/>
    <col collapsed="false" customWidth="true" hidden="false" outlineLevel="0" max="14" min="14" style="0" width="27.17"/>
  </cols>
  <sheetData>
    <row r="1" customFormat="false" ht="39.6" hidden="false" customHeight="true" outlineLevel="0" collapsed="false">
      <c r="A1" s="563" t="s">
        <v>524</v>
      </c>
      <c r="B1" s="563" t="s">
        <v>580</v>
      </c>
      <c r="C1" s="563" t="s">
        <v>581</v>
      </c>
      <c r="D1" s="563" t="s">
        <v>582</v>
      </c>
      <c r="E1" s="563" t="s">
        <v>252</v>
      </c>
      <c r="F1" s="563" t="s">
        <v>583</v>
      </c>
      <c r="G1" s="563" t="s">
        <v>584</v>
      </c>
      <c r="H1" s="563"/>
      <c r="I1" s="563"/>
      <c r="J1" s="563"/>
      <c r="K1" s="605" t="s">
        <v>585</v>
      </c>
      <c r="L1" s="605"/>
    </row>
    <row r="2" customFormat="false" ht="12.75" hidden="false" customHeight="true" outlineLevel="0" collapsed="false">
      <c r="A2" s="563"/>
      <c r="B2" s="563"/>
      <c r="C2" s="563"/>
      <c r="D2" s="563"/>
      <c r="E2" s="563"/>
      <c r="F2" s="563"/>
      <c r="G2" s="563"/>
      <c r="H2" s="563"/>
      <c r="I2" s="563"/>
      <c r="J2" s="563"/>
      <c r="K2" s="563" t="s">
        <v>586</v>
      </c>
      <c r="L2" s="563" t="s">
        <v>587</v>
      </c>
    </row>
    <row r="3" customFormat="false" ht="13.15" hidden="false" customHeight="false" outlineLevel="0" collapsed="false">
      <c r="A3" s="567" t="s">
        <v>253</v>
      </c>
      <c r="B3" s="606" t="n">
        <f aca="false">'Plant loading'!G4</f>
        <v>164.154</v>
      </c>
      <c r="C3" s="569" t="n">
        <f aca="false">SUM('Plant loading'!J4:J8)</f>
        <v>630</v>
      </c>
      <c r="D3" s="569" t="n">
        <f aca="false">SUM('Plant loading'!L4:L8)</f>
        <v>315</v>
      </c>
      <c r="E3" s="569" t="n">
        <v>630</v>
      </c>
      <c r="F3" s="569" t="n">
        <f aca="false">SUM(E3/2)</f>
        <v>315</v>
      </c>
      <c r="G3" s="569"/>
      <c r="K3" s="607" t="n">
        <f aca="false">SUM(M21:M26)</f>
        <v>680.4</v>
      </c>
      <c r="L3" s="607" t="n">
        <f aca="false">SUM(N21:N26)</f>
        <v>340.2</v>
      </c>
    </row>
    <row r="4" customFormat="false" ht="13.15" hidden="false" customHeight="false" outlineLevel="0" collapsed="false">
      <c r="A4" s="567" t="s">
        <v>254</v>
      </c>
      <c r="B4" s="606" t="n">
        <f aca="false">'Plant loading'!G9</f>
        <v>382.372</v>
      </c>
      <c r="C4" s="569" t="n">
        <f aca="false">SUM('Plant loading'!J9:J16)</f>
        <v>1008</v>
      </c>
      <c r="D4" s="569" t="n">
        <f aca="false">SUM('Plant loading'!L9:L16)</f>
        <v>504</v>
      </c>
      <c r="E4" s="569" t="n">
        <v>1008</v>
      </c>
      <c r="F4" s="569" t="n">
        <f aca="false">SUM(E4/2)</f>
        <v>504</v>
      </c>
      <c r="G4" s="569"/>
      <c r="K4" s="607" t="n">
        <f aca="false">SUM(M27:M34)</f>
        <v>1088.64</v>
      </c>
      <c r="L4" s="607" t="n">
        <f aca="false">SUM(N27:N34)</f>
        <v>544.32</v>
      </c>
    </row>
    <row r="5" customFormat="false" ht="13.15" hidden="false" customHeight="false" outlineLevel="0" collapsed="false">
      <c r="A5" s="567" t="s">
        <v>256</v>
      </c>
      <c r="B5" s="606" t="n">
        <f aca="false">'Plant loading'!G17</f>
        <v>114.123</v>
      </c>
      <c r="C5" s="606" t="n">
        <f aca="false">SUM('Plant loading'!J17:J21)</f>
        <v>630</v>
      </c>
      <c r="D5" s="606" t="n">
        <f aca="false">SUM('Plant loading'!L17:L21)</f>
        <v>315</v>
      </c>
      <c r="E5" s="569" t="n">
        <v>630</v>
      </c>
      <c r="F5" s="569" t="n">
        <f aca="false">SUM(E5/2)</f>
        <v>315</v>
      </c>
      <c r="G5" s="569"/>
      <c r="K5" s="607" t="n">
        <f aca="false">SUM(M35:M39)</f>
        <v>680.4</v>
      </c>
      <c r="L5" s="607" t="n">
        <f aca="false">SUM(N35:N39)</f>
        <v>340.2</v>
      </c>
    </row>
    <row r="6" customFormat="false" ht="13.15" hidden="false" customHeight="false" outlineLevel="0" collapsed="false">
      <c r="A6" s="567" t="s">
        <v>259</v>
      </c>
      <c r="B6" s="606" t="n">
        <f aca="false">'Plant loading'!G22</f>
        <v>294.736</v>
      </c>
      <c r="C6" s="569" t="n">
        <f aca="false">SUM('Plant loading'!J22:J27)</f>
        <v>756</v>
      </c>
      <c r="D6" s="569" t="n">
        <f aca="false">SUM('Plant loading'!L22:L27)</f>
        <v>378</v>
      </c>
      <c r="E6" s="569" t="n">
        <v>756</v>
      </c>
      <c r="F6" s="569" t="n">
        <v>378</v>
      </c>
      <c r="G6" s="569"/>
      <c r="K6" s="607" t="n">
        <f aca="false">SUM(M40:M44)</f>
        <v>680.4</v>
      </c>
      <c r="L6" s="607" t="n">
        <f aca="false">SUM(N40:N44)</f>
        <v>340.2</v>
      </c>
    </row>
    <row r="7" customFormat="false" ht="13.15" hidden="false" customHeight="false" outlineLevel="0" collapsed="false">
      <c r="A7" s="567" t="s">
        <v>261</v>
      </c>
      <c r="B7" s="606" t="n">
        <f aca="false">'Plant loading'!G28</f>
        <v>68.7245</v>
      </c>
      <c r="C7" s="569" t="n">
        <f aca="false">SUM('Plant loading'!J28:J31)</f>
        <v>504</v>
      </c>
      <c r="D7" s="569" t="n">
        <f aca="false">SUM('Plant loading'!L28:L31)</f>
        <v>252</v>
      </c>
      <c r="E7" s="569" t="n">
        <v>600</v>
      </c>
      <c r="F7" s="569" t="n">
        <f aca="false">SUM(E7/2)</f>
        <v>300</v>
      </c>
      <c r="G7" s="569"/>
      <c r="K7" s="607" t="n">
        <f aca="false">SUM(M46:M49)</f>
        <v>544.32</v>
      </c>
      <c r="L7" s="607" t="n">
        <f aca="false">SUM(N46:N49)</f>
        <v>272.16</v>
      </c>
    </row>
    <row r="8" customFormat="false" ht="13.15" hidden="false" customHeight="false" outlineLevel="0" collapsed="false">
      <c r="A8" s="567" t="s">
        <v>263</v>
      </c>
      <c r="B8" s="606" t="n">
        <f aca="false">'Plant loading'!G32</f>
        <v>309.2875</v>
      </c>
      <c r="C8" s="606" t="n">
        <f aca="false">SUM('Plant loading'!J32:J38)</f>
        <v>936</v>
      </c>
      <c r="D8" s="606" t="n">
        <f aca="false">SUM('Plant loading'!L32:L38)</f>
        <v>465</v>
      </c>
      <c r="E8" s="569" t="n">
        <v>930</v>
      </c>
      <c r="F8" s="569" t="n">
        <v>465</v>
      </c>
      <c r="G8" s="569"/>
      <c r="K8" s="607" t="n">
        <f aca="false">SUM(M50:M54)</f>
        <v>680.4</v>
      </c>
      <c r="L8" s="607" t="n">
        <f aca="false">SUM(N50:N54)</f>
        <v>340.2</v>
      </c>
    </row>
    <row r="9" customFormat="false" ht="13.15" hidden="false" customHeight="false" outlineLevel="0" collapsed="false">
      <c r="A9" s="563" t="s">
        <v>265</v>
      </c>
      <c r="B9" s="606" t="n">
        <f aca="false">'Plant loading'!G39</f>
        <v>282.5825</v>
      </c>
      <c r="C9" s="569" t="n">
        <f aca="false">SUM('Plant loading'!J39:J46)</f>
        <v>966</v>
      </c>
      <c r="D9" s="569" t="n">
        <f aca="false">SUM('Plant loading'!L39:L46)</f>
        <v>462</v>
      </c>
      <c r="E9" s="569" t="n">
        <v>960</v>
      </c>
      <c r="F9" s="569" t="n">
        <v>462</v>
      </c>
      <c r="G9" s="569"/>
      <c r="H9" s="569"/>
      <c r="I9" s="569"/>
      <c r="J9" s="569"/>
      <c r="K9" s="607" t="n">
        <f aca="false">SUM(M55:M60)</f>
        <v>855.36</v>
      </c>
      <c r="L9" s="607" t="n">
        <f aca="false">SUM(N55:N60)</f>
        <v>427.68</v>
      </c>
    </row>
    <row r="10" customFormat="false" ht="13.15" hidden="false" customHeight="false" outlineLevel="0" collapsed="false">
      <c r="A10" s="567" t="s">
        <v>266</v>
      </c>
      <c r="B10" s="606" t="n">
        <f aca="false">'Plant loading'!G47</f>
        <v>120.663</v>
      </c>
      <c r="C10" s="569" t="n">
        <f aca="false">SUM('Plant loading'!J47:J55)</f>
        <v>798</v>
      </c>
      <c r="D10" s="569" t="n">
        <f aca="false">SUM('Plant loading'!L47:L55)</f>
        <v>398</v>
      </c>
      <c r="E10" s="569" t="n">
        <v>966</v>
      </c>
      <c r="F10" s="569" t="n">
        <f aca="false">SUM(E10/2)</f>
        <v>483</v>
      </c>
      <c r="G10" s="569"/>
      <c r="H10" s="569"/>
      <c r="I10" s="569"/>
      <c r="J10" s="569"/>
      <c r="K10" s="607" t="n">
        <f aca="false">SUM(M61:M69)</f>
        <v>861.84</v>
      </c>
      <c r="L10" s="607" t="n">
        <f aca="false">SUM(N61:N69)</f>
        <v>430.92</v>
      </c>
    </row>
    <row r="11" customFormat="false" ht="13.15" hidden="false" customHeight="false" outlineLevel="0" collapsed="false">
      <c r="A11" s="567" t="s">
        <v>267</v>
      </c>
      <c r="B11" s="606" t="n">
        <f aca="false">'Plant loading'!G56</f>
        <v>330.3245</v>
      </c>
      <c r="C11" s="569" t="n">
        <f aca="false">SUM('Plant loading'!J56:J63)</f>
        <v>1002</v>
      </c>
      <c r="D11" s="569" t="n">
        <f aca="false">SUM('Plant loading'!L56:L63)</f>
        <v>480</v>
      </c>
      <c r="E11" s="569" t="n">
        <v>956</v>
      </c>
      <c r="F11" s="569" t="n">
        <v>460</v>
      </c>
      <c r="G11" s="569"/>
      <c r="H11" s="569"/>
      <c r="I11" s="569"/>
      <c r="J11" s="569"/>
      <c r="K11" s="607" t="n">
        <f aca="false">SUM(M70:M75)</f>
        <v>855.36</v>
      </c>
      <c r="L11" s="607" t="n">
        <f aca="false">SUM(N70:N75)</f>
        <v>427.68</v>
      </c>
    </row>
    <row r="12" customFormat="false" ht="13.15" hidden="false" customHeight="false" outlineLevel="0" collapsed="false">
      <c r="A12" s="567" t="s">
        <v>268</v>
      </c>
      <c r="B12" s="606" t="n">
        <f aca="false">'Plant loading'!G64</f>
        <v>384.661</v>
      </c>
      <c r="C12" s="569" t="n">
        <f aca="false">SUM('Plant loading'!J64:J71)</f>
        <v>978</v>
      </c>
      <c r="D12" s="569" t="n">
        <f aca="false">SUM('Plant loading'!L64:L71)</f>
        <v>480</v>
      </c>
      <c r="E12" s="569" t="n">
        <v>960</v>
      </c>
      <c r="F12" s="569" t="n">
        <v>481</v>
      </c>
      <c r="G12" s="569"/>
      <c r="K12" s="607" t="n">
        <f aca="false">SUM(M76:M81)</f>
        <v>952.56</v>
      </c>
      <c r="L12" s="607" t="n">
        <f aca="false">SUM(N76:N81)</f>
        <v>476.28</v>
      </c>
    </row>
    <row r="13" customFormat="false" ht="13.15" hidden="false" customHeight="false" outlineLevel="0" collapsed="false">
      <c r="A13" s="567" t="s">
        <v>269</v>
      </c>
      <c r="B13" s="606" t="n">
        <f aca="false">'Plant loading'!G72</f>
        <v>271.737</v>
      </c>
      <c r="C13" s="569" t="n">
        <f aca="false">SUM('Plant loading'!J72:J79)</f>
        <v>978</v>
      </c>
      <c r="D13" s="569" t="n">
        <f aca="false">SUM('Plant loading'!L72:L79)</f>
        <v>465</v>
      </c>
      <c r="E13" s="569" t="n">
        <v>946</v>
      </c>
      <c r="F13" s="569" t="n">
        <v>468</v>
      </c>
      <c r="G13" s="569"/>
      <c r="K13" s="607" t="n">
        <f aca="false">SUM(M82:M87)</f>
        <v>822.96</v>
      </c>
      <c r="L13" s="607" t="n">
        <f aca="false">SUM(N82:N87)</f>
        <v>411.48</v>
      </c>
    </row>
    <row r="14" customFormat="false" ht="13.15" hidden="false" customHeight="false" outlineLevel="0" collapsed="false">
      <c r="A14" s="567" t="s">
        <v>270</v>
      </c>
      <c r="B14" s="606" t="n">
        <f aca="false">'Plant loading'!G80</f>
        <v>100.389</v>
      </c>
      <c r="C14" s="569" t="n">
        <f aca="false">SUM('Plant loading'!J80:J84)</f>
        <v>630</v>
      </c>
      <c r="D14" s="569" t="n">
        <f aca="false">SUM('Plant loading'!L80:L84)</f>
        <v>315</v>
      </c>
      <c r="E14" s="569" t="n">
        <v>630</v>
      </c>
      <c r="F14" s="569" t="n">
        <f aca="false">SUM(E14/2)</f>
        <v>315</v>
      </c>
      <c r="G14" s="569"/>
      <c r="K14" s="607" t="n">
        <f aca="false">SUM(M88:M92)</f>
        <v>680.4</v>
      </c>
      <c r="L14" s="607" t="n">
        <f aca="false">SUM(N88:N92)</f>
        <v>340.2</v>
      </c>
    </row>
    <row r="15" customFormat="false" ht="13.15" hidden="false" customHeight="false" outlineLevel="0" collapsed="false">
      <c r="A15" s="567" t="s">
        <v>271</v>
      </c>
      <c r="B15" s="606" t="n">
        <f aca="false">'Plant loading'!G85</f>
        <v>87.6905</v>
      </c>
      <c r="C15" s="569" t="n">
        <f aca="false">SUM('Plant loading'!J85:J88)</f>
        <v>504</v>
      </c>
      <c r="D15" s="569" t="n">
        <f aca="false">SUM('Plant loading'!L85:L88)</f>
        <v>252</v>
      </c>
      <c r="E15" s="569" t="n">
        <v>600</v>
      </c>
      <c r="F15" s="569" t="n">
        <f aca="false">SUM(E15/2)</f>
        <v>300</v>
      </c>
      <c r="G15" s="569"/>
      <c r="K15" s="607" t="n">
        <f aca="false">SUM(M93:M96)</f>
        <v>544.32</v>
      </c>
      <c r="L15" s="607" t="n">
        <f aca="false">SUM(N93:N96)</f>
        <v>272.16</v>
      </c>
    </row>
    <row r="16" customFormat="false" ht="13.15" hidden="false" customHeight="false" outlineLevel="0" collapsed="false">
      <c r="A16" s="567" t="s">
        <v>272</v>
      </c>
      <c r="B16" s="606" t="n">
        <f aca="false">'Plant loading'!G89</f>
        <v>108.8365</v>
      </c>
      <c r="C16" s="569" t="n">
        <f aca="false">SUM('Plant loading'!J89:J93)</f>
        <v>609</v>
      </c>
      <c r="D16" s="569" t="n">
        <f aca="false">SUM('Plant loading'!L89:L93)</f>
        <v>304</v>
      </c>
      <c r="E16" s="569" t="n">
        <v>609</v>
      </c>
      <c r="F16" s="569" t="n">
        <f aca="false">SUM(E16/2)</f>
        <v>304.5</v>
      </c>
      <c r="G16" s="569"/>
      <c r="K16" s="607" t="n">
        <f aca="false">SUM(M97:M101)</f>
        <v>657.72</v>
      </c>
      <c r="L16" s="607" t="n">
        <f aca="false">SUM(N97:N101)</f>
        <v>328.86</v>
      </c>
    </row>
    <row r="20" customFormat="false" ht="10.15" hidden="false" customHeight="false" outlineLevel="0" collapsed="false">
      <c r="G20" s="608" t="s">
        <v>588</v>
      </c>
      <c r="H20" s="608"/>
      <c r="I20" s="608" t="s">
        <v>589</v>
      </c>
      <c r="J20" s="608"/>
      <c r="K20" s="608" t="s">
        <v>590</v>
      </c>
      <c r="L20" s="608"/>
      <c r="M20" s="608" t="s">
        <v>591</v>
      </c>
      <c r="N20" s="608"/>
    </row>
    <row r="21" customFormat="false" ht="10.15" hidden="false" customHeight="false" outlineLevel="0" collapsed="false">
      <c r="A21" s="609" t="s">
        <v>524</v>
      </c>
      <c r="B21" s="609" t="s">
        <v>592</v>
      </c>
      <c r="C21" s="609" t="s">
        <v>593</v>
      </c>
      <c r="D21" s="609" t="s">
        <v>594</v>
      </c>
      <c r="E21" s="609" t="s">
        <v>595</v>
      </c>
      <c r="F21" s="609" t="s">
        <v>596</v>
      </c>
      <c r="G21" s="609" t="s">
        <v>586</v>
      </c>
      <c r="H21" s="609" t="s">
        <v>587</v>
      </c>
      <c r="I21" s="609" t="s">
        <v>586</v>
      </c>
      <c r="J21" s="609" t="s">
        <v>587</v>
      </c>
      <c r="K21" s="609" t="s">
        <v>586</v>
      </c>
      <c r="L21" s="609" t="s">
        <v>587</v>
      </c>
      <c r="M21" s="609" t="s">
        <v>586</v>
      </c>
      <c r="N21" s="609" t="s">
        <v>587</v>
      </c>
    </row>
    <row r="22" customFormat="false" ht="10.15" hidden="false" customHeight="false" outlineLevel="0" collapsed="false">
      <c r="A22" s="561" t="str">
        <f aca="false">'Plant loading'!A4</f>
        <v>Acton</v>
      </c>
      <c r="B22" s="595" t="str">
        <f aca="false">'Plant loading'!B4</f>
        <v>PEAAN</v>
      </c>
      <c r="C22" s="595" t="str">
        <f aca="false">'Plant loading'!C4</f>
        <v>eSure</v>
      </c>
      <c r="D22" s="595" t="n">
        <f aca="false">'Plant loading'!E4</f>
        <v>584</v>
      </c>
      <c r="E22" s="450" t="n">
        <f aca="false">'Plant loading'!H4</f>
        <v>36</v>
      </c>
      <c r="F22" s="595" t="n">
        <f aca="false">'Plant loading'!I4</f>
        <v>3.5</v>
      </c>
      <c r="G22" s="610" t="n">
        <f aca="false">D22/E22</f>
        <v>16.2222222222222</v>
      </c>
      <c r="H22" s="610" t="n">
        <f aca="false">D22/(E22/2)</f>
        <v>32.4444444444444</v>
      </c>
      <c r="I22" s="449" t="n">
        <f aca="false">IF(AND(C22="eSure",AND(G22&gt;=19.2,G22&lt;=44.8)),0.97,0.92)</f>
        <v>0.92</v>
      </c>
      <c r="J22" s="449" t="n">
        <f aca="false">IF(AND(C22="eSure",AND(H22&gt;=19.2,H22&lt;=44.8)),0.97,0.92)</f>
        <v>0.97</v>
      </c>
      <c r="K22" s="610" t="n">
        <f aca="false">((D22*54.5)/1000)*(1+(1-I22))</f>
        <v>34.37424</v>
      </c>
      <c r="L22" s="610" t="n">
        <f aca="false">((D22*54.5)/1000)*(1+(1-J22))</f>
        <v>32.78284</v>
      </c>
      <c r="M22" s="610" t="n">
        <f aca="false">(E22*F22)*1.08</f>
        <v>136.08</v>
      </c>
      <c r="N22" s="610" t="n">
        <f aca="false">((E22/2)*F22)*1.08</f>
        <v>68.04</v>
      </c>
    </row>
    <row r="23" customFormat="false" ht="10.15" hidden="false" customHeight="false" outlineLevel="0" collapsed="false">
      <c r="A23" s="561" t="str">
        <f aca="false">'Plant loading'!A5</f>
        <v>Acton</v>
      </c>
      <c r="B23" s="595" t="str">
        <f aca="false">'Plant loading'!B5</f>
        <v>PEBAN</v>
      </c>
      <c r="C23" s="595" t="str">
        <f aca="false">'Plant loading'!C5</f>
        <v>eSure</v>
      </c>
      <c r="D23" s="595" t="n">
        <f aca="false">'Plant loading'!E5</f>
        <v>547</v>
      </c>
      <c r="E23" s="450" t="n">
        <f aca="false">'Plant loading'!H5</f>
        <v>36</v>
      </c>
      <c r="F23" s="595" t="n">
        <f aca="false">'Plant loading'!I5</f>
        <v>3.5</v>
      </c>
      <c r="G23" s="610" t="n">
        <f aca="false">D23/E23</f>
        <v>15.1944444444444</v>
      </c>
      <c r="H23" s="610" t="n">
        <f aca="false">D23/(E23/2)</f>
        <v>30.3888888888889</v>
      </c>
      <c r="I23" s="449" t="n">
        <f aca="false">IF(AND(C23="eSure",AND(G23&gt;=19.2,G23&lt;=44.8)),0.97,0.92)</f>
        <v>0.92</v>
      </c>
      <c r="J23" s="449" t="n">
        <f aca="false">IF(AND(C23="eSure",AND(H23&gt;=19.2,H23&lt;=44.8)),0.97,0.92)</f>
        <v>0.97</v>
      </c>
      <c r="K23" s="610" t="n">
        <f aca="false">((D23*54.5)/1000)*(1+(1-I23))</f>
        <v>32.19642</v>
      </c>
      <c r="L23" s="610" t="n">
        <f aca="false">((D23*54.5)/1000)*(1+(1-J23))</f>
        <v>30.705845</v>
      </c>
      <c r="M23" s="610" t="n">
        <f aca="false">(E23*F23)*1.08</f>
        <v>136.08</v>
      </c>
      <c r="N23" s="610" t="n">
        <f aca="false">((E23/2)*F23)*1.08</f>
        <v>68.04</v>
      </c>
    </row>
    <row r="24" customFormat="false" ht="10.15" hidden="false" customHeight="false" outlineLevel="0" collapsed="false">
      <c r="A24" s="561" t="str">
        <f aca="false">'Plant loading'!A6</f>
        <v>Acton</v>
      </c>
      <c r="B24" s="595" t="str">
        <f aca="false">'Plant loading'!B6</f>
        <v>PECAN</v>
      </c>
      <c r="C24" s="595" t="str">
        <f aca="false">'Plant loading'!C6</f>
        <v>eSure</v>
      </c>
      <c r="D24" s="595" t="n">
        <f aca="false">'Plant loading'!E6</f>
        <v>449</v>
      </c>
      <c r="E24" s="450" t="n">
        <f aca="false">'Plant loading'!H6</f>
        <v>36</v>
      </c>
      <c r="F24" s="595" t="n">
        <f aca="false">'Plant loading'!I6</f>
        <v>3.5</v>
      </c>
      <c r="G24" s="610" t="n">
        <f aca="false">D24/E24</f>
        <v>12.4722222222222</v>
      </c>
      <c r="H24" s="610" t="n">
        <f aca="false">D24/(E24/2)</f>
        <v>24.9444444444444</v>
      </c>
      <c r="I24" s="449" t="n">
        <f aca="false">IF(AND(C24="eSure",AND(G24&gt;=19.2,G24&lt;=44.8)),0.97,0.92)</f>
        <v>0.92</v>
      </c>
      <c r="J24" s="449" t="n">
        <f aca="false">IF(AND(C24="eSure",AND(H24&gt;=19.2,H24&lt;=44.8)),0.97,0.92)</f>
        <v>0.97</v>
      </c>
      <c r="K24" s="610" t="n">
        <f aca="false">((D24*54.5)/1000)*(1+(1-I24))</f>
        <v>26.42814</v>
      </c>
      <c r="L24" s="610" t="n">
        <f aca="false">((D24*54.5)/1000)*(1+(1-J24))</f>
        <v>25.204615</v>
      </c>
      <c r="M24" s="610" t="n">
        <f aca="false">(E24*F24)*1.08</f>
        <v>136.08</v>
      </c>
      <c r="N24" s="610" t="n">
        <f aca="false">((E24/2)*F24)*1.08</f>
        <v>68.04</v>
      </c>
    </row>
    <row r="25" customFormat="false" ht="10.15" hidden="false" customHeight="false" outlineLevel="0" collapsed="false">
      <c r="A25" s="561" t="str">
        <f aca="false">'Plant loading'!A7</f>
        <v>Acton</v>
      </c>
      <c r="B25" s="595" t="str">
        <f aca="false">'Plant loading'!B7</f>
        <v>PEFAN</v>
      </c>
      <c r="C25" s="595" t="str">
        <f aca="false">'Plant loading'!C7</f>
        <v>eSure</v>
      </c>
      <c r="D25" s="595" t="n">
        <f aca="false">'Plant loading'!E7</f>
        <v>693</v>
      </c>
      <c r="E25" s="450" t="n">
        <f aca="false">'Plant loading'!H7</f>
        <v>36</v>
      </c>
      <c r="F25" s="595" t="n">
        <f aca="false">'Plant loading'!I7</f>
        <v>3.5</v>
      </c>
      <c r="G25" s="610" t="n">
        <f aca="false">D25/E25</f>
        <v>19.25</v>
      </c>
      <c r="H25" s="610" t="n">
        <f aca="false">D25/(E25/2)</f>
        <v>38.5</v>
      </c>
      <c r="I25" s="449" t="n">
        <f aca="false">IF(AND(C25="eSure",AND(G25&gt;=19.2,G25&lt;=44.8)),0.97,0.92)</f>
        <v>0.97</v>
      </c>
      <c r="J25" s="449" t="n">
        <f aca="false">IF(AND(C25="eSure",AND(H25&gt;=19.2,H25&lt;=44.8)),0.97,0.92)</f>
        <v>0.97</v>
      </c>
      <c r="K25" s="610" t="n">
        <f aca="false">((D25*54.5)/1000)*(1+(1-I25))</f>
        <v>38.901555</v>
      </c>
      <c r="L25" s="610" t="n">
        <f aca="false">((D25*54.5)/1000)*(1+(1-J25))</f>
        <v>38.901555</v>
      </c>
      <c r="M25" s="610" t="n">
        <f aca="false">(E25*F25)*1.08</f>
        <v>136.08</v>
      </c>
      <c r="N25" s="610" t="n">
        <f aca="false">((E25/2)*F25)*1.08</f>
        <v>68.04</v>
      </c>
    </row>
    <row r="26" customFormat="false" ht="10.15" hidden="false" customHeight="false" outlineLevel="0" collapsed="false">
      <c r="A26" s="561" t="str">
        <f aca="false">'Plant loading'!A8</f>
        <v>Acton</v>
      </c>
      <c r="B26" s="595" t="str">
        <f aca="false">'Plant loading'!B8</f>
        <v>PEGAN</v>
      </c>
      <c r="C26" s="595" t="str">
        <f aca="false">'Plant loading'!C8</f>
        <v>eSure</v>
      </c>
      <c r="D26" s="595" t="n">
        <f aca="false">'Plant loading'!E8</f>
        <v>739</v>
      </c>
      <c r="E26" s="450" t="n">
        <f aca="false">'Plant loading'!H8</f>
        <v>36</v>
      </c>
      <c r="F26" s="595" t="n">
        <f aca="false">'Plant loading'!I8</f>
        <v>3.5</v>
      </c>
      <c r="G26" s="610" t="n">
        <f aca="false">D26/E26</f>
        <v>20.5277777777778</v>
      </c>
      <c r="H26" s="610" t="n">
        <f aca="false">D26/(E26/2)</f>
        <v>41.0555555555556</v>
      </c>
      <c r="I26" s="449" t="n">
        <f aca="false">IF(AND(C26="eSure",AND(G26&gt;=19.2,G26&lt;=44.8)),0.97,0.92)</f>
        <v>0.97</v>
      </c>
      <c r="J26" s="449" t="n">
        <f aca="false">IF(AND(C26="eSure",AND(H26&gt;=19.2,H26&lt;=44.8)),0.97,0.92)</f>
        <v>0.97</v>
      </c>
      <c r="K26" s="610" t="n">
        <f aca="false">((D26*54.5)/1000)*(1+(1-I26))</f>
        <v>41.483765</v>
      </c>
      <c r="L26" s="610" t="n">
        <f aca="false">((D26*54.5)/1000)*(1+(1-J26))</f>
        <v>41.483765</v>
      </c>
      <c r="M26" s="610" t="n">
        <f aca="false">(E26*F26)*1.08</f>
        <v>136.08</v>
      </c>
      <c r="N26" s="610" t="n">
        <f aca="false">((E26/2)*F26)*1.08</f>
        <v>68.04</v>
      </c>
    </row>
    <row r="27" customFormat="false" ht="10.15" hidden="false" customHeight="false" outlineLevel="0" collapsed="false">
      <c r="A27" s="561" t="str">
        <f aca="false">'Plant loading'!A9</f>
        <v>Basingstoke</v>
      </c>
      <c r="B27" s="595" t="str">
        <f aca="false">'Plant loading'!B9</f>
        <v>PEABE</v>
      </c>
      <c r="C27" s="595" t="str">
        <f aca="false">'Plant loading'!C9</f>
        <v>eSure</v>
      </c>
      <c r="D27" s="595" t="n">
        <f aca="false">'Plant loading'!E9</f>
        <v>759</v>
      </c>
      <c r="E27" s="450" t="n">
        <f aca="false">'Plant loading'!H9</f>
        <v>36</v>
      </c>
      <c r="F27" s="595" t="n">
        <f aca="false">'Plant loading'!I9</f>
        <v>3.5</v>
      </c>
      <c r="G27" s="610" t="n">
        <f aca="false">D27/E27</f>
        <v>21.0833333333333</v>
      </c>
      <c r="H27" s="610" t="n">
        <f aca="false">D27/(E27/2)</f>
        <v>42.1666666666667</v>
      </c>
      <c r="I27" s="449" t="n">
        <f aca="false">IF(AND(C27="eSure",AND(G27&gt;=19.2,G27&lt;=44.8)),0.97,0.92)</f>
        <v>0.97</v>
      </c>
      <c r="J27" s="449" t="n">
        <f aca="false">IF(AND(C27="eSure",AND(H27&gt;=19.2,H27&lt;=44.8)),0.97,0.92)</f>
        <v>0.97</v>
      </c>
      <c r="K27" s="610" t="n">
        <f aca="false">((D27*54.5)/1000)*(1+(1-I27))</f>
        <v>42.606465</v>
      </c>
      <c r="L27" s="610" t="n">
        <f aca="false">((D27*54.5)/1000)*(1+(1-J27))</f>
        <v>42.606465</v>
      </c>
      <c r="M27" s="610" t="n">
        <f aca="false">(E27*F27)*1.08</f>
        <v>136.08</v>
      </c>
      <c r="N27" s="610" t="n">
        <f aca="false">((E27/2)*F27)*1.08</f>
        <v>68.04</v>
      </c>
    </row>
    <row r="28" customFormat="false" ht="10.15" hidden="false" customHeight="false" outlineLevel="0" collapsed="false">
      <c r="A28" s="561" t="str">
        <f aca="false">'Plant loading'!A10</f>
        <v>Basingstoke</v>
      </c>
      <c r="B28" s="595" t="str">
        <f aca="false">'Plant loading'!B10</f>
        <v>PEBBE</v>
      </c>
      <c r="C28" s="595" t="str">
        <f aca="false">'Plant loading'!C10</f>
        <v>eSure</v>
      </c>
      <c r="D28" s="595" t="n">
        <f aca="false">'Plant loading'!E10</f>
        <v>902</v>
      </c>
      <c r="E28" s="450" t="n">
        <f aca="false">'Plant loading'!H10</f>
        <v>36</v>
      </c>
      <c r="F28" s="595" t="n">
        <f aca="false">'Plant loading'!I10</f>
        <v>3.5</v>
      </c>
      <c r="G28" s="610" t="n">
        <f aca="false">D28/E28</f>
        <v>25.0555555555556</v>
      </c>
      <c r="H28" s="610" t="n">
        <f aca="false">D28/(E28/2)</f>
        <v>50.1111111111111</v>
      </c>
      <c r="I28" s="449" t="n">
        <f aca="false">IF(AND(C28="eSure",AND(G28&gt;=19.2,G28&lt;=44.8)),0.97,0.92)</f>
        <v>0.97</v>
      </c>
      <c r="J28" s="449" t="n">
        <f aca="false">IF(AND(C28="eSure",AND(H28&gt;=19.2,H28&lt;=44.8)),0.97,0.92)</f>
        <v>0.92</v>
      </c>
      <c r="K28" s="610" t="n">
        <f aca="false">((D28*54.5)/1000)*(1+(1-I28))</f>
        <v>50.63377</v>
      </c>
      <c r="L28" s="610" t="n">
        <f aca="false">((D28*54.5)/1000)*(1+(1-J28))</f>
        <v>53.09172</v>
      </c>
      <c r="M28" s="610" t="n">
        <f aca="false">(E28*F28)*1.08</f>
        <v>136.08</v>
      </c>
      <c r="N28" s="610" t="n">
        <f aca="false">((E28/2)*F28)*1.08</f>
        <v>68.04</v>
      </c>
    </row>
    <row r="29" customFormat="false" ht="10.15" hidden="false" customHeight="false" outlineLevel="0" collapsed="false">
      <c r="A29" s="561" t="str">
        <f aca="false">'Plant loading'!A11</f>
        <v>Basingstoke</v>
      </c>
      <c r="B29" s="595" t="str">
        <f aca="false">'Plant loading'!B11</f>
        <v>PECBE</v>
      </c>
      <c r="C29" s="595" t="str">
        <f aca="false">'Plant loading'!C11</f>
        <v>eSure</v>
      </c>
      <c r="D29" s="595" t="n">
        <f aca="false">'Plant loading'!E11</f>
        <v>849</v>
      </c>
      <c r="E29" s="450" t="n">
        <f aca="false">'Plant loading'!H11</f>
        <v>36</v>
      </c>
      <c r="F29" s="595" t="n">
        <f aca="false">'Plant loading'!I11</f>
        <v>3.5</v>
      </c>
      <c r="G29" s="610" t="n">
        <f aca="false">D29/E29</f>
        <v>23.5833333333333</v>
      </c>
      <c r="H29" s="610" t="n">
        <f aca="false">D29/(E29/2)</f>
        <v>47.1666666666667</v>
      </c>
      <c r="I29" s="449" t="n">
        <f aca="false">IF(AND(C29="eSure",AND(G29&gt;=19.2,G29&lt;=44.8)),0.97,0.92)</f>
        <v>0.97</v>
      </c>
      <c r="J29" s="449" t="n">
        <f aca="false">IF(AND(C29="eSure",AND(H29&gt;=19.2,H29&lt;=44.8)),0.97,0.92)</f>
        <v>0.92</v>
      </c>
      <c r="K29" s="610" t="n">
        <f aca="false">((D29*54.5)/1000)*(1+(1-I29))</f>
        <v>47.658615</v>
      </c>
      <c r="L29" s="610" t="n">
        <f aca="false">((D29*54.5)/1000)*(1+(1-J29))</f>
        <v>49.97214</v>
      </c>
      <c r="M29" s="610" t="n">
        <f aca="false">(E29*F29)*1.08</f>
        <v>136.08</v>
      </c>
      <c r="N29" s="610" t="n">
        <f aca="false">((E29/2)*F29)*1.08</f>
        <v>68.04</v>
      </c>
    </row>
    <row r="30" customFormat="false" ht="10.15" hidden="false" customHeight="false" outlineLevel="0" collapsed="false">
      <c r="A30" s="561" t="str">
        <f aca="false">'Plant loading'!A12</f>
        <v>Basingstoke</v>
      </c>
      <c r="B30" s="595" t="str">
        <f aca="false">'Plant loading'!B12</f>
        <v>PEEBE</v>
      </c>
      <c r="C30" s="595" t="str">
        <f aca="false">'Plant loading'!C12</f>
        <v>eSure</v>
      </c>
      <c r="D30" s="595" t="n">
        <f aca="false">'Plant loading'!E12</f>
        <v>895</v>
      </c>
      <c r="E30" s="450" t="n">
        <f aca="false">'Plant loading'!H12</f>
        <v>36</v>
      </c>
      <c r="F30" s="595" t="n">
        <f aca="false">'Plant loading'!I12</f>
        <v>3.5</v>
      </c>
      <c r="G30" s="610" t="n">
        <f aca="false">D30/E30</f>
        <v>24.8611111111111</v>
      </c>
      <c r="H30" s="610" t="n">
        <f aca="false">D30/(E30/2)</f>
        <v>49.7222222222222</v>
      </c>
      <c r="I30" s="449" t="n">
        <f aca="false">IF(AND(C30="eSure",AND(G30&gt;=19.2,G30&lt;=44.8)),0.97,0.92)</f>
        <v>0.97</v>
      </c>
      <c r="J30" s="449" t="n">
        <f aca="false">IF(AND(C30="eSure",AND(H30&gt;=19.2,H30&lt;=44.8)),0.97,0.92)</f>
        <v>0.92</v>
      </c>
      <c r="K30" s="610" t="n">
        <f aca="false">((D30*54.5)/1000)*(1+(1-I30))</f>
        <v>50.240825</v>
      </c>
      <c r="L30" s="610" t="n">
        <f aca="false">((D30*54.5)/1000)*(1+(1-J30))</f>
        <v>52.6797</v>
      </c>
      <c r="M30" s="610" t="n">
        <f aca="false">(E30*F30)*1.08</f>
        <v>136.08</v>
      </c>
      <c r="N30" s="610" t="n">
        <f aca="false">((E30/2)*F30)*1.08</f>
        <v>68.04</v>
      </c>
    </row>
    <row r="31" customFormat="false" ht="10.15" hidden="false" customHeight="false" outlineLevel="0" collapsed="false">
      <c r="A31" s="561" t="str">
        <f aca="false">'Plant loading'!A13</f>
        <v>Basingstoke</v>
      </c>
      <c r="B31" s="595" t="str">
        <f aca="false">'Plant loading'!B13</f>
        <v>PEFBE</v>
      </c>
      <c r="C31" s="595" t="str">
        <f aca="false">'Plant loading'!C13</f>
        <v>eSure</v>
      </c>
      <c r="D31" s="595" t="n">
        <f aca="false">'Plant loading'!E13</f>
        <v>856</v>
      </c>
      <c r="E31" s="450" t="n">
        <f aca="false">'Plant loading'!H13</f>
        <v>36</v>
      </c>
      <c r="F31" s="595" t="n">
        <f aca="false">'Plant loading'!I13</f>
        <v>3.5</v>
      </c>
      <c r="G31" s="610" t="n">
        <f aca="false">D31/E31</f>
        <v>23.7777777777778</v>
      </c>
      <c r="H31" s="610" t="n">
        <f aca="false">D31/(E31/2)</f>
        <v>47.5555555555556</v>
      </c>
      <c r="I31" s="449" t="n">
        <f aca="false">IF(AND(C31="eSure",AND(G31&gt;=19.2,G31&lt;=44.8)),0.97,0.92)</f>
        <v>0.97</v>
      </c>
      <c r="J31" s="449" t="n">
        <f aca="false">IF(AND(C31="eSure",AND(H31&gt;=19.2,H31&lt;=44.8)),0.97,0.92)</f>
        <v>0.92</v>
      </c>
      <c r="K31" s="610" t="n">
        <f aca="false">((D31*54.5)/1000)*(1+(1-I31))</f>
        <v>48.05156</v>
      </c>
      <c r="L31" s="610" t="n">
        <f aca="false">((D31*54.5)/1000)*(1+(1-J31))</f>
        <v>50.38416</v>
      </c>
      <c r="M31" s="610" t="n">
        <f aca="false">(E31*F31)*1.08</f>
        <v>136.08</v>
      </c>
      <c r="N31" s="610" t="n">
        <f aca="false">((E31/2)*F31)*1.08</f>
        <v>68.04</v>
      </c>
    </row>
    <row r="32" customFormat="false" ht="10.15" hidden="false" customHeight="false" outlineLevel="0" collapsed="false">
      <c r="A32" s="561" t="str">
        <f aca="false">'Plant loading'!A14</f>
        <v>Basingstoke</v>
      </c>
      <c r="B32" s="595" t="str">
        <f aca="false">'Plant loading'!B14</f>
        <v>PEGBE</v>
      </c>
      <c r="C32" s="595" t="str">
        <f aca="false">'Plant loading'!C14</f>
        <v>eSure</v>
      </c>
      <c r="D32" s="595" t="n">
        <f aca="false">'Plant loading'!E14</f>
        <v>935</v>
      </c>
      <c r="E32" s="450" t="n">
        <f aca="false">'Plant loading'!H14</f>
        <v>36</v>
      </c>
      <c r="F32" s="595" t="n">
        <f aca="false">'Plant loading'!I14</f>
        <v>3.5</v>
      </c>
      <c r="G32" s="610" t="n">
        <f aca="false">D32/E32</f>
        <v>25.9722222222222</v>
      </c>
      <c r="H32" s="610" t="n">
        <f aca="false">D32/(E32/2)</f>
        <v>51.9444444444444</v>
      </c>
      <c r="I32" s="449" t="n">
        <f aca="false">IF(AND(C32="eSure",AND(G32&gt;=19.2,G32&lt;=44.8)),0.97,0.92)</f>
        <v>0.97</v>
      </c>
      <c r="J32" s="449" t="n">
        <f aca="false">IF(AND(C32="eSure",AND(H32&gt;=19.2,H32&lt;=44.8)),0.97,0.92)</f>
        <v>0.92</v>
      </c>
      <c r="K32" s="610" t="n">
        <f aca="false">((D32*54.5)/1000)*(1+(1-I32))</f>
        <v>52.486225</v>
      </c>
      <c r="L32" s="610" t="n">
        <f aca="false">((D32*54.5)/1000)*(1+(1-J32))</f>
        <v>55.0341</v>
      </c>
      <c r="M32" s="610" t="n">
        <f aca="false">(E32*F32)*1.08</f>
        <v>136.08</v>
      </c>
      <c r="N32" s="610" t="n">
        <f aca="false">((E32/2)*F32)*1.08</f>
        <v>68.04</v>
      </c>
    </row>
    <row r="33" customFormat="false" ht="10.15" hidden="false" customHeight="false" outlineLevel="0" collapsed="false">
      <c r="A33" s="561" t="str">
        <f aca="false">'Plant loading'!A15</f>
        <v>Basingstoke</v>
      </c>
      <c r="B33" s="595" t="str">
        <f aca="false">'Plant loading'!B15</f>
        <v>PEHBE</v>
      </c>
      <c r="C33" s="595" t="str">
        <f aca="false">'Plant loading'!C15</f>
        <v>eSure</v>
      </c>
      <c r="D33" s="595" t="n">
        <f aca="false">'Plant loading'!E15</f>
        <v>886</v>
      </c>
      <c r="E33" s="450" t="n">
        <f aca="false">'Plant loading'!H15</f>
        <v>36</v>
      </c>
      <c r="F33" s="595" t="n">
        <f aca="false">'Plant loading'!I15</f>
        <v>3.5</v>
      </c>
      <c r="G33" s="610" t="n">
        <f aca="false">D33/E33</f>
        <v>24.6111111111111</v>
      </c>
      <c r="H33" s="610" t="n">
        <f aca="false">D33/(E33/2)</f>
        <v>49.2222222222222</v>
      </c>
      <c r="I33" s="449" t="n">
        <f aca="false">IF(AND(C33="eSure",AND(G33&gt;=19.2,G33&lt;=44.8)),0.97,0.92)</f>
        <v>0.97</v>
      </c>
      <c r="J33" s="449" t="n">
        <f aca="false">IF(AND(C33="eSure",AND(H33&gt;=19.2,H33&lt;=44.8)),0.97,0.92)</f>
        <v>0.92</v>
      </c>
      <c r="K33" s="610" t="n">
        <f aca="false">((D33*54.5)/1000)*(1+(1-I33))</f>
        <v>49.73561</v>
      </c>
      <c r="L33" s="610" t="n">
        <f aca="false">((D33*54.5)/1000)*(1+(1-J33))</f>
        <v>52.14996</v>
      </c>
      <c r="M33" s="610" t="n">
        <f aca="false">(E33*F33)*1.08</f>
        <v>136.08</v>
      </c>
      <c r="N33" s="610" t="n">
        <f aca="false">((E33/2)*F33)*1.08</f>
        <v>68.04</v>
      </c>
    </row>
    <row r="34" customFormat="false" ht="10.15" hidden="false" customHeight="false" outlineLevel="0" collapsed="false">
      <c r="A34" s="561" t="str">
        <f aca="false">'Plant loading'!A16</f>
        <v>Basingstoke</v>
      </c>
      <c r="B34" s="595" t="str">
        <f aca="false">'Plant loading'!B16</f>
        <v>PEIBE</v>
      </c>
      <c r="C34" s="595" t="str">
        <f aca="false">'Plant loading'!C16</f>
        <v>eSure</v>
      </c>
      <c r="D34" s="595" t="n">
        <f aca="false">'Plant loading'!E16</f>
        <v>934</v>
      </c>
      <c r="E34" s="450" t="n">
        <f aca="false">'Plant loading'!H16</f>
        <v>36</v>
      </c>
      <c r="F34" s="595" t="n">
        <f aca="false">'Plant loading'!I16</f>
        <v>3.5</v>
      </c>
      <c r="G34" s="610" t="n">
        <f aca="false">D34/E34</f>
        <v>25.9444444444444</v>
      </c>
      <c r="H34" s="610" t="n">
        <f aca="false">D34/(E34/2)</f>
        <v>51.8888888888889</v>
      </c>
      <c r="I34" s="449" t="n">
        <f aca="false">IF(AND(C34="eSure",AND(G34&gt;=19.2,G34&lt;=44.8)),0.97,0.92)</f>
        <v>0.97</v>
      </c>
      <c r="J34" s="449" t="n">
        <f aca="false">IF(AND(C34="eSure",AND(H34&gt;=19.2,H34&lt;=44.8)),0.97,0.92)</f>
        <v>0.92</v>
      </c>
      <c r="K34" s="610" t="n">
        <f aca="false">((D34*54.5)/1000)*(1+(1-I34))</f>
        <v>52.43009</v>
      </c>
      <c r="L34" s="610" t="n">
        <f aca="false">((D34*54.5)/1000)*(1+(1-J34))</f>
        <v>54.97524</v>
      </c>
      <c r="M34" s="610" t="n">
        <f aca="false">(E34*F34)*1.08</f>
        <v>136.08</v>
      </c>
      <c r="N34" s="610" t="n">
        <f aca="false">((E34/2)*F34)*1.08</f>
        <v>68.04</v>
      </c>
    </row>
    <row r="35" customFormat="false" ht="10.15" hidden="false" customHeight="false" outlineLevel="0" collapsed="false">
      <c r="A35" s="561" t="str">
        <f aca="false">'Plant loading'!A17</f>
        <v>Crawley</v>
      </c>
      <c r="B35" s="595" t="str">
        <f aca="false">'Plant loading'!B17</f>
        <v>PEACY</v>
      </c>
      <c r="C35" s="595" t="str">
        <f aca="false">'Plant loading'!C17</f>
        <v>eSure</v>
      </c>
      <c r="D35" s="595" t="n">
        <f aca="false">'Plant loading'!E17</f>
        <v>331</v>
      </c>
      <c r="E35" s="450" t="n">
        <f aca="false">'Plant loading'!H17</f>
        <v>36</v>
      </c>
      <c r="F35" s="595" t="n">
        <f aca="false">'Plant loading'!I17</f>
        <v>3.5</v>
      </c>
      <c r="G35" s="610" t="n">
        <f aca="false">D35/E35</f>
        <v>9.19444444444444</v>
      </c>
      <c r="H35" s="610" t="n">
        <f aca="false">D35/(E35/2)</f>
        <v>18.3888888888889</v>
      </c>
      <c r="I35" s="449" t="n">
        <f aca="false">IF(AND(C35="eSure",AND(G35&gt;=19.2,G35&lt;=44.8)),0.97,0.92)</f>
        <v>0.92</v>
      </c>
      <c r="J35" s="449" t="n">
        <f aca="false">IF(AND(C35="eSure",AND(H35&gt;=19.2,H35&lt;=44.8)),0.97,0.92)</f>
        <v>0.92</v>
      </c>
      <c r="K35" s="610" t="n">
        <f aca="false">((D35*54.5)/1000)*(1+(1-I35))</f>
        <v>19.48266</v>
      </c>
      <c r="L35" s="610" t="n">
        <f aca="false">((D35*54.5)/1000)*(1+(1-J35))</f>
        <v>19.48266</v>
      </c>
      <c r="M35" s="610" t="n">
        <f aca="false">(E35*F35)*1.08</f>
        <v>136.08</v>
      </c>
      <c r="N35" s="610" t="n">
        <f aca="false">((E35/2)*F35)*1.08</f>
        <v>68.04</v>
      </c>
    </row>
    <row r="36" customFormat="false" ht="10.15" hidden="false" customHeight="false" outlineLevel="0" collapsed="false">
      <c r="A36" s="561" t="str">
        <f aca="false">'Plant loading'!A18</f>
        <v>Crawley</v>
      </c>
      <c r="B36" s="595" t="str">
        <f aca="false">'Plant loading'!B18</f>
        <v>PEBCY</v>
      </c>
      <c r="C36" s="595" t="str">
        <f aca="false">'Plant loading'!C18</f>
        <v>eSure</v>
      </c>
      <c r="D36" s="595" t="n">
        <f aca="false">'Plant loading'!E18</f>
        <v>381</v>
      </c>
      <c r="E36" s="450" t="n">
        <f aca="false">'Plant loading'!H18</f>
        <v>36</v>
      </c>
      <c r="F36" s="595" t="n">
        <f aca="false">'Plant loading'!I18</f>
        <v>3.5</v>
      </c>
      <c r="G36" s="610" t="n">
        <f aca="false">D36/E36</f>
        <v>10.5833333333333</v>
      </c>
      <c r="H36" s="610" t="n">
        <f aca="false">D36/(E36/2)</f>
        <v>21.1666666666667</v>
      </c>
      <c r="I36" s="449" t="n">
        <f aca="false">IF(AND(C36="eSure",AND(G36&gt;=19.2,G36&lt;=44.8)),0.97,0.92)</f>
        <v>0.92</v>
      </c>
      <c r="J36" s="449" t="n">
        <f aca="false">IF(AND(C36="eSure",AND(H36&gt;=19.2,H36&lt;=44.8)),0.97,0.92)</f>
        <v>0.97</v>
      </c>
      <c r="K36" s="610" t="n">
        <f aca="false">((D36*54.5)/1000)*(1+(1-I36))</f>
        <v>22.42566</v>
      </c>
      <c r="L36" s="610" t="n">
        <f aca="false">((D36*54.5)/1000)*(1+(1-J36))</f>
        <v>21.387435</v>
      </c>
      <c r="M36" s="610" t="n">
        <f aca="false">(E36*F36)*1.08</f>
        <v>136.08</v>
      </c>
      <c r="N36" s="610" t="n">
        <f aca="false">((E36/2)*F36)*1.08</f>
        <v>68.04</v>
      </c>
    </row>
    <row r="37" customFormat="false" ht="10.15" hidden="false" customHeight="false" outlineLevel="0" collapsed="false">
      <c r="A37" s="561" t="str">
        <f aca="false">'Plant loading'!A19</f>
        <v>Crawley</v>
      </c>
      <c r="B37" s="595" t="str">
        <f aca="false">'Plant loading'!B19</f>
        <v>PECCY</v>
      </c>
      <c r="C37" s="595" t="str">
        <f aca="false">'Plant loading'!C19</f>
        <v>eSure</v>
      </c>
      <c r="D37" s="595" t="n">
        <f aca="false">'Plant loading'!E19</f>
        <v>606</v>
      </c>
      <c r="E37" s="450" t="n">
        <f aca="false">'Plant loading'!H19</f>
        <v>36</v>
      </c>
      <c r="F37" s="595" t="n">
        <f aca="false">'Plant loading'!I19</f>
        <v>3.5</v>
      </c>
      <c r="G37" s="610" t="n">
        <f aca="false">D37/E37</f>
        <v>16.8333333333333</v>
      </c>
      <c r="H37" s="610" t="n">
        <f aca="false">D37/(E37/2)</f>
        <v>33.6666666666667</v>
      </c>
      <c r="I37" s="449" t="n">
        <f aca="false">IF(AND(C37="eSure",AND(G37&gt;=19.2,G37&lt;=44.8)),0.97,0.92)</f>
        <v>0.92</v>
      </c>
      <c r="J37" s="449" t="n">
        <f aca="false">IF(AND(C37="eSure",AND(H37&gt;=19.2,H37&lt;=44.8)),0.97,0.92)</f>
        <v>0.97</v>
      </c>
      <c r="K37" s="610" t="n">
        <f aca="false">((D37*54.5)/1000)*(1+(1-I37))</f>
        <v>35.66916</v>
      </c>
      <c r="L37" s="610" t="n">
        <f aca="false">((D37*54.5)/1000)*(1+(1-J37))</f>
        <v>34.01781</v>
      </c>
      <c r="M37" s="610" t="n">
        <f aca="false">(E37*F37)*1.08</f>
        <v>136.08</v>
      </c>
      <c r="N37" s="610" t="n">
        <f aca="false">((E37/2)*F37)*1.08</f>
        <v>68.04</v>
      </c>
    </row>
    <row r="38" customFormat="false" ht="10.15" hidden="false" customHeight="false" outlineLevel="0" collapsed="false">
      <c r="A38" s="561" t="str">
        <f aca="false">'Plant loading'!A20</f>
        <v>Crawley</v>
      </c>
      <c r="B38" s="595" t="str">
        <f aca="false">'Plant loading'!B20</f>
        <v>PEDCY</v>
      </c>
      <c r="C38" s="595" t="str">
        <f aca="false">'Plant loading'!C20</f>
        <v>eSure</v>
      </c>
      <c r="D38" s="595" t="n">
        <f aca="false">'Plant loading'!E20</f>
        <v>485</v>
      </c>
      <c r="E38" s="450" t="n">
        <f aca="false">'Plant loading'!H20</f>
        <v>36</v>
      </c>
      <c r="F38" s="595" t="n">
        <f aca="false">'Plant loading'!I20</f>
        <v>3.5</v>
      </c>
      <c r="G38" s="610" t="n">
        <f aca="false">D38/E38</f>
        <v>13.4722222222222</v>
      </c>
      <c r="H38" s="610" t="n">
        <f aca="false">D38/(E38/2)</f>
        <v>26.9444444444444</v>
      </c>
      <c r="I38" s="449" t="n">
        <f aca="false">IF(AND(C38="eSure",AND(G38&gt;=19.2,G38&lt;=44.8)),0.97,0.92)</f>
        <v>0.92</v>
      </c>
      <c r="J38" s="449" t="n">
        <f aca="false">IF(AND(C38="eSure",AND(H38&gt;=19.2,H38&lt;=44.8)),0.97,0.92)</f>
        <v>0.97</v>
      </c>
      <c r="K38" s="610" t="n">
        <f aca="false">((D38*54.5)/1000)*(1+(1-I38))</f>
        <v>28.5471</v>
      </c>
      <c r="L38" s="610" t="n">
        <f aca="false">((D38*54.5)/1000)*(1+(1-J38))</f>
        <v>27.225475</v>
      </c>
      <c r="M38" s="610" t="n">
        <f aca="false">(E38*F38)*1.08</f>
        <v>136.08</v>
      </c>
      <c r="N38" s="610" t="n">
        <f aca="false">((E38/2)*F38)*1.08</f>
        <v>68.04</v>
      </c>
    </row>
    <row r="39" customFormat="false" ht="10.15" hidden="false" customHeight="false" outlineLevel="0" collapsed="false">
      <c r="A39" s="561" t="str">
        <f aca="false">'Plant loading'!A21</f>
        <v>Crawley</v>
      </c>
      <c r="B39" s="595" t="str">
        <f aca="false">'Plant loading'!B21</f>
        <v>PEECY</v>
      </c>
      <c r="C39" s="595" t="str">
        <f aca="false">'Plant loading'!C21</f>
        <v>eSure</v>
      </c>
      <c r="D39" s="595" t="n">
        <f aca="false">'Plant loading'!E21</f>
        <v>291</v>
      </c>
      <c r="E39" s="450" t="n">
        <f aca="false">'Plant loading'!H21</f>
        <v>36</v>
      </c>
      <c r="F39" s="595" t="n">
        <f aca="false">'Plant loading'!I21</f>
        <v>3.5</v>
      </c>
      <c r="G39" s="610" t="n">
        <f aca="false">D39/E39</f>
        <v>8.08333333333333</v>
      </c>
      <c r="H39" s="610" t="n">
        <f aca="false">D39/(E39/2)</f>
        <v>16.1666666666667</v>
      </c>
      <c r="I39" s="449" t="n">
        <f aca="false">IF(AND(C39="eSure",AND(G39&gt;=19.2,G39&lt;=44.8)),0.97,0.92)</f>
        <v>0.92</v>
      </c>
      <c r="J39" s="449" t="n">
        <f aca="false">IF(AND(C39="eSure",AND(H39&gt;=19.2,H39&lt;=44.8)),0.97,0.92)</f>
        <v>0.92</v>
      </c>
      <c r="K39" s="610" t="n">
        <f aca="false">((D39*54.5)/1000)*(1+(1-I39))</f>
        <v>17.12826</v>
      </c>
      <c r="L39" s="610" t="n">
        <f aca="false">((D39*54.5)/1000)*(1+(1-J39))</f>
        <v>17.12826</v>
      </c>
      <c r="M39" s="610" t="n">
        <f aca="false">(E39*F39)*1.08</f>
        <v>136.08</v>
      </c>
      <c r="N39" s="610" t="n">
        <f aca="false">((E39/2)*F39)*1.08</f>
        <v>68.04</v>
      </c>
    </row>
    <row r="40" customFormat="false" ht="10.15" hidden="false" customHeight="false" outlineLevel="0" collapsed="false">
      <c r="A40" s="561" t="str">
        <f aca="false">'Plant loading'!A22</f>
        <v>Edinburgh</v>
      </c>
      <c r="B40" s="595" t="str">
        <f aca="false">'Plant loading'!B22</f>
        <v>PECEH</v>
      </c>
      <c r="C40" s="595" t="str">
        <f aca="false">'Plant loading'!C22</f>
        <v>eSure</v>
      </c>
      <c r="D40" s="595" t="n">
        <f aca="false">'Plant loading'!E22</f>
        <v>881</v>
      </c>
      <c r="E40" s="450" t="n">
        <f aca="false">'Plant loading'!H22</f>
        <v>36</v>
      </c>
      <c r="F40" s="595" t="n">
        <f aca="false">'Plant loading'!I22</f>
        <v>3.5</v>
      </c>
      <c r="G40" s="610" t="n">
        <f aca="false">D40/E40</f>
        <v>24.4722222222222</v>
      </c>
      <c r="H40" s="610" t="n">
        <f aca="false">D40/(E40/2)</f>
        <v>48.9444444444444</v>
      </c>
      <c r="I40" s="449" t="n">
        <f aca="false">IF(AND(C40="eSure",AND(G40&gt;=19.2,G40&lt;=44.8)),0.97,0.92)</f>
        <v>0.97</v>
      </c>
      <c r="J40" s="449" t="n">
        <f aca="false">IF(AND(C40="eSure",AND(H40&gt;=19.2,H40&lt;=44.8)),0.97,0.92)</f>
        <v>0.92</v>
      </c>
      <c r="K40" s="610" t="n">
        <f aca="false">((D40*54.5)/1000)*(1+(1-I40))</f>
        <v>49.454935</v>
      </c>
      <c r="L40" s="610" t="n">
        <f aca="false">((D40*54.5)/1000)*(1+(1-J40))</f>
        <v>51.85566</v>
      </c>
      <c r="M40" s="610" t="n">
        <f aca="false">(E40*F40)*1.08</f>
        <v>136.08</v>
      </c>
      <c r="N40" s="610" t="n">
        <f aca="false">((E40/2)*F40)*1.08</f>
        <v>68.04</v>
      </c>
    </row>
    <row r="41" customFormat="false" ht="10.15" hidden="false" customHeight="false" outlineLevel="0" collapsed="false">
      <c r="A41" s="561" t="str">
        <f aca="false">'Plant loading'!A23</f>
        <v>Edinburgh</v>
      </c>
      <c r="B41" s="595" t="str">
        <f aca="false">'Plant loading'!B23</f>
        <v>PEDEH</v>
      </c>
      <c r="C41" s="595" t="str">
        <f aca="false">'Plant loading'!C23</f>
        <v>eSure</v>
      </c>
      <c r="D41" s="595" t="n">
        <f aca="false">'Plant loading'!E23</f>
        <v>950</v>
      </c>
      <c r="E41" s="450" t="n">
        <f aca="false">'Plant loading'!H23</f>
        <v>36</v>
      </c>
      <c r="F41" s="595" t="n">
        <f aca="false">'Plant loading'!I23</f>
        <v>3.5</v>
      </c>
      <c r="G41" s="610" t="n">
        <f aca="false">D41/E41</f>
        <v>26.3888888888889</v>
      </c>
      <c r="H41" s="610" t="n">
        <f aca="false">D41/(E41/2)</f>
        <v>52.7777777777778</v>
      </c>
      <c r="I41" s="449" t="n">
        <f aca="false">IF(AND(C41="eSure",AND(G41&gt;=19.2,G41&lt;=44.8)),0.97,0.92)</f>
        <v>0.97</v>
      </c>
      <c r="J41" s="449" t="n">
        <f aca="false">IF(AND(C41="eSure",AND(H41&gt;=19.2,H41&lt;=44.8)),0.97,0.92)</f>
        <v>0.92</v>
      </c>
      <c r="K41" s="610" t="n">
        <f aca="false">((D41*54.5)/1000)*(1+(1-I41))</f>
        <v>53.32825</v>
      </c>
      <c r="L41" s="610" t="n">
        <f aca="false">((D41*54.5)/1000)*(1+(1-J41))</f>
        <v>55.917</v>
      </c>
      <c r="M41" s="610" t="n">
        <f aca="false">(E41*F41)*1.08</f>
        <v>136.08</v>
      </c>
      <c r="N41" s="610" t="n">
        <f aca="false">((E41/2)*F41)*1.08</f>
        <v>68.04</v>
      </c>
    </row>
    <row r="42" customFormat="false" ht="10.15" hidden="false" customHeight="false" outlineLevel="0" collapsed="false">
      <c r="A42" s="561" t="str">
        <f aca="false">'Plant loading'!A24</f>
        <v>Edinburgh</v>
      </c>
      <c r="B42" s="595" t="str">
        <f aca="false">'Plant loading'!B24</f>
        <v>PEEEH</v>
      </c>
      <c r="C42" s="595" t="str">
        <f aca="false">'Plant loading'!C24</f>
        <v>eSure</v>
      </c>
      <c r="D42" s="595" t="n">
        <f aca="false">'Plant loading'!E24</f>
        <v>857</v>
      </c>
      <c r="E42" s="450" t="n">
        <f aca="false">'Plant loading'!H24</f>
        <v>36</v>
      </c>
      <c r="F42" s="595" t="n">
        <f aca="false">'Plant loading'!I24</f>
        <v>3.5</v>
      </c>
      <c r="G42" s="610" t="n">
        <f aca="false">D42/E42</f>
        <v>23.8055555555556</v>
      </c>
      <c r="H42" s="610" t="n">
        <f aca="false">D42/(E42/2)</f>
        <v>47.6111111111111</v>
      </c>
      <c r="I42" s="449" t="n">
        <f aca="false">IF(AND(C42="eSure",AND(G42&gt;=19.2,G42&lt;=44.8)),0.97,0.92)</f>
        <v>0.97</v>
      </c>
      <c r="J42" s="449" t="n">
        <f aca="false">IF(AND(C42="eSure",AND(H42&gt;=19.2,H42&lt;=44.8)),0.97,0.92)</f>
        <v>0.92</v>
      </c>
      <c r="K42" s="610" t="n">
        <f aca="false">((D42*54.5)/1000)*(1+(1-I42))</f>
        <v>48.107695</v>
      </c>
      <c r="L42" s="610" t="n">
        <f aca="false">((D42*54.5)/1000)*(1+(1-J42))</f>
        <v>50.44302</v>
      </c>
      <c r="M42" s="610" t="n">
        <f aca="false">(E42*F42)*1.08</f>
        <v>136.08</v>
      </c>
      <c r="N42" s="610" t="n">
        <f aca="false">((E42/2)*F42)*1.08</f>
        <v>68.04</v>
      </c>
    </row>
    <row r="43" customFormat="false" ht="10.15" hidden="false" customHeight="false" outlineLevel="0" collapsed="false">
      <c r="A43" s="561" t="str">
        <f aca="false">'Plant loading'!A25</f>
        <v>Edinburgh</v>
      </c>
      <c r="B43" s="595" t="str">
        <f aca="false">'Plant loading'!B25</f>
        <v>PEFEH</v>
      </c>
      <c r="C43" s="595" t="str">
        <f aca="false">'Plant loading'!C25</f>
        <v>eSure</v>
      </c>
      <c r="D43" s="595" t="n">
        <f aca="false">'Plant loading'!E25</f>
        <v>874</v>
      </c>
      <c r="E43" s="450" t="n">
        <f aca="false">'Plant loading'!H25</f>
        <v>36</v>
      </c>
      <c r="F43" s="595" t="n">
        <f aca="false">'Plant loading'!I25</f>
        <v>3.5</v>
      </c>
      <c r="G43" s="610" t="n">
        <f aca="false">D43/E43</f>
        <v>24.2777777777778</v>
      </c>
      <c r="H43" s="610" t="n">
        <f aca="false">D43/(E43/2)</f>
        <v>48.5555555555556</v>
      </c>
      <c r="I43" s="449" t="n">
        <f aca="false">IF(AND(C43="eSure",AND(G43&gt;=19.2,G43&lt;=44.8)),0.97,0.92)</f>
        <v>0.97</v>
      </c>
      <c r="J43" s="449" t="n">
        <f aca="false">IF(AND(C43="eSure",AND(H43&gt;=19.2,H43&lt;=44.8)),0.97,0.92)</f>
        <v>0.92</v>
      </c>
      <c r="K43" s="610" t="n">
        <f aca="false">((D43*54.5)/1000)*(1+(1-I43))</f>
        <v>49.06199</v>
      </c>
      <c r="L43" s="610" t="n">
        <f aca="false">((D43*54.5)/1000)*(1+(1-J43))</f>
        <v>51.44364</v>
      </c>
      <c r="M43" s="610" t="n">
        <f aca="false">(E43*F43)*1.08</f>
        <v>136.08</v>
      </c>
      <c r="N43" s="610" t="n">
        <f aca="false">((E43/2)*F43)*1.08</f>
        <v>68.04</v>
      </c>
    </row>
    <row r="44" customFormat="false" ht="10.15" hidden="false" customHeight="false" outlineLevel="0" collapsed="false">
      <c r="A44" s="561" t="str">
        <f aca="false">'Plant loading'!A26</f>
        <v>Edinburgh</v>
      </c>
      <c r="B44" s="595" t="str">
        <f aca="false">'Plant loading'!B26</f>
        <v>PEGEH</v>
      </c>
      <c r="C44" s="595" t="str">
        <f aca="false">'Plant loading'!C26</f>
        <v>eSure</v>
      </c>
      <c r="D44" s="595" t="n">
        <f aca="false">'Plant loading'!E26</f>
        <v>928</v>
      </c>
      <c r="E44" s="450" t="n">
        <f aca="false">'Plant loading'!H26</f>
        <v>36</v>
      </c>
      <c r="F44" s="595" t="n">
        <f aca="false">'Plant loading'!I26</f>
        <v>3.5</v>
      </c>
      <c r="G44" s="610" t="n">
        <f aca="false">D44/E44</f>
        <v>25.7777777777778</v>
      </c>
      <c r="H44" s="610" t="n">
        <f aca="false">D44/(E44/2)</f>
        <v>51.5555555555556</v>
      </c>
      <c r="I44" s="449" t="n">
        <f aca="false">IF(AND(C44="eSure",AND(G44&gt;=19.2,G44&lt;=44.8)),0.97,0.92)</f>
        <v>0.97</v>
      </c>
      <c r="J44" s="449" t="n">
        <f aca="false">IF(AND(C44="eSure",AND(H44&gt;=19.2,H44&lt;=44.8)),0.97,0.92)</f>
        <v>0.92</v>
      </c>
      <c r="K44" s="610" t="n">
        <f aca="false">((D44*54.5)/1000)*(1+(1-I44))</f>
        <v>52.09328</v>
      </c>
      <c r="L44" s="610" t="n">
        <f aca="false">((D44*54.5)/1000)*(1+(1-J44))</f>
        <v>54.62208</v>
      </c>
      <c r="M44" s="610" t="n">
        <f aca="false">(E44*F44)*1.08</f>
        <v>136.08</v>
      </c>
      <c r="N44" s="610" t="n">
        <f aca="false">((E44/2)*F44)*1.08</f>
        <v>68.04</v>
      </c>
    </row>
    <row r="45" customFormat="false" ht="10.15" hidden="false" customHeight="false" outlineLevel="0" collapsed="false">
      <c r="A45" s="561" t="s">
        <v>77</v>
      </c>
      <c r="B45" s="595" t="str">
        <f aca="false">'Plant loading'!B27</f>
        <v>PEHEH</v>
      </c>
      <c r="C45" s="595" t="str">
        <f aca="false">'Plant loading'!C27</f>
        <v>eSure</v>
      </c>
      <c r="D45" s="595" t="n">
        <f aca="false">'Plant loading'!E27</f>
        <v>918</v>
      </c>
      <c r="E45" s="450" t="n">
        <f aca="false">'Plant loading'!H27</f>
        <v>36</v>
      </c>
      <c r="F45" s="595" t="n">
        <f aca="false">'Plant loading'!I27</f>
        <v>3.5</v>
      </c>
      <c r="G45" s="610" t="n">
        <f aca="false">D45/E45</f>
        <v>25.5</v>
      </c>
      <c r="H45" s="610" t="n">
        <f aca="false">D45/(E45/2)</f>
        <v>51</v>
      </c>
      <c r="I45" s="449" t="n">
        <f aca="false">IF(AND(C45="eSure",AND(G45&gt;=19.2,G45&lt;=44.8)),0.97,0.92)</f>
        <v>0.97</v>
      </c>
      <c r="J45" s="449" t="n">
        <f aca="false">IF(AND(C45="eSure",AND(H45&gt;=19.2,H45&lt;=44.8)),0.97,0.92)</f>
        <v>0.92</v>
      </c>
      <c r="K45" s="610" t="n">
        <f aca="false">((D45*54.5)/1000)*(1+(1-I45))</f>
        <v>51.53193</v>
      </c>
      <c r="L45" s="610" t="n">
        <f aca="false">((D45*54.5)/1000)*(1+(1-J45))</f>
        <v>54.03348</v>
      </c>
      <c r="M45" s="610" t="n">
        <f aca="false">(E45*F45)*1.08</f>
        <v>136.08</v>
      </c>
      <c r="N45" s="610" t="n">
        <f aca="false">((E45/2)*F45)*1.08</f>
        <v>68.04</v>
      </c>
    </row>
    <row r="46" customFormat="false" ht="10.15" hidden="false" customHeight="false" outlineLevel="0" collapsed="false">
      <c r="A46" s="561" t="str">
        <f aca="false">'Plant loading'!A28</f>
        <v>Esher</v>
      </c>
      <c r="B46" s="595" t="str">
        <f aca="false">'Plant loading'!B28</f>
        <v>PEDER</v>
      </c>
      <c r="C46" s="595" t="str">
        <f aca="false">'Plant loading'!C28</f>
        <v>eSure</v>
      </c>
      <c r="D46" s="595" t="n">
        <f aca="false">'Plant loading'!E28</f>
        <v>379</v>
      </c>
      <c r="E46" s="450" t="n">
        <f aca="false">'Plant loading'!H28</f>
        <v>36</v>
      </c>
      <c r="F46" s="595" t="n">
        <f aca="false">'Plant loading'!I28</f>
        <v>3.5</v>
      </c>
      <c r="G46" s="610" t="n">
        <f aca="false">D46/E46</f>
        <v>10.5277777777778</v>
      </c>
      <c r="H46" s="610" t="n">
        <f aca="false">D46/(E46/2)</f>
        <v>21.0555555555556</v>
      </c>
      <c r="I46" s="449" t="n">
        <f aca="false">IF(AND(C46="eSure",AND(G46&gt;=19.2,G46&lt;=44.8)),0.97,0.92)</f>
        <v>0.92</v>
      </c>
      <c r="J46" s="449" t="n">
        <f aca="false">IF(AND(C46="eSure",AND(H46&gt;=19.2,H46&lt;=44.8)),0.97,0.92)</f>
        <v>0.97</v>
      </c>
      <c r="K46" s="610" t="n">
        <f aca="false">((D46*54.5)/1000)*(1+(1-I46))</f>
        <v>22.30794</v>
      </c>
      <c r="L46" s="610" t="n">
        <f aca="false">((D46*54.5)/1000)*(1+(1-J46))</f>
        <v>21.275165</v>
      </c>
      <c r="M46" s="610" t="n">
        <f aca="false">(E46*F46)*1.08</f>
        <v>136.08</v>
      </c>
      <c r="N46" s="610" t="n">
        <f aca="false">((E46/2)*F46)*1.08</f>
        <v>68.04</v>
      </c>
    </row>
    <row r="47" customFormat="false" ht="10.15" hidden="false" customHeight="false" outlineLevel="0" collapsed="false">
      <c r="A47" s="561" t="str">
        <f aca="false">'Plant loading'!A29</f>
        <v>Esher</v>
      </c>
      <c r="B47" s="595" t="str">
        <f aca="false">'Plant loading'!B29</f>
        <v>PEEER</v>
      </c>
      <c r="C47" s="595" t="str">
        <f aca="false">'Plant loading'!C29</f>
        <v>eSure</v>
      </c>
      <c r="D47" s="595" t="n">
        <f aca="false">'Plant loading'!E29</f>
        <v>303</v>
      </c>
      <c r="E47" s="450" t="n">
        <f aca="false">'Plant loading'!H29</f>
        <v>36</v>
      </c>
      <c r="F47" s="595" t="n">
        <f aca="false">'Plant loading'!I29</f>
        <v>3.5</v>
      </c>
      <c r="G47" s="610" t="n">
        <f aca="false">D47/E47</f>
        <v>8.41666666666667</v>
      </c>
      <c r="H47" s="610" t="n">
        <f aca="false">D47/(E47/2)</f>
        <v>16.8333333333333</v>
      </c>
      <c r="I47" s="449" t="n">
        <f aca="false">IF(AND(C47="eSure",AND(G47&gt;=19.2,G47&lt;=44.8)),0.97,0.92)</f>
        <v>0.92</v>
      </c>
      <c r="J47" s="449" t="n">
        <f aca="false">IF(AND(C47="eSure",AND(H47&gt;=19.2,H47&lt;=44.8)),0.97,0.92)</f>
        <v>0.92</v>
      </c>
      <c r="K47" s="610" t="n">
        <f aca="false">((D47*54.5)/1000)*(1+(1-I47))</f>
        <v>17.83458</v>
      </c>
      <c r="L47" s="610" t="n">
        <f aca="false">((D47*54.5)/1000)*(1+(1-J47))</f>
        <v>17.83458</v>
      </c>
      <c r="M47" s="610" t="n">
        <f aca="false">(E47*F47)*1.08</f>
        <v>136.08</v>
      </c>
      <c r="N47" s="610" t="n">
        <f aca="false">((E47/2)*F47)*1.08</f>
        <v>68.04</v>
      </c>
    </row>
    <row r="48" customFormat="false" ht="10.15" hidden="false" customHeight="false" outlineLevel="0" collapsed="false">
      <c r="A48" s="561" t="str">
        <f aca="false">'Plant loading'!A30</f>
        <v>Esher</v>
      </c>
      <c r="B48" s="595" t="str">
        <f aca="false">'Plant loading'!B30</f>
        <v>PEFER</v>
      </c>
      <c r="C48" s="595" t="str">
        <f aca="false">'Plant loading'!C30</f>
        <v>eSure</v>
      </c>
      <c r="D48" s="595" t="n">
        <f aca="false">'Plant loading'!E30</f>
        <v>360</v>
      </c>
      <c r="E48" s="450" t="n">
        <f aca="false">'Plant loading'!H30</f>
        <v>36</v>
      </c>
      <c r="F48" s="595" t="n">
        <f aca="false">'Plant loading'!I30</f>
        <v>3.5</v>
      </c>
      <c r="G48" s="610" t="n">
        <f aca="false">D48/E48</f>
        <v>10</v>
      </c>
      <c r="H48" s="610" t="n">
        <f aca="false">D48/(E48/2)</f>
        <v>20</v>
      </c>
      <c r="I48" s="449" t="n">
        <f aca="false">IF(AND(C48="eSure",AND(G48&gt;=19.2,G48&lt;=44.8)),0.97,0.92)</f>
        <v>0.92</v>
      </c>
      <c r="J48" s="449" t="n">
        <f aca="false">IF(AND(C48="eSure",AND(H48&gt;=19.2,H48&lt;=44.8)),0.97,0.92)</f>
        <v>0.97</v>
      </c>
      <c r="K48" s="610" t="n">
        <f aca="false">((D48*54.5)/1000)*(1+(1-I48))</f>
        <v>21.1896</v>
      </c>
      <c r="L48" s="610" t="n">
        <f aca="false">((D48*54.5)/1000)*(1+(1-J48))</f>
        <v>20.2086</v>
      </c>
      <c r="M48" s="610" t="n">
        <f aca="false">(E48*F48)*1.08</f>
        <v>136.08</v>
      </c>
      <c r="N48" s="610" t="n">
        <f aca="false">((E48/2)*F48)*1.08</f>
        <v>68.04</v>
      </c>
    </row>
    <row r="49" customFormat="false" ht="10.15" hidden="false" customHeight="false" outlineLevel="0" collapsed="false">
      <c r="A49" s="561" t="str">
        <f aca="false">'Plant loading'!A31</f>
        <v>Esher</v>
      </c>
      <c r="B49" s="595" t="str">
        <f aca="false">'Plant loading'!B31</f>
        <v>PEGER</v>
      </c>
      <c r="C49" s="595" t="str">
        <f aca="false">'Plant loading'!C31</f>
        <v>eSure</v>
      </c>
      <c r="D49" s="595" t="n">
        <f aca="false">'Plant loading'!E31</f>
        <v>219</v>
      </c>
      <c r="E49" s="450" t="n">
        <f aca="false">'Plant loading'!H31</f>
        <v>36</v>
      </c>
      <c r="F49" s="595" t="n">
        <f aca="false">'Plant loading'!I31</f>
        <v>3.5</v>
      </c>
      <c r="G49" s="610" t="n">
        <f aca="false">D49/E49</f>
        <v>6.08333333333333</v>
      </c>
      <c r="H49" s="610" t="n">
        <f aca="false">D49/(E49/2)</f>
        <v>12.1666666666667</v>
      </c>
      <c r="I49" s="449" t="n">
        <f aca="false">IF(AND(C49="eSure",AND(G49&gt;=19.2,G49&lt;=44.8)),0.97,0.92)</f>
        <v>0.92</v>
      </c>
      <c r="J49" s="449" t="n">
        <f aca="false">IF(AND(C49="eSure",AND(H49&gt;=19.2,H49&lt;=44.8)),0.97,0.92)</f>
        <v>0.92</v>
      </c>
      <c r="K49" s="610" t="n">
        <f aca="false">((D49*54.5)/1000)*(1+(1-I49))</f>
        <v>12.89034</v>
      </c>
      <c r="L49" s="610" t="n">
        <f aca="false">((D49*54.5)/1000)*(1+(1-J49))</f>
        <v>12.89034</v>
      </c>
      <c r="M49" s="610" t="n">
        <f aca="false">(E49*F49)*1.08</f>
        <v>136.08</v>
      </c>
      <c r="N49" s="610" t="n">
        <f aca="false">((E49/2)*F49)*1.08</f>
        <v>68.04</v>
      </c>
    </row>
    <row r="50" customFormat="false" ht="10.15" hidden="false" customHeight="false" outlineLevel="0" collapsed="false">
      <c r="A50" s="561" t="str">
        <f aca="false">'Plant loading'!A32</f>
        <v>Gloucester</v>
      </c>
      <c r="B50" s="595" t="str">
        <f aca="false">'Plant loading'!B32</f>
        <v>PEAGR</v>
      </c>
      <c r="C50" s="595" t="str">
        <f aca="false">'Plant loading'!C32</f>
        <v>eSure</v>
      </c>
      <c r="D50" s="595" t="n">
        <f aca="false">'Plant loading'!E32</f>
        <v>665</v>
      </c>
      <c r="E50" s="450" t="n">
        <f aca="false">'Plant loading'!H32</f>
        <v>36</v>
      </c>
      <c r="F50" s="595" t="n">
        <f aca="false">'Plant loading'!I32</f>
        <v>3.5</v>
      </c>
      <c r="G50" s="610" t="n">
        <f aca="false">D50/E50</f>
        <v>18.4722222222222</v>
      </c>
      <c r="H50" s="610" t="n">
        <f aca="false">D50/(E50/2)</f>
        <v>36.9444444444444</v>
      </c>
      <c r="I50" s="449" t="n">
        <f aca="false">IF(AND(C50="eSure",AND(G50&gt;=19.2,G50&lt;=44.8)),0.97,0.92)</f>
        <v>0.92</v>
      </c>
      <c r="J50" s="449" t="n">
        <f aca="false">IF(AND(C50="eSure",AND(H50&gt;=19.2,H50&lt;=44.8)),0.97,0.92)</f>
        <v>0.97</v>
      </c>
      <c r="K50" s="610" t="n">
        <f aca="false">((D50*54.5)/1000)*(1+(1-I50))</f>
        <v>39.1419</v>
      </c>
      <c r="L50" s="610" t="n">
        <f aca="false">((D50*54.5)/1000)*(1+(1-J50))</f>
        <v>37.329775</v>
      </c>
      <c r="M50" s="610" t="n">
        <f aca="false">(E50*F50)*1.08</f>
        <v>136.08</v>
      </c>
      <c r="N50" s="610" t="n">
        <f aca="false">((E50/2)*F50)*1.08</f>
        <v>68.04</v>
      </c>
    </row>
    <row r="51" customFormat="false" ht="10.15" hidden="false" customHeight="false" outlineLevel="0" collapsed="false">
      <c r="A51" s="561" t="str">
        <f aca="false">'Plant loading'!A33</f>
        <v>Gloucester</v>
      </c>
      <c r="B51" s="595" t="str">
        <f aca="false">'Plant loading'!B33</f>
        <v>PEBGR</v>
      </c>
      <c r="C51" s="595" t="str">
        <f aca="false">'Plant loading'!C33</f>
        <v>eSure</v>
      </c>
      <c r="D51" s="595" t="n">
        <f aca="false">'Plant loading'!E33</f>
        <v>828</v>
      </c>
      <c r="E51" s="450" t="n">
        <f aca="false">'Plant loading'!H33</f>
        <v>36</v>
      </c>
      <c r="F51" s="595" t="n">
        <f aca="false">'Plant loading'!I33</f>
        <v>3.5</v>
      </c>
      <c r="G51" s="610" t="n">
        <f aca="false">D51/E51</f>
        <v>23</v>
      </c>
      <c r="H51" s="610" t="n">
        <f aca="false">D51/(E51/2)</f>
        <v>46</v>
      </c>
      <c r="I51" s="449" t="n">
        <f aca="false">IF(AND(C51="eSure",AND(G51&gt;=19.2,G51&lt;=44.8)),0.97,0.92)</f>
        <v>0.97</v>
      </c>
      <c r="J51" s="449" t="n">
        <f aca="false">IF(AND(C51="eSure",AND(H51&gt;=19.2,H51&lt;=44.8)),0.97,0.92)</f>
        <v>0.92</v>
      </c>
      <c r="K51" s="610" t="n">
        <f aca="false">((D51*54.5)/1000)*(1+(1-I51))</f>
        <v>46.47978</v>
      </c>
      <c r="L51" s="610" t="n">
        <f aca="false">((D51*54.5)/1000)*(1+(1-J51))</f>
        <v>48.73608</v>
      </c>
      <c r="M51" s="610" t="n">
        <f aca="false">(E51*F51)*1.08</f>
        <v>136.08</v>
      </c>
      <c r="N51" s="610" t="n">
        <f aca="false">((E51/2)*F51)*1.08</f>
        <v>68.04</v>
      </c>
    </row>
    <row r="52" customFormat="false" ht="10.15" hidden="false" customHeight="false" outlineLevel="0" collapsed="false">
      <c r="A52" s="561" t="str">
        <f aca="false">'Plant loading'!A34</f>
        <v>Gloucester</v>
      </c>
      <c r="B52" s="595" t="str">
        <f aca="false">'Plant loading'!B34</f>
        <v>PECGR</v>
      </c>
      <c r="C52" s="595" t="str">
        <f aca="false">'Plant loading'!C34</f>
        <v>eSure</v>
      </c>
      <c r="D52" s="595" t="n">
        <f aca="false">'Plant loading'!E34</f>
        <v>758</v>
      </c>
      <c r="E52" s="450" t="n">
        <f aca="false">'Plant loading'!H34</f>
        <v>36</v>
      </c>
      <c r="F52" s="595" t="n">
        <f aca="false">'Plant loading'!I34</f>
        <v>3.5</v>
      </c>
      <c r="G52" s="610" t="n">
        <f aca="false">D52/E52</f>
        <v>21.0555555555556</v>
      </c>
      <c r="H52" s="610" t="n">
        <f aca="false">D52/(E52/2)</f>
        <v>42.1111111111111</v>
      </c>
      <c r="I52" s="449" t="n">
        <f aca="false">IF(AND(C52="eSure",AND(G52&gt;=19.2,G52&lt;=44.8)),0.97,0.92)</f>
        <v>0.97</v>
      </c>
      <c r="J52" s="449" t="n">
        <f aca="false">IF(AND(C52="eSure",AND(H52&gt;=19.2,H52&lt;=44.8)),0.97,0.92)</f>
        <v>0.97</v>
      </c>
      <c r="K52" s="610" t="n">
        <f aca="false">((D52*54.5)/1000)*(1+(1-I52))</f>
        <v>42.55033</v>
      </c>
      <c r="L52" s="610" t="n">
        <f aca="false">((D52*54.5)/1000)*(1+(1-J52))</f>
        <v>42.55033</v>
      </c>
      <c r="M52" s="610" t="n">
        <f aca="false">(E52*F52)*1.08</f>
        <v>136.08</v>
      </c>
      <c r="N52" s="610" t="n">
        <f aca="false">((E52/2)*F52)*1.08</f>
        <v>68.04</v>
      </c>
    </row>
    <row r="53" customFormat="false" ht="10.15" hidden="false" customHeight="false" outlineLevel="0" collapsed="false">
      <c r="A53" s="561" t="str">
        <f aca="false">'Plant loading'!A35</f>
        <v>Gloucester</v>
      </c>
      <c r="B53" s="595" t="str">
        <f aca="false">'Plant loading'!B35</f>
        <v>PEDGR</v>
      </c>
      <c r="C53" s="595" t="str">
        <f aca="false">'Plant loading'!C35</f>
        <v>eSure</v>
      </c>
      <c r="D53" s="595" t="n">
        <f aca="false">'Plant loading'!E35</f>
        <v>758</v>
      </c>
      <c r="E53" s="450" t="n">
        <f aca="false">'Plant loading'!H35</f>
        <v>36</v>
      </c>
      <c r="F53" s="595" t="n">
        <f aca="false">'Plant loading'!I35</f>
        <v>3.5</v>
      </c>
      <c r="G53" s="610" t="n">
        <f aca="false">D53/E53</f>
        <v>21.0555555555556</v>
      </c>
      <c r="H53" s="610" t="n">
        <f aca="false">D53/(E53/2)</f>
        <v>42.1111111111111</v>
      </c>
      <c r="I53" s="449" t="n">
        <f aca="false">IF(AND(C53="eSure",AND(G53&gt;=19.2,G53&lt;=44.8)),0.97,0.92)</f>
        <v>0.97</v>
      </c>
      <c r="J53" s="449" t="n">
        <f aca="false">IF(AND(C53="eSure",AND(H53&gt;=19.2,H53&lt;=44.8)),0.97,0.92)</f>
        <v>0.97</v>
      </c>
      <c r="K53" s="610" t="n">
        <f aca="false">((D53*54.5)/1000)*(1+(1-I53))</f>
        <v>42.55033</v>
      </c>
      <c r="L53" s="610" t="n">
        <f aca="false">((D53*54.5)/1000)*(1+(1-J53))</f>
        <v>42.55033</v>
      </c>
      <c r="M53" s="610" t="n">
        <f aca="false">(E53*F53)*1.08</f>
        <v>136.08</v>
      </c>
      <c r="N53" s="610" t="n">
        <f aca="false">((E53/2)*F53)*1.08</f>
        <v>68.04</v>
      </c>
    </row>
    <row r="54" customFormat="false" ht="10.15" hidden="false" customHeight="false" outlineLevel="0" collapsed="false">
      <c r="A54" s="561" t="str">
        <f aca="false">'Plant loading'!A36</f>
        <v>Gloucester</v>
      </c>
      <c r="B54" s="595" t="str">
        <f aca="false">'Plant loading'!B36</f>
        <v>PEEGR</v>
      </c>
      <c r="C54" s="595" t="str">
        <f aca="false">'Plant loading'!C36</f>
        <v>eSure</v>
      </c>
      <c r="D54" s="595" t="n">
        <f aca="false">'Plant loading'!E36</f>
        <v>761</v>
      </c>
      <c r="E54" s="450" t="n">
        <f aca="false">'Plant loading'!H36</f>
        <v>36</v>
      </c>
      <c r="F54" s="595" t="n">
        <f aca="false">'Plant loading'!I36</f>
        <v>3.5</v>
      </c>
      <c r="G54" s="610" t="n">
        <f aca="false">D54/E54</f>
        <v>21.1388888888889</v>
      </c>
      <c r="H54" s="610" t="n">
        <f aca="false">D54/(E54/2)</f>
        <v>42.2777777777778</v>
      </c>
      <c r="I54" s="449" t="n">
        <f aca="false">IF(AND(C54="eSure",AND(G54&gt;=19.2,G54&lt;=44.8)),0.97,0.92)</f>
        <v>0.97</v>
      </c>
      <c r="J54" s="449" t="n">
        <f aca="false">IF(AND(C54="eSure",AND(H54&gt;=19.2,H54&lt;=44.8)),0.97,0.92)</f>
        <v>0.97</v>
      </c>
      <c r="K54" s="610" t="n">
        <f aca="false">((D54*54.5)/1000)*(1+(1-I54))</f>
        <v>42.718735</v>
      </c>
      <c r="L54" s="610" t="n">
        <f aca="false">((D54*54.5)/1000)*(1+(1-J54))</f>
        <v>42.718735</v>
      </c>
      <c r="M54" s="610" t="n">
        <f aca="false">(E54*F54)*1.08</f>
        <v>136.08</v>
      </c>
      <c r="N54" s="610" t="n">
        <f aca="false">((E54/2)*F54)*1.08</f>
        <v>68.04</v>
      </c>
    </row>
    <row r="55" customFormat="false" ht="10.15" hidden="false" customHeight="false" outlineLevel="0" collapsed="false">
      <c r="A55" s="561" t="str">
        <f aca="false">'Plant loading'!A39</f>
        <v>Gravelly Hill</v>
      </c>
      <c r="B55" s="595" t="str">
        <f aca="false">'Plant loading'!B39</f>
        <v>BMGMTX-DCSYS01</v>
      </c>
      <c r="C55" s="595" t="str">
        <f aca="false">'Plant loading'!C39</f>
        <v>HDR48-ES</v>
      </c>
      <c r="D55" s="595" t="n">
        <f aca="false">'Plant loading'!E39</f>
        <v>663</v>
      </c>
      <c r="E55" s="450" t="n">
        <f aca="false">'Plant loading'!H39</f>
        <v>44</v>
      </c>
      <c r="F55" s="595" t="n">
        <f aca="false">'Plant loading'!I39</f>
        <v>3</v>
      </c>
      <c r="G55" s="610" t="n">
        <f aca="false">D55/E55</f>
        <v>15.0681818181818</v>
      </c>
      <c r="H55" s="610" t="n">
        <f aca="false">D55/(E55/2)</f>
        <v>30.1363636363636</v>
      </c>
      <c r="I55" s="449" t="n">
        <f aca="false">IF(AND(C55="eSure",AND(G55&gt;=19.2,G55&lt;=44.8)),0.97,0.92)</f>
        <v>0.92</v>
      </c>
      <c r="J55" s="449" t="n">
        <f aca="false">IF(AND(C55="eSure",AND(H55&gt;=19.2,H55&lt;=44.8)),0.97,0.92)</f>
        <v>0.92</v>
      </c>
      <c r="K55" s="610" t="n">
        <f aca="false">((D55*54.5)/1000)*(1+(1-I55))</f>
        <v>39.02418</v>
      </c>
      <c r="L55" s="610" t="n">
        <f aca="false">((D55*54.5)/1000)*(1+(1-J55))</f>
        <v>39.02418</v>
      </c>
      <c r="M55" s="610" t="n">
        <f aca="false">(E55*F55)*1.08</f>
        <v>142.56</v>
      </c>
      <c r="N55" s="610" t="n">
        <f aca="false">((E55/2)*F55)*1.08</f>
        <v>71.28</v>
      </c>
    </row>
    <row r="56" customFormat="false" ht="10.15" hidden="false" customHeight="false" outlineLevel="0" collapsed="false">
      <c r="A56" s="561" t="str">
        <f aca="false">'Plant loading'!A40</f>
        <v>Gravelly Hill</v>
      </c>
      <c r="B56" s="595" t="str">
        <f aca="false">'Plant loading'!B40</f>
        <v>BMGMTX-DCSYS02</v>
      </c>
      <c r="C56" s="595" t="str">
        <f aca="false">'Plant loading'!C40</f>
        <v>HDR48-ES</v>
      </c>
      <c r="D56" s="595" t="n">
        <f aca="false">'Plant loading'!E40</f>
        <v>704</v>
      </c>
      <c r="E56" s="450" t="n">
        <f aca="false">'Plant loading'!H40</f>
        <v>44</v>
      </c>
      <c r="F56" s="595" t="n">
        <f aca="false">'Plant loading'!I40</f>
        <v>3</v>
      </c>
      <c r="G56" s="610" t="n">
        <f aca="false">D56/E56</f>
        <v>16</v>
      </c>
      <c r="H56" s="610" t="n">
        <f aca="false">D56/(E56/2)</f>
        <v>32</v>
      </c>
      <c r="I56" s="449" t="n">
        <f aca="false">IF(AND(C56="eSure",AND(G56&gt;=19.2,G56&lt;=44.8)),0.97,0.92)</f>
        <v>0.92</v>
      </c>
      <c r="J56" s="449" t="n">
        <f aca="false">IF(AND(C56="eSure",AND(H56&gt;=19.2,H56&lt;=44.8)),0.97,0.92)</f>
        <v>0.92</v>
      </c>
      <c r="K56" s="610" t="n">
        <f aca="false">((D56*54.5)/1000)*(1+(1-I56))</f>
        <v>41.43744</v>
      </c>
      <c r="L56" s="610" t="n">
        <f aca="false">((D56*54.5)/1000)*(1+(1-J56))</f>
        <v>41.43744</v>
      </c>
      <c r="M56" s="610" t="n">
        <f aca="false">(E56*F56)*1.08</f>
        <v>142.56</v>
      </c>
      <c r="N56" s="610" t="n">
        <f aca="false">((E56/2)*F56)*1.08</f>
        <v>71.28</v>
      </c>
    </row>
    <row r="57" customFormat="false" ht="10.15" hidden="false" customHeight="false" outlineLevel="0" collapsed="false">
      <c r="A57" s="561" t="str">
        <f aca="false">'Plant loading'!A41</f>
        <v>Gravelly Hill</v>
      </c>
      <c r="B57" s="595" t="str">
        <f aca="false">'Plant loading'!B41</f>
        <v>BMGMTX-DCSYS03</v>
      </c>
      <c r="C57" s="595" t="str">
        <f aca="false">'Plant loading'!C41</f>
        <v>HDR48-ES</v>
      </c>
      <c r="D57" s="595" t="n">
        <f aca="false">'Plant loading'!E41</f>
        <v>751</v>
      </c>
      <c r="E57" s="450" t="n">
        <f aca="false">'Plant loading'!H41</f>
        <v>44</v>
      </c>
      <c r="F57" s="595" t="n">
        <f aca="false">'Plant loading'!I41</f>
        <v>3</v>
      </c>
      <c r="G57" s="610" t="n">
        <f aca="false">D57/E57</f>
        <v>17.0681818181818</v>
      </c>
      <c r="H57" s="610" t="n">
        <f aca="false">D57/(E57/2)</f>
        <v>34.1363636363636</v>
      </c>
      <c r="I57" s="449" t="n">
        <f aca="false">IF(AND(C57="eSure",AND(G57&gt;=19.2,G57&lt;=44.8)),0.97,0.92)</f>
        <v>0.92</v>
      </c>
      <c r="J57" s="449" t="n">
        <f aca="false">IF(AND(C57="eSure",AND(H57&gt;=19.2,H57&lt;=44.8)),0.97,0.92)</f>
        <v>0.92</v>
      </c>
      <c r="K57" s="610" t="n">
        <f aca="false">((D57*54.5)/1000)*(1+(1-I57))</f>
        <v>44.20386</v>
      </c>
      <c r="L57" s="610" t="n">
        <f aca="false">((D57*54.5)/1000)*(1+(1-J57))</f>
        <v>44.20386</v>
      </c>
      <c r="M57" s="610" t="n">
        <f aca="false">(E57*F57)*1.08</f>
        <v>142.56</v>
      </c>
      <c r="N57" s="610" t="n">
        <f aca="false">((E57/2)*F57)*1.08</f>
        <v>71.28</v>
      </c>
    </row>
    <row r="58" customFormat="false" ht="10.15" hidden="false" customHeight="false" outlineLevel="0" collapsed="false">
      <c r="A58" s="561" t="str">
        <f aca="false">'Plant loading'!A42</f>
        <v>Gravelly Hill</v>
      </c>
      <c r="B58" s="595" t="str">
        <f aca="false">'Plant loading'!B42</f>
        <v>BMGMTX-DCSYS04</v>
      </c>
      <c r="C58" s="595" t="str">
        <f aca="false">'Plant loading'!C42</f>
        <v>HDR48-ES</v>
      </c>
      <c r="D58" s="595" t="n">
        <f aca="false">'Plant loading'!E42</f>
        <v>740</v>
      </c>
      <c r="E58" s="450" t="n">
        <f aca="false">'Plant loading'!H42</f>
        <v>44</v>
      </c>
      <c r="F58" s="595" t="n">
        <f aca="false">'Plant loading'!I42</f>
        <v>3</v>
      </c>
      <c r="G58" s="610" t="n">
        <f aca="false">D58/E58</f>
        <v>16.8181818181818</v>
      </c>
      <c r="H58" s="610" t="n">
        <f aca="false">D58/(E58/2)</f>
        <v>33.6363636363636</v>
      </c>
      <c r="I58" s="449" t="n">
        <f aca="false">IF(AND(C58="eSure",AND(G58&gt;=19.2,G58&lt;=44.8)),0.97,0.92)</f>
        <v>0.92</v>
      </c>
      <c r="J58" s="449" t="n">
        <f aca="false">IF(AND(C58="eSure",AND(H58&gt;=19.2,H58&lt;=44.8)),0.97,0.92)</f>
        <v>0.92</v>
      </c>
      <c r="K58" s="610" t="n">
        <f aca="false">((D58*54.5)/1000)*(1+(1-I58))</f>
        <v>43.5564</v>
      </c>
      <c r="L58" s="610" t="n">
        <f aca="false">((D58*54.5)/1000)*(1+(1-J58))</f>
        <v>43.5564</v>
      </c>
      <c r="M58" s="610" t="n">
        <f aca="false">(E58*F58)*1.08</f>
        <v>142.56</v>
      </c>
      <c r="N58" s="610" t="n">
        <f aca="false">((E58/2)*F58)*1.08</f>
        <v>71.28</v>
      </c>
    </row>
    <row r="59" customFormat="false" ht="10.15" hidden="false" customHeight="false" outlineLevel="0" collapsed="false">
      <c r="A59" s="561" t="str">
        <f aca="false">'Plant loading'!A43</f>
        <v>Gravelly Hill</v>
      </c>
      <c r="B59" s="595" t="str">
        <f aca="false">'Plant loading'!B43</f>
        <v>BMGMTX-DCSYS05</v>
      </c>
      <c r="C59" s="595" t="str">
        <f aca="false">'Plant loading'!C43</f>
        <v>HDR48-ES</v>
      </c>
      <c r="D59" s="595" t="n">
        <f aca="false">'Plant loading'!E43</f>
        <v>774</v>
      </c>
      <c r="E59" s="450" t="n">
        <f aca="false">'Plant loading'!H43</f>
        <v>44</v>
      </c>
      <c r="F59" s="595" t="n">
        <f aca="false">'Plant loading'!I43</f>
        <v>3</v>
      </c>
      <c r="G59" s="610" t="n">
        <f aca="false">D59/E59</f>
        <v>17.5909090909091</v>
      </c>
      <c r="H59" s="610" t="n">
        <f aca="false">D59/(E59/2)</f>
        <v>35.1818181818182</v>
      </c>
      <c r="I59" s="449" t="n">
        <f aca="false">IF(AND(C59="eSure",AND(G59&gt;=19.2,G59&lt;=44.8)),0.97,0.92)</f>
        <v>0.92</v>
      </c>
      <c r="J59" s="449" t="n">
        <f aca="false">IF(AND(C59="eSure",AND(H59&gt;=19.2,H59&lt;=44.8)),0.97,0.92)</f>
        <v>0.92</v>
      </c>
      <c r="K59" s="610" t="n">
        <f aca="false">((D59*54.5)/1000)*(1+(1-I59))</f>
        <v>45.55764</v>
      </c>
      <c r="L59" s="610" t="n">
        <f aca="false">((D59*54.5)/1000)*(1+(1-J59))</f>
        <v>45.55764</v>
      </c>
      <c r="M59" s="610" t="n">
        <f aca="false">(E59*F59)*1.08</f>
        <v>142.56</v>
      </c>
      <c r="N59" s="610" t="n">
        <f aca="false">((E59/2)*F59)*1.08</f>
        <v>71.28</v>
      </c>
    </row>
    <row r="60" customFormat="false" ht="10.15" hidden="false" customHeight="false" outlineLevel="0" collapsed="false">
      <c r="A60" s="561" t="str">
        <f aca="false">'Plant loading'!A44</f>
        <v>Gravelly Hill</v>
      </c>
      <c r="B60" s="595" t="str">
        <f aca="false">'Plant loading'!B44</f>
        <v>BMGMTX-DCSYS06</v>
      </c>
      <c r="C60" s="595" t="str">
        <f aca="false">'Plant loading'!C44</f>
        <v>HDR48-ES</v>
      </c>
      <c r="D60" s="595" t="n">
        <f aca="false">'Plant loading'!E44</f>
        <v>790</v>
      </c>
      <c r="E60" s="450" t="n">
        <f aca="false">'Plant loading'!H44</f>
        <v>44</v>
      </c>
      <c r="F60" s="595" t="n">
        <f aca="false">'Plant loading'!I44</f>
        <v>3</v>
      </c>
      <c r="G60" s="610" t="n">
        <f aca="false">D60/E60</f>
        <v>17.9545454545455</v>
      </c>
      <c r="H60" s="610" t="n">
        <f aca="false">D60/(E60/2)</f>
        <v>35.9090909090909</v>
      </c>
      <c r="I60" s="449" t="n">
        <f aca="false">IF(AND(C60="eSure",AND(G60&gt;=19.2,G60&lt;=44.8)),0.97,0.92)</f>
        <v>0.92</v>
      </c>
      <c r="J60" s="449" t="n">
        <f aca="false">IF(AND(C60="eSure",AND(H60&gt;=19.2,H60&lt;=44.8)),0.97,0.92)</f>
        <v>0.92</v>
      </c>
      <c r="K60" s="610" t="n">
        <f aca="false">((D60*54.5)/1000)*(1+(1-I60))</f>
        <v>46.4994</v>
      </c>
      <c r="L60" s="610" t="n">
        <f aca="false">((D60*54.5)/1000)*(1+(1-J60))</f>
        <v>46.4994</v>
      </c>
      <c r="M60" s="610" t="n">
        <f aca="false">(E60*F60)*1.08</f>
        <v>142.56</v>
      </c>
      <c r="N60" s="610" t="n">
        <f aca="false">((E60/2)*F60)*1.08</f>
        <v>71.28</v>
      </c>
    </row>
    <row r="61" customFormat="false" ht="10.15" hidden="false" customHeight="false" outlineLevel="0" collapsed="false">
      <c r="A61" s="561" t="str">
        <f aca="false">'Plant loading'!A47</f>
        <v>Kings Cross</v>
      </c>
      <c r="B61" s="595" t="str">
        <f aca="false">'Plant loading'!B47</f>
        <v>PEAKS</v>
      </c>
      <c r="C61" s="595" t="str">
        <f aca="false">'Plant loading'!C47</f>
        <v>eSure</v>
      </c>
      <c r="D61" s="595" t="n">
        <f aca="false">'Plant loading'!E47</f>
        <v>239</v>
      </c>
      <c r="E61" s="450" t="n">
        <f aca="false">'Plant loading'!H47</f>
        <v>24</v>
      </c>
      <c r="F61" s="595" t="n">
        <f aca="false">'Plant loading'!I47</f>
        <v>3.5</v>
      </c>
      <c r="G61" s="610" t="n">
        <f aca="false">D61/E61</f>
        <v>9.95833333333333</v>
      </c>
      <c r="H61" s="610" t="n">
        <f aca="false">D61/(E61/2)</f>
        <v>19.9166666666667</v>
      </c>
      <c r="I61" s="449" t="n">
        <f aca="false">IF(AND(C61="eSure",AND(G61&gt;=19.2,G61&lt;=44.8)),0.97,0.92)</f>
        <v>0.92</v>
      </c>
      <c r="J61" s="449" t="n">
        <f aca="false">IF(AND(C61="eSure",AND(H61&gt;=19.2,H61&lt;=44.8)),0.97,0.92)</f>
        <v>0.97</v>
      </c>
      <c r="K61" s="610" t="n">
        <f aca="false">((D61*54.5)/1000)*(1+(1-I61))</f>
        <v>14.06754</v>
      </c>
      <c r="L61" s="610" t="n">
        <f aca="false">((D61*54.5)/1000)*(1+(1-J61))</f>
        <v>13.416265</v>
      </c>
      <c r="M61" s="610" t="n">
        <f aca="false">(E61*F61)*1.08</f>
        <v>90.72</v>
      </c>
      <c r="N61" s="610" t="n">
        <f aca="false">((E61/2)*F61)*1.08</f>
        <v>45.36</v>
      </c>
    </row>
    <row r="62" customFormat="false" ht="10.15" hidden="false" customHeight="false" outlineLevel="0" collapsed="false">
      <c r="A62" s="561" t="str">
        <f aca="false">'Plant loading'!A48</f>
        <v>Kings Cross</v>
      </c>
      <c r="B62" s="595" t="str">
        <f aca="false">'Plant loading'!B48</f>
        <v>PEBKS</v>
      </c>
      <c r="C62" s="595" t="str">
        <f aca="false">'Plant loading'!C48</f>
        <v>eSure</v>
      </c>
      <c r="D62" s="595" t="n">
        <f aca="false">'Plant loading'!E48</f>
        <v>331</v>
      </c>
      <c r="E62" s="450" t="n">
        <f aca="false">'Plant loading'!H48</f>
        <v>30</v>
      </c>
      <c r="F62" s="595" t="n">
        <f aca="false">'Plant loading'!I48</f>
        <v>3.5</v>
      </c>
      <c r="G62" s="610" t="n">
        <f aca="false">D62/E62</f>
        <v>11.0333333333333</v>
      </c>
      <c r="H62" s="610" t="n">
        <f aca="false">D62/(E62/2)</f>
        <v>22.0666666666667</v>
      </c>
      <c r="I62" s="449" t="n">
        <f aca="false">IF(AND(C62="eSure",AND(G62&gt;=19.2,G62&lt;=44.8)),0.97,0.92)</f>
        <v>0.92</v>
      </c>
      <c r="J62" s="449" t="n">
        <f aca="false">IF(AND(C62="eSure",AND(H62&gt;=19.2,H62&lt;=44.8)),0.97,0.92)</f>
        <v>0.97</v>
      </c>
      <c r="K62" s="610" t="n">
        <f aca="false">((D62*54.5)/1000)*(1+(1-I62))</f>
        <v>19.48266</v>
      </c>
      <c r="L62" s="610" t="n">
        <f aca="false">((D62*54.5)/1000)*(1+(1-J62))</f>
        <v>18.580685</v>
      </c>
      <c r="M62" s="610" t="n">
        <f aca="false">(E62*F62)*1.08</f>
        <v>113.4</v>
      </c>
      <c r="N62" s="610" t="n">
        <f aca="false">((E62/2)*F62)*1.08</f>
        <v>56.7</v>
      </c>
    </row>
    <row r="63" customFormat="false" ht="10.15" hidden="false" customHeight="false" outlineLevel="0" collapsed="false">
      <c r="A63" s="561" t="str">
        <f aca="false">'Plant loading'!A49</f>
        <v>Kings Cross</v>
      </c>
      <c r="B63" s="595" t="str">
        <f aca="false">'Plant loading'!B49</f>
        <v>PEEKS</v>
      </c>
      <c r="C63" s="595" t="str">
        <f aca="false">'Plant loading'!C49</f>
        <v>eSure</v>
      </c>
      <c r="D63" s="595" t="n">
        <f aca="false">'Plant loading'!E49</f>
        <v>100</v>
      </c>
      <c r="E63" s="450" t="n">
        <f aca="false">'Plant loading'!H49</f>
        <v>12</v>
      </c>
      <c r="F63" s="595" t="n">
        <f aca="false">'Plant loading'!I49</f>
        <v>3.5</v>
      </c>
      <c r="G63" s="610" t="n">
        <f aca="false">D63/E63</f>
        <v>8.33333333333333</v>
      </c>
      <c r="H63" s="610" t="n">
        <f aca="false">D63/(E63/2)</f>
        <v>16.6666666666667</v>
      </c>
      <c r="I63" s="449" t="n">
        <f aca="false">IF(AND(C63="eSure",AND(G63&gt;=19.2,G63&lt;=44.8)),0.97,0.92)</f>
        <v>0.92</v>
      </c>
      <c r="J63" s="449" t="n">
        <f aca="false">IF(AND(C63="eSure",AND(H63&gt;=19.2,H63&lt;=44.8)),0.97,0.92)</f>
        <v>0.92</v>
      </c>
      <c r="K63" s="610" t="n">
        <f aca="false">((D63*54.5)/1000)*(1+(1-I63))</f>
        <v>5.886</v>
      </c>
      <c r="L63" s="610" t="n">
        <f aca="false">((D63*54.5)/1000)*(1+(1-J63))</f>
        <v>5.886</v>
      </c>
      <c r="M63" s="610" t="n">
        <f aca="false">(E63*F63)*1.08</f>
        <v>45.36</v>
      </c>
      <c r="N63" s="610" t="n">
        <f aca="false">((E63/2)*F63)*1.08</f>
        <v>22.68</v>
      </c>
    </row>
    <row r="64" customFormat="false" ht="10.15" hidden="false" customHeight="false" outlineLevel="0" collapsed="false">
      <c r="A64" s="561" t="str">
        <f aca="false">'Plant loading'!A50</f>
        <v>Kings Cross</v>
      </c>
      <c r="B64" s="595" t="str">
        <f aca="false">'Plant loading'!B50</f>
        <v>PEIKS</v>
      </c>
      <c r="C64" s="595" t="str">
        <f aca="false">'Plant loading'!C50</f>
        <v>eSure</v>
      </c>
      <c r="D64" s="595" t="n">
        <f aca="false">'Plant loading'!E50</f>
        <v>485</v>
      </c>
      <c r="E64" s="450" t="n">
        <f aca="false">'Plant loading'!H50</f>
        <v>36</v>
      </c>
      <c r="F64" s="595" t="n">
        <f aca="false">'Plant loading'!I50</f>
        <v>3.5</v>
      </c>
      <c r="G64" s="610" t="n">
        <f aca="false">D64/E64</f>
        <v>13.4722222222222</v>
      </c>
      <c r="H64" s="610" t="n">
        <f aca="false">D64/(E64/2)</f>
        <v>26.9444444444444</v>
      </c>
      <c r="I64" s="449" t="n">
        <f aca="false">IF(AND(C64="eSure",AND(G64&gt;=19.2,G64&lt;=44.8)),0.97,0.92)</f>
        <v>0.92</v>
      </c>
      <c r="J64" s="449" t="n">
        <f aca="false">IF(AND(C64="eSure",AND(H64&gt;=19.2,H64&lt;=44.8)),0.97,0.92)</f>
        <v>0.97</v>
      </c>
      <c r="K64" s="610" t="n">
        <f aca="false">((D64*54.5)/1000)*(1+(1-I64))</f>
        <v>28.5471</v>
      </c>
      <c r="L64" s="610" t="n">
        <f aca="false">((D64*54.5)/1000)*(1+(1-J64))</f>
        <v>27.225475</v>
      </c>
      <c r="M64" s="610" t="n">
        <f aca="false">(E64*F64)*1.08</f>
        <v>136.08</v>
      </c>
      <c r="N64" s="610" t="n">
        <f aca="false">((E64/2)*F64)*1.08</f>
        <v>68.04</v>
      </c>
    </row>
    <row r="65" customFormat="false" ht="10.15" hidden="false" customHeight="false" outlineLevel="0" collapsed="false">
      <c r="A65" s="561" t="str">
        <f aca="false">'Plant loading'!A51</f>
        <v>Kings Cross</v>
      </c>
      <c r="B65" s="595" t="str">
        <f aca="false">'Plant loading'!B51</f>
        <v>PEJKS</v>
      </c>
      <c r="C65" s="595" t="str">
        <f aca="false">'Plant loading'!C51</f>
        <v>eSure</v>
      </c>
      <c r="D65" s="595" t="n">
        <f aca="false">'Plant loading'!E51</f>
        <v>238</v>
      </c>
      <c r="E65" s="450" t="n">
        <f aca="false">'Plant loading'!H51</f>
        <v>36</v>
      </c>
      <c r="F65" s="595" t="n">
        <f aca="false">'Plant loading'!I51</f>
        <v>3.5</v>
      </c>
      <c r="G65" s="610" t="n">
        <f aca="false">D65/E65</f>
        <v>6.61111111111111</v>
      </c>
      <c r="H65" s="610" t="n">
        <f aca="false">D65/(E65/2)</f>
        <v>13.2222222222222</v>
      </c>
      <c r="I65" s="449" t="n">
        <f aca="false">IF(AND(C65="eSure",AND(G65&gt;=19.2,G65&lt;=44.8)),0.97,0.92)</f>
        <v>0.92</v>
      </c>
      <c r="J65" s="449" t="n">
        <f aca="false">IF(AND(C65="eSure",AND(H65&gt;=19.2,H65&lt;=44.8)),0.97,0.92)</f>
        <v>0.92</v>
      </c>
      <c r="K65" s="610" t="n">
        <f aca="false">((D65*54.5)/1000)*(1+(1-I65))</f>
        <v>14.00868</v>
      </c>
      <c r="L65" s="610" t="n">
        <f aca="false">((D65*54.5)/1000)*(1+(1-J65))</f>
        <v>14.00868</v>
      </c>
      <c r="M65" s="610" t="n">
        <f aca="false">(E65*F65)*1.08</f>
        <v>136.08</v>
      </c>
      <c r="N65" s="610" t="n">
        <f aca="false">((E65/2)*F65)*1.08</f>
        <v>68.04</v>
      </c>
    </row>
    <row r="66" customFormat="false" ht="10.15" hidden="false" customHeight="false" outlineLevel="0" collapsed="false">
      <c r="A66" s="561" t="str">
        <f aca="false">'Plant loading'!A52</f>
        <v>Kings Cross</v>
      </c>
      <c r="B66" s="595" t="str">
        <f aca="false">'Plant loading'!B52</f>
        <v>PEKKS</v>
      </c>
      <c r="C66" s="595" t="str">
        <f aca="false">'Plant loading'!C52</f>
        <v>eSure</v>
      </c>
      <c r="D66" s="595" t="n">
        <f aca="false">'Plant loading'!E52</f>
        <v>428</v>
      </c>
      <c r="E66" s="450" t="n">
        <f aca="false">'Plant loading'!H52</f>
        <v>30</v>
      </c>
      <c r="F66" s="595" t="n">
        <f aca="false">'Plant loading'!I52</f>
        <v>3.5</v>
      </c>
      <c r="G66" s="610" t="n">
        <f aca="false">D66/E66</f>
        <v>14.2666666666667</v>
      </c>
      <c r="H66" s="610" t="n">
        <f aca="false">D66/(E66/2)</f>
        <v>28.5333333333333</v>
      </c>
      <c r="I66" s="449" t="n">
        <f aca="false">IF(AND(C66="eSure",AND(G66&gt;=19.2,G66&lt;=44.8)),0.97,0.92)</f>
        <v>0.92</v>
      </c>
      <c r="J66" s="449" t="n">
        <f aca="false">IF(AND(C66="eSure",AND(H66&gt;=19.2,H66&lt;=44.8)),0.97,0.92)</f>
        <v>0.97</v>
      </c>
      <c r="K66" s="610" t="n">
        <f aca="false">((D66*54.5)/1000)*(1+(1-I66))</f>
        <v>25.19208</v>
      </c>
      <c r="L66" s="610" t="n">
        <f aca="false">((D66*54.5)/1000)*(1+(1-J66))</f>
        <v>24.02578</v>
      </c>
      <c r="M66" s="610" t="n">
        <f aca="false">(E66*F66)*1.08</f>
        <v>113.4</v>
      </c>
      <c r="N66" s="610" t="n">
        <f aca="false">((E66/2)*F66)*1.08</f>
        <v>56.7</v>
      </c>
    </row>
    <row r="67" customFormat="false" ht="10.15" hidden="false" customHeight="false" outlineLevel="0" collapsed="false">
      <c r="A67" s="561" t="str">
        <f aca="false">'Plant loading'!A53</f>
        <v>Kings Cross</v>
      </c>
      <c r="B67" s="595" t="str">
        <f aca="false">'Plant loading'!B53</f>
        <v>PELKS</v>
      </c>
      <c r="C67" s="595" t="str">
        <f aca="false">'Plant loading'!C53</f>
        <v>eSure</v>
      </c>
      <c r="D67" s="595" t="n">
        <f aca="false">'Plant loading'!E53</f>
        <v>155</v>
      </c>
      <c r="E67" s="450" t="n">
        <f aca="false">'Plant loading'!H53</f>
        <v>24</v>
      </c>
      <c r="F67" s="595" t="n">
        <f aca="false">'Plant loading'!I53</f>
        <v>3.5</v>
      </c>
      <c r="G67" s="610" t="n">
        <f aca="false">D67/E67</f>
        <v>6.45833333333333</v>
      </c>
      <c r="H67" s="610" t="n">
        <f aca="false">D67/(E67/2)</f>
        <v>12.9166666666667</v>
      </c>
      <c r="I67" s="449" t="n">
        <f aca="false">IF(AND(C67="eSure",AND(G67&gt;=19.2,G67&lt;=44.8)),0.97,0.92)</f>
        <v>0.92</v>
      </c>
      <c r="J67" s="449" t="n">
        <f aca="false">IF(AND(C67="eSure",AND(H67&gt;=19.2,H67&lt;=44.8)),0.97,0.92)</f>
        <v>0.92</v>
      </c>
      <c r="K67" s="610" t="n">
        <f aca="false">((D67*54.5)/1000)*(1+(1-I67))</f>
        <v>9.1233</v>
      </c>
      <c r="L67" s="610" t="n">
        <f aca="false">((D67*54.5)/1000)*(1+(1-J67))</f>
        <v>9.1233</v>
      </c>
      <c r="M67" s="610" t="n">
        <f aca="false">(E67*F67)*1.08</f>
        <v>90.72</v>
      </c>
      <c r="N67" s="610" t="n">
        <f aca="false">((E67/2)*F67)*1.08</f>
        <v>45.36</v>
      </c>
    </row>
    <row r="68" customFormat="false" ht="10.15" hidden="false" customHeight="false" outlineLevel="0" collapsed="false">
      <c r="A68" s="561" t="str">
        <f aca="false">'Plant loading'!A54</f>
        <v>Kings Cross</v>
      </c>
      <c r="B68" s="595" t="str">
        <f aca="false">'Plant loading'!B54</f>
        <v>PEMKS</v>
      </c>
      <c r="C68" s="595" t="str">
        <f aca="false">'Plant loading'!C54</f>
        <v>eSure</v>
      </c>
      <c r="D68" s="595" t="n">
        <f aca="false">'Plant loading'!E54</f>
        <v>137</v>
      </c>
      <c r="E68" s="450" t="n">
        <f aca="false">'Plant loading'!H54</f>
        <v>24</v>
      </c>
      <c r="F68" s="595" t="n">
        <f aca="false">'Plant loading'!I54</f>
        <v>3.5</v>
      </c>
      <c r="G68" s="610" t="n">
        <f aca="false">D68/E68</f>
        <v>5.70833333333333</v>
      </c>
      <c r="H68" s="610" t="n">
        <f aca="false">D68/(E68/2)</f>
        <v>11.4166666666667</v>
      </c>
      <c r="I68" s="449" t="n">
        <f aca="false">IF(AND(C68="eSure",AND(G68&gt;=19.2,G68&lt;=44.8)),0.97,0.92)</f>
        <v>0.92</v>
      </c>
      <c r="J68" s="449" t="n">
        <f aca="false">IF(AND(C68="eSure",AND(H68&gt;=19.2,H68&lt;=44.8)),0.97,0.92)</f>
        <v>0.92</v>
      </c>
      <c r="K68" s="610" t="n">
        <f aca="false">((D68*54.5)/1000)*(1+(1-I68))</f>
        <v>8.06382</v>
      </c>
      <c r="L68" s="610" t="n">
        <f aca="false">((D68*54.5)/1000)*(1+(1-J68))</f>
        <v>8.06382</v>
      </c>
      <c r="M68" s="610" t="n">
        <f aca="false">(E68*F68)*1.08</f>
        <v>90.72</v>
      </c>
      <c r="N68" s="610" t="n">
        <f aca="false">((E68/2)*F68)*1.08</f>
        <v>45.36</v>
      </c>
    </row>
    <row r="69" customFormat="false" ht="10.15" hidden="false" customHeight="false" outlineLevel="0" collapsed="false">
      <c r="A69" s="561" t="str">
        <f aca="false">'Plant loading'!A55</f>
        <v>Kings Cross</v>
      </c>
      <c r="B69" s="595" t="str">
        <f aca="false">'Plant loading'!B55</f>
        <v>PENKS</v>
      </c>
      <c r="C69" s="595" t="str">
        <f aca="false">'Plant loading'!C55</f>
        <v>eSure</v>
      </c>
      <c r="D69" s="595" t="n">
        <f aca="false">'Plant loading'!E55</f>
        <v>101</v>
      </c>
      <c r="E69" s="450" t="n">
        <f aca="false">'Plant loading'!H55</f>
        <v>12</v>
      </c>
      <c r="F69" s="595" t="n">
        <f aca="false">'Plant loading'!I55</f>
        <v>3.5</v>
      </c>
      <c r="G69" s="610" t="n">
        <f aca="false">D69/E69</f>
        <v>8.41666666666667</v>
      </c>
      <c r="H69" s="610" t="n">
        <f aca="false">D69/(E69/2)</f>
        <v>16.8333333333333</v>
      </c>
      <c r="I69" s="449" t="n">
        <f aca="false">IF(AND(C69="eSure",AND(G69&gt;=19.2,G69&lt;=44.8)),0.97,0.92)</f>
        <v>0.92</v>
      </c>
      <c r="J69" s="449" t="n">
        <f aca="false">IF(AND(C69="eSure",AND(H69&gt;=19.2,H69&lt;=44.8)),0.97,0.92)</f>
        <v>0.92</v>
      </c>
      <c r="K69" s="610" t="n">
        <f aca="false">((D69*54.5)/1000)*(1+(1-I69))</f>
        <v>5.94486</v>
      </c>
      <c r="L69" s="610" t="n">
        <f aca="false">((D69*54.5)/1000)*(1+(1-J69))</f>
        <v>5.94486</v>
      </c>
      <c r="M69" s="610" t="n">
        <f aca="false">(E69*F69)*1.08</f>
        <v>45.36</v>
      </c>
      <c r="N69" s="610" t="n">
        <f aca="false">((E69/2)*F69)*1.08</f>
        <v>22.68</v>
      </c>
    </row>
    <row r="70" customFormat="false" ht="10.15" hidden="false" customHeight="false" outlineLevel="0" collapsed="false">
      <c r="A70" s="561" t="str">
        <f aca="false">'Plant loading'!A56</f>
        <v>Leyland</v>
      </c>
      <c r="B70" s="595" t="str">
        <f aca="false">'Plant loading'!B56</f>
        <v>LLDMTX-DCSYS01</v>
      </c>
      <c r="C70" s="595" t="str">
        <f aca="false">'Plant loading'!C56</f>
        <v>HDR48-ES</v>
      </c>
      <c r="D70" s="595" t="n">
        <f aca="false">'Plant loading'!E56</f>
        <v>863</v>
      </c>
      <c r="E70" s="450" t="n">
        <f aca="false">'Plant loading'!H56</f>
        <v>44</v>
      </c>
      <c r="F70" s="595" t="n">
        <f aca="false">'Plant loading'!I56</f>
        <v>3</v>
      </c>
      <c r="G70" s="610" t="n">
        <f aca="false">D70/E70</f>
        <v>19.6136363636364</v>
      </c>
      <c r="H70" s="610" t="n">
        <f aca="false">D70/(E70/2)</f>
        <v>39.2272727272727</v>
      </c>
      <c r="I70" s="449" t="n">
        <f aca="false">IF(AND(C70="eSure",AND(G70&gt;=19.2,G70&lt;=44.8)),0.97,0.92)</f>
        <v>0.92</v>
      </c>
      <c r="J70" s="449" t="n">
        <f aca="false">IF(AND(C70="eSure",AND(H70&gt;=19.2,H70&lt;=44.8)),0.97,0.92)</f>
        <v>0.92</v>
      </c>
      <c r="K70" s="610" t="n">
        <f aca="false">((D70*54.5)/1000)*(1+(1-I70))</f>
        <v>50.79618</v>
      </c>
      <c r="L70" s="610" t="n">
        <f aca="false">((D70*54.5)/1000)*(1+(1-J70))</f>
        <v>50.79618</v>
      </c>
      <c r="M70" s="610" t="n">
        <f aca="false">(E70*F70)*1.08</f>
        <v>142.56</v>
      </c>
      <c r="N70" s="610" t="n">
        <f aca="false">((E70/2)*F70)*1.08</f>
        <v>71.28</v>
      </c>
    </row>
    <row r="71" customFormat="false" ht="10.15" hidden="false" customHeight="false" outlineLevel="0" collapsed="false">
      <c r="A71" s="561" t="str">
        <f aca="false">'Plant loading'!A57</f>
        <v>Leyland</v>
      </c>
      <c r="B71" s="595" t="str">
        <f aca="false">'Plant loading'!B57</f>
        <v>LLDMTX-DCSYS02</v>
      </c>
      <c r="C71" s="595" t="str">
        <f aca="false">'Plant loading'!C57</f>
        <v>HDR48-ES</v>
      </c>
      <c r="D71" s="595" t="n">
        <f aca="false">'Plant loading'!E57</f>
        <v>784</v>
      </c>
      <c r="E71" s="450" t="n">
        <f aca="false">'Plant loading'!H57</f>
        <v>44</v>
      </c>
      <c r="F71" s="595" t="n">
        <f aca="false">'Plant loading'!I57</f>
        <v>3</v>
      </c>
      <c r="G71" s="610" t="n">
        <f aca="false">D71/E71</f>
        <v>17.8181818181818</v>
      </c>
      <c r="H71" s="610" t="n">
        <f aca="false">D71/(E71/2)</f>
        <v>35.6363636363636</v>
      </c>
      <c r="I71" s="449" t="n">
        <f aca="false">IF(AND(C71="eSure",AND(G71&gt;=19.2,G71&lt;=44.8)),0.97,0.92)</f>
        <v>0.92</v>
      </c>
      <c r="J71" s="449" t="n">
        <f aca="false">IF(AND(C71="eSure",AND(H71&gt;=19.2,H71&lt;=44.8)),0.97,0.92)</f>
        <v>0.92</v>
      </c>
      <c r="K71" s="610" t="n">
        <f aca="false">((D71*54.5)/1000)*(1+(1-I71))</f>
        <v>46.14624</v>
      </c>
      <c r="L71" s="610" t="n">
        <f aca="false">((D71*54.5)/1000)*(1+(1-J71))</f>
        <v>46.14624</v>
      </c>
      <c r="M71" s="610" t="n">
        <f aca="false">(E71*F71)*1.08</f>
        <v>142.56</v>
      </c>
      <c r="N71" s="610" t="n">
        <f aca="false">((E71/2)*F71)*1.08</f>
        <v>71.28</v>
      </c>
    </row>
    <row r="72" customFormat="false" ht="10.15" hidden="false" customHeight="false" outlineLevel="0" collapsed="false">
      <c r="A72" s="561" t="str">
        <f aca="false">'Plant loading'!A58</f>
        <v>Leyland</v>
      </c>
      <c r="B72" s="595" t="str">
        <f aca="false">'Plant loading'!B58</f>
        <v>LLDMTX-DCSYS03</v>
      </c>
      <c r="C72" s="595" t="str">
        <f aca="false">'Plant loading'!C58</f>
        <v>HDR48-ES</v>
      </c>
      <c r="D72" s="595" t="n">
        <f aca="false">'Plant loading'!E58</f>
        <v>943</v>
      </c>
      <c r="E72" s="450" t="n">
        <f aca="false">'Plant loading'!H58</f>
        <v>44</v>
      </c>
      <c r="F72" s="595" t="n">
        <f aca="false">'Plant loading'!I58</f>
        <v>3</v>
      </c>
      <c r="G72" s="610" t="n">
        <f aca="false">D72/E72</f>
        <v>21.4318181818182</v>
      </c>
      <c r="H72" s="610" t="n">
        <f aca="false">D72/(E72/2)</f>
        <v>42.8636363636364</v>
      </c>
      <c r="I72" s="449" t="n">
        <f aca="false">IF(AND(C72="eSure",AND(G72&gt;=19.2,G72&lt;=44.8)),0.97,0.92)</f>
        <v>0.92</v>
      </c>
      <c r="J72" s="449" t="n">
        <f aca="false">IF(AND(C72="eSure",AND(H72&gt;=19.2,H72&lt;=44.8)),0.97,0.92)</f>
        <v>0.92</v>
      </c>
      <c r="K72" s="610" t="n">
        <f aca="false">((D72*54.5)/1000)*(1+(1-I72))</f>
        <v>55.50498</v>
      </c>
      <c r="L72" s="610" t="n">
        <f aca="false">((D72*54.5)/1000)*(1+(1-J72))</f>
        <v>55.50498</v>
      </c>
      <c r="M72" s="610" t="n">
        <f aca="false">(E72*F72)*1.08</f>
        <v>142.56</v>
      </c>
      <c r="N72" s="610" t="n">
        <f aca="false">((E72/2)*F72)*1.08</f>
        <v>71.28</v>
      </c>
    </row>
    <row r="73" customFormat="false" ht="10.15" hidden="false" customHeight="false" outlineLevel="0" collapsed="false">
      <c r="A73" s="561" t="str">
        <f aca="false">'Plant loading'!A59</f>
        <v>Leyland</v>
      </c>
      <c r="B73" s="595" t="str">
        <f aca="false">'Plant loading'!B59</f>
        <v>LLDMTX-DCSYS04</v>
      </c>
      <c r="C73" s="595" t="str">
        <f aca="false">'Plant loading'!C59</f>
        <v>HDR48-ES</v>
      </c>
      <c r="D73" s="595" t="n">
        <f aca="false">'Plant loading'!E59</f>
        <v>855</v>
      </c>
      <c r="E73" s="450" t="n">
        <f aca="false">'Plant loading'!H59</f>
        <v>44</v>
      </c>
      <c r="F73" s="595" t="n">
        <f aca="false">'Plant loading'!I59</f>
        <v>3</v>
      </c>
      <c r="G73" s="610" t="n">
        <f aca="false">D73/E73</f>
        <v>19.4318181818182</v>
      </c>
      <c r="H73" s="610" t="n">
        <f aca="false">D73/(E73/2)</f>
        <v>38.8636363636364</v>
      </c>
      <c r="I73" s="449" t="n">
        <f aca="false">IF(AND(C73="eSure",AND(G73&gt;=19.2,G73&lt;=44.8)),0.97,0.92)</f>
        <v>0.92</v>
      </c>
      <c r="J73" s="449" t="n">
        <f aca="false">IF(AND(C73="eSure",AND(H73&gt;=19.2,H73&lt;=44.8)),0.97,0.92)</f>
        <v>0.92</v>
      </c>
      <c r="K73" s="610" t="n">
        <f aca="false">((D73*54.5)/1000)*(1+(1-I73))</f>
        <v>50.3253</v>
      </c>
      <c r="L73" s="610" t="n">
        <f aca="false">((D73*54.5)/1000)*(1+(1-J73))</f>
        <v>50.3253</v>
      </c>
      <c r="M73" s="610" t="n">
        <f aca="false">(E73*F73)*1.08</f>
        <v>142.56</v>
      </c>
      <c r="N73" s="610" t="n">
        <f aca="false">((E73/2)*F73)*1.08</f>
        <v>71.28</v>
      </c>
    </row>
    <row r="74" customFormat="false" ht="10.15" hidden="false" customHeight="false" outlineLevel="0" collapsed="false">
      <c r="A74" s="561" t="str">
        <f aca="false">'Plant loading'!A60</f>
        <v>Leyland</v>
      </c>
      <c r="B74" s="595" t="str">
        <f aca="false">'Plant loading'!B60</f>
        <v>LLDMTX-DCSYS05</v>
      </c>
      <c r="C74" s="595" t="str">
        <f aca="false">'Plant loading'!C60</f>
        <v>HDR48-ES</v>
      </c>
      <c r="D74" s="595" t="n">
        <f aca="false">'Plant loading'!E60</f>
        <v>917</v>
      </c>
      <c r="E74" s="450" t="n">
        <f aca="false">'Plant loading'!H60</f>
        <v>44</v>
      </c>
      <c r="F74" s="595" t="n">
        <f aca="false">'Plant loading'!I60</f>
        <v>3</v>
      </c>
      <c r="G74" s="610" t="n">
        <f aca="false">D74/E74</f>
        <v>20.8409090909091</v>
      </c>
      <c r="H74" s="610" t="n">
        <f aca="false">D74/(E74/2)</f>
        <v>41.6818181818182</v>
      </c>
      <c r="I74" s="449" t="n">
        <f aca="false">IF(AND(C74="eSure",AND(G74&gt;=19.2,G74&lt;=44.8)),0.97,0.92)</f>
        <v>0.92</v>
      </c>
      <c r="J74" s="449" t="n">
        <f aca="false">IF(AND(C74="eSure",AND(H74&gt;=19.2,H74&lt;=44.8)),0.97,0.92)</f>
        <v>0.92</v>
      </c>
      <c r="K74" s="610" t="n">
        <f aca="false">((D74*54.5)/1000)*(1+(1-I74))</f>
        <v>53.97462</v>
      </c>
      <c r="L74" s="610" t="n">
        <f aca="false">((D74*54.5)/1000)*(1+(1-J74))</f>
        <v>53.97462</v>
      </c>
      <c r="M74" s="610" t="n">
        <f aca="false">(E74*F74)*1.08</f>
        <v>142.56</v>
      </c>
      <c r="N74" s="610" t="n">
        <f aca="false">((E74/2)*F74)*1.08</f>
        <v>71.28</v>
      </c>
    </row>
    <row r="75" customFormat="false" ht="10.15" hidden="false" customHeight="false" outlineLevel="0" collapsed="false">
      <c r="A75" s="561" t="str">
        <f aca="false">'Plant loading'!A61</f>
        <v>Leyland</v>
      </c>
      <c r="B75" s="595" t="str">
        <f aca="false">'Plant loading'!B61</f>
        <v>LLDMTX-DCSYS06</v>
      </c>
      <c r="C75" s="595" t="str">
        <f aca="false">'Plant loading'!C61</f>
        <v>HDR48-ES</v>
      </c>
      <c r="D75" s="595" t="n">
        <f aca="false">'Plant loading'!E61</f>
        <v>890</v>
      </c>
      <c r="E75" s="450" t="n">
        <f aca="false">'Plant loading'!H61</f>
        <v>44</v>
      </c>
      <c r="F75" s="595" t="n">
        <f aca="false">'Plant loading'!I61</f>
        <v>3</v>
      </c>
      <c r="G75" s="610" t="n">
        <f aca="false">D75/E75</f>
        <v>20.2272727272727</v>
      </c>
      <c r="H75" s="610" t="n">
        <f aca="false">D75/(E75/2)</f>
        <v>40.4545454545455</v>
      </c>
      <c r="I75" s="449" t="n">
        <f aca="false">IF(AND(C75="eSure",AND(G75&gt;=19.2,G75&lt;=44.8)),0.97,0.92)</f>
        <v>0.92</v>
      </c>
      <c r="J75" s="449" t="n">
        <f aca="false">IF(AND(C75="eSure",AND(H75&gt;=19.2,H75&lt;=44.8)),0.97,0.92)</f>
        <v>0.92</v>
      </c>
      <c r="K75" s="610" t="n">
        <f aca="false">((D75*54.5)/1000)*(1+(1-I75))</f>
        <v>52.3854</v>
      </c>
      <c r="L75" s="610" t="n">
        <f aca="false">((D75*54.5)/1000)*(1+(1-J75))</f>
        <v>52.3854</v>
      </c>
      <c r="M75" s="610" t="n">
        <f aca="false">(E75*F75)*1.08</f>
        <v>142.56</v>
      </c>
      <c r="N75" s="610" t="n">
        <f aca="false">((E75/2)*F75)*1.08</f>
        <v>71.28</v>
      </c>
    </row>
    <row r="76" customFormat="false" ht="10.15" hidden="false" customHeight="false" outlineLevel="0" collapsed="false">
      <c r="A76" s="561" t="str">
        <f aca="false">'Plant loading'!A64</f>
        <v>Milton Keynes</v>
      </c>
      <c r="B76" s="595" t="str">
        <f aca="false">'Plant loading'!B64</f>
        <v>PEAMS</v>
      </c>
      <c r="C76" s="595" t="str">
        <f aca="false">'Plant loading'!C64</f>
        <v>eSure</v>
      </c>
      <c r="D76" s="595" t="n">
        <f aca="false">'Plant loading'!E64</f>
        <v>1109</v>
      </c>
      <c r="E76" s="450" t="n">
        <f aca="false">'Plant loading'!H64</f>
        <v>42</v>
      </c>
      <c r="F76" s="595" t="n">
        <f aca="false">'Plant loading'!I64</f>
        <v>3.5</v>
      </c>
      <c r="G76" s="610" t="n">
        <f aca="false">D76/E76</f>
        <v>26.4047619047619</v>
      </c>
      <c r="H76" s="610" t="n">
        <f aca="false">D76/(E76/2)</f>
        <v>52.8095238095238</v>
      </c>
      <c r="I76" s="449" t="n">
        <f aca="false">IF(AND(C76="eSure",AND(G76&gt;=19.2,G76&lt;=44.8)),0.97,0.92)</f>
        <v>0.97</v>
      </c>
      <c r="J76" s="449" t="n">
        <f aca="false">IF(AND(C76="eSure",AND(H76&gt;=19.2,H76&lt;=44.8)),0.97,0.92)</f>
        <v>0.92</v>
      </c>
      <c r="K76" s="610" t="n">
        <f aca="false">((D76*54.5)/1000)*(1+(1-I76))</f>
        <v>62.253715</v>
      </c>
      <c r="L76" s="610" t="n">
        <f aca="false">((D76*54.5)/1000)*(1+(1-J76))</f>
        <v>65.27574</v>
      </c>
      <c r="M76" s="610" t="n">
        <f aca="false">(E76*F76)*1.08</f>
        <v>158.76</v>
      </c>
      <c r="N76" s="610" t="n">
        <f aca="false">((E76/2)*F76)*1.08</f>
        <v>79.38</v>
      </c>
    </row>
    <row r="77" customFormat="false" ht="10.15" hidden="false" customHeight="false" outlineLevel="0" collapsed="false">
      <c r="A77" s="561" t="str">
        <f aca="false">'Plant loading'!A65</f>
        <v>Milton Keynes</v>
      </c>
      <c r="B77" s="595" t="str">
        <f aca="false">'Plant loading'!B65</f>
        <v>PEBMS</v>
      </c>
      <c r="C77" s="595" t="str">
        <f aca="false">'Plant loading'!C65</f>
        <v>eSure</v>
      </c>
      <c r="D77" s="595" t="n">
        <f aca="false">'Plant loading'!E65</f>
        <v>1027</v>
      </c>
      <c r="E77" s="450" t="n">
        <f aca="false">'Plant loading'!H65</f>
        <v>42</v>
      </c>
      <c r="F77" s="595" t="n">
        <f aca="false">'Plant loading'!I65</f>
        <v>3.5</v>
      </c>
      <c r="G77" s="610" t="n">
        <f aca="false">D77/E77</f>
        <v>24.452380952381</v>
      </c>
      <c r="H77" s="610" t="n">
        <f aca="false">D77/(E77/2)</f>
        <v>48.9047619047619</v>
      </c>
      <c r="I77" s="449" t="n">
        <f aca="false">IF(AND(C77="eSure",AND(G77&gt;=19.2,G77&lt;=44.8)),0.97,0.92)</f>
        <v>0.97</v>
      </c>
      <c r="J77" s="449" t="n">
        <f aca="false">IF(AND(C77="eSure",AND(H77&gt;=19.2,H77&lt;=44.8)),0.97,0.92)</f>
        <v>0.92</v>
      </c>
      <c r="K77" s="610" t="n">
        <f aca="false">((D77*54.5)/1000)*(1+(1-I77))</f>
        <v>57.650645</v>
      </c>
      <c r="L77" s="610" t="n">
        <f aca="false">((D77*54.5)/1000)*(1+(1-J77))</f>
        <v>60.44922</v>
      </c>
      <c r="M77" s="610" t="n">
        <f aca="false">(E77*F77)*1.08</f>
        <v>158.76</v>
      </c>
      <c r="N77" s="610" t="n">
        <f aca="false">((E77/2)*F77)*1.08</f>
        <v>79.38</v>
      </c>
    </row>
    <row r="78" customFormat="false" ht="10.15" hidden="false" customHeight="false" outlineLevel="0" collapsed="false">
      <c r="A78" s="561" t="str">
        <f aca="false">'Plant loading'!A66</f>
        <v>Milton Keynes</v>
      </c>
      <c r="B78" s="595" t="str">
        <f aca="false">'Plant loading'!B66</f>
        <v>PECMS</v>
      </c>
      <c r="C78" s="595" t="str">
        <f aca="false">'Plant loading'!C66</f>
        <v>eSure</v>
      </c>
      <c r="D78" s="595" t="n">
        <f aca="false">'Plant loading'!E66</f>
        <v>1082</v>
      </c>
      <c r="E78" s="450" t="n">
        <f aca="false">'Plant loading'!H66</f>
        <v>42</v>
      </c>
      <c r="F78" s="595" t="n">
        <f aca="false">'Plant loading'!I66</f>
        <v>3.5</v>
      </c>
      <c r="G78" s="610" t="n">
        <f aca="false">D78/E78</f>
        <v>25.7619047619048</v>
      </c>
      <c r="H78" s="610" t="n">
        <f aca="false">D78/(E78/2)</f>
        <v>51.5238095238095</v>
      </c>
      <c r="I78" s="449" t="n">
        <f aca="false">IF(AND(C78="eSure",AND(G78&gt;=19.2,G78&lt;=44.8)),0.97,0.92)</f>
        <v>0.97</v>
      </c>
      <c r="J78" s="449" t="n">
        <f aca="false">IF(AND(C78="eSure",AND(H78&gt;=19.2,H78&lt;=44.8)),0.97,0.92)</f>
        <v>0.92</v>
      </c>
      <c r="K78" s="610" t="n">
        <f aca="false">((D78*54.5)/1000)*(1+(1-I78))</f>
        <v>60.73807</v>
      </c>
      <c r="L78" s="610" t="n">
        <f aca="false">((D78*54.5)/1000)*(1+(1-J78))</f>
        <v>63.68652</v>
      </c>
      <c r="M78" s="610" t="n">
        <f aca="false">(E78*F78)*1.08</f>
        <v>158.76</v>
      </c>
      <c r="N78" s="610" t="n">
        <f aca="false">((E78/2)*F78)*1.08</f>
        <v>79.38</v>
      </c>
    </row>
    <row r="79" customFormat="false" ht="10.15" hidden="false" customHeight="false" outlineLevel="0" collapsed="false">
      <c r="A79" s="561" t="str">
        <f aca="false">'Plant loading'!A67</f>
        <v>Milton Keynes</v>
      </c>
      <c r="B79" s="595" t="str">
        <f aca="false">'Plant loading'!B67</f>
        <v>PEDMS</v>
      </c>
      <c r="C79" s="595" t="str">
        <f aca="false">'Plant loading'!C67</f>
        <v>eSure</v>
      </c>
      <c r="D79" s="595" t="n">
        <f aca="false">'Plant loading'!E67</f>
        <v>1133</v>
      </c>
      <c r="E79" s="450" t="n">
        <f aca="false">'Plant loading'!H67</f>
        <v>42</v>
      </c>
      <c r="F79" s="595" t="n">
        <f aca="false">'Plant loading'!I67</f>
        <v>3.5</v>
      </c>
      <c r="G79" s="610" t="n">
        <f aca="false">D79/E79</f>
        <v>26.9761904761905</v>
      </c>
      <c r="H79" s="610" t="n">
        <f aca="false">D79/(E79/2)</f>
        <v>53.952380952381</v>
      </c>
      <c r="I79" s="449" t="n">
        <f aca="false">IF(AND(C79="eSure",AND(G79&gt;=19.2,G79&lt;=44.8)),0.97,0.92)</f>
        <v>0.97</v>
      </c>
      <c r="J79" s="449" t="n">
        <f aca="false">IF(AND(C79="eSure",AND(H79&gt;=19.2,H79&lt;=44.8)),0.97,0.92)</f>
        <v>0.92</v>
      </c>
      <c r="K79" s="610" t="n">
        <f aca="false">((D79*54.5)/1000)*(1+(1-I79))</f>
        <v>63.600955</v>
      </c>
      <c r="L79" s="610" t="n">
        <f aca="false">((D79*54.5)/1000)*(1+(1-J79))</f>
        <v>66.68838</v>
      </c>
      <c r="M79" s="610" t="n">
        <f aca="false">(E79*F79)*1.08</f>
        <v>158.76</v>
      </c>
      <c r="N79" s="610" t="n">
        <f aca="false">((E79/2)*F79)*1.08</f>
        <v>79.38</v>
      </c>
    </row>
    <row r="80" customFormat="false" ht="10.15" hidden="false" customHeight="false" outlineLevel="0" collapsed="false">
      <c r="A80" s="561" t="str">
        <f aca="false">'Plant loading'!A68</f>
        <v>Milton Keynes</v>
      </c>
      <c r="B80" s="595" t="str">
        <f aca="false">'Plant loading'!B68</f>
        <v>PEEMS</v>
      </c>
      <c r="C80" s="595" t="str">
        <f aca="false">'Plant loading'!C68</f>
        <v>eSure</v>
      </c>
      <c r="D80" s="595" t="n">
        <f aca="false">'Plant loading'!E68</f>
        <v>1069</v>
      </c>
      <c r="E80" s="450" t="n">
        <f aca="false">'Plant loading'!H68</f>
        <v>42</v>
      </c>
      <c r="F80" s="595" t="n">
        <f aca="false">'Plant loading'!I68</f>
        <v>3.5</v>
      </c>
      <c r="G80" s="610" t="n">
        <f aca="false">D80/E80</f>
        <v>25.4523809523809</v>
      </c>
      <c r="H80" s="610" t="n">
        <f aca="false">D80/(E80/2)</f>
        <v>50.9047619047619</v>
      </c>
      <c r="I80" s="449" t="n">
        <f aca="false">IF(AND(C80="eSure",AND(G80&gt;=19.2,G80&lt;=44.8)),0.97,0.92)</f>
        <v>0.97</v>
      </c>
      <c r="J80" s="449" t="n">
        <f aca="false">IF(AND(C80="eSure",AND(H80&gt;=19.2,H80&lt;=44.8)),0.97,0.92)</f>
        <v>0.92</v>
      </c>
      <c r="K80" s="610" t="n">
        <f aca="false">((D80*54.5)/1000)*(1+(1-I80))</f>
        <v>60.008315</v>
      </c>
      <c r="L80" s="610" t="n">
        <f aca="false">((D80*54.5)/1000)*(1+(1-J80))</f>
        <v>62.92134</v>
      </c>
      <c r="M80" s="610" t="n">
        <f aca="false">(E80*F80)*1.08</f>
        <v>158.76</v>
      </c>
      <c r="N80" s="610" t="n">
        <f aca="false">((E80/2)*F80)*1.08</f>
        <v>79.38</v>
      </c>
    </row>
    <row r="81" customFormat="false" ht="10.15" hidden="false" customHeight="false" outlineLevel="0" collapsed="false">
      <c r="A81" s="561" t="str">
        <f aca="false">'Plant loading'!A69</f>
        <v>Milton Keynes</v>
      </c>
      <c r="B81" s="595" t="str">
        <f aca="false">'Plant loading'!B69</f>
        <v>PEFMS</v>
      </c>
      <c r="C81" s="595" t="str">
        <f aca="false">'Plant loading'!C69</f>
        <v>eSure</v>
      </c>
      <c r="D81" s="595" t="n">
        <f aca="false">'Plant loading'!E69</f>
        <v>1053</v>
      </c>
      <c r="E81" s="450" t="n">
        <f aca="false">'Plant loading'!H69</f>
        <v>42</v>
      </c>
      <c r="F81" s="595" t="n">
        <f aca="false">'Plant loading'!I69</f>
        <v>3.5</v>
      </c>
      <c r="G81" s="610" t="n">
        <f aca="false">D81/E81</f>
        <v>25.0714285714286</v>
      </c>
      <c r="H81" s="610" t="n">
        <f aca="false">D81/(E81/2)</f>
        <v>50.1428571428571</v>
      </c>
      <c r="I81" s="449" t="n">
        <f aca="false">IF(AND(C81="eSure",AND(G81&gt;=19.2,G81&lt;=44.8)),0.97,0.92)</f>
        <v>0.97</v>
      </c>
      <c r="J81" s="449" t="n">
        <f aca="false">IF(AND(C81="eSure",AND(H81&gt;=19.2,H81&lt;=44.8)),0.97,0.92)</f>
        <v>0.92</v>
      </c>
      <c r="K81" s="610" t="n">
        <f aca="false">((D81*54.5)/1000)*(1+(1-I81))</f>
        <v>59.110155</v>
      </c>
      <c r="L81" s="610" t="n">
        <f aca="false">((D81*54.5)/1000)*(1+(1-J81))</f>
        <v>61.97958</v>
      </c>
      <c r="M81" s="610" t="n">
        <f aca="false">(E81*F81)*1.08</f>
        <v>158.76</v>
      </c>
      <c r="N81" s="610" t="n">
        <f aca="false">((E81/2)*F81)*1.08</f>
        <v>79.38</v>
      </c>
    </row>
    <row r="82" customFormat="false" ht="10.15" hidden="false" customHeight="false" outlineLevel="0" collapsed="false">
      <c r="A82" s="561" t="str">
        <f aca="false">'Plant loading'!A72</f>
        <v>Oldham</v>
      </c>
      <c r="B82" s="595" t="str">
        <f aca="false">'Plant loading'!B72</f>
        <v>OLDMTX-DCSYS01</v>
      </c>
      <c r="C82" s="595" t="str">
        <f aca="false">'Plant loading'!C72</f>
        <v>HDR48-ES</v>
      </c>
      <c r="D82" s="595" t="n">
        <f aca="false">'Plant loading'!E72</f>
        <v>786</v>
      </c>
      <c r="E82" s="450" t="n">
        <f aca="false">'Plant loading'!H72</f>
        <v>44</v>
      </c>
      <c r="F82" s="595" t="n">
        <f aca="false">'Plant loading'!I72</f>
        <v>3</v>
      </c>
      <c r="G82" s="610" t="n">
        <f aca="false">D82/E82</f>
        <v>17.8636363636364</v>
      </c>
      <c r="H82" s="610" t="n">
        <f aca="false">D82/(E82/2)</f>
        <v>35.7272727272727</v>
      </c>
      <c r="I82" s="449" t="n">
        <f aca="false">IF(AND(C82="eSure",AND(G82&gt;=19.2,G82&lt;=44.8)),0.97,0.92)</f>
        <v>0.92</v>
      </c>
      <c r="J82" s="449" t="n">
        <f aca="false">IF(AND(C82="eSure",AND(H82&gt;=19.2,H82&lt;=44.8)),0.97,0.92)</f>
        <v>0.92</v>
      </c>
      <c r="K82" s="610" t="n">
        <f aca="false">((D82*54.5)/1000)*(1+(1-I82))</f>
        <v>46.26396</v>
      </c>
      <c r="L82" s="610" t="n">
        <f aca="false">((D82*54.5)/1000)*(1+(1-J82))</f>
        <v>46.26396</v>
      </c>
      <c r="M82" s="610" t="n">
        <f aca="false">(E82*F82)*1.08</f>
        <v>142.56</v>
      </c>
      <c r="N82" s="610" t="n">
        <f aca="false">((E82/2)*F82)*1.08</f>
        <v>71.28</v>
      </c>
    </row>
    <row r="83" customFormat="false" ht="10.15" hidden="false" customHeight="false" outlineLevel="0" collapsed="false">
      <c r="A83" s="561" t="str">
        <f aca="false">'Plant loading'!A73</f>
        <v>Oldham</v>
      </c>
      <c r="B83" s="595" t="str">
        <f aca="false">'Plant loading'!B73</f>
        <v>OLDMTX-DCSYS02</v>
      </c>
      <c r="C83" s="595" t="str">
        <f aca="false">'Plant loading'!C73</f>
        <v>HDR48-ES</v>
      </c>
      <c r="D83" s="595" t="n">
        <f aca="false">'Plant loading'!E73</f>
        <v>727</v>
      </c>
      <c r="E83" s="450" t="n">
        <f aca="false">'Plant loading'!H73</f>
        <v>44</v>
      </c>
      <c r="F83" s="595" t="n">
        <f aca="false">'Plant loading'!I73</f>
        <v>3</v>
      </c>
      <c r="G83" s="610" t="n">
        <f aca="false">D83/E83</f>
        <v>16.5227272727273</v>
      </c>
      <c r="H83" s="610" t="n">
        <f aca="false">D83/(E83/2)</f>
        <v>33.0454545454545</v>
      </c>
      <c r="I83" s="449" t="n">
        <f aca="false">IF(AND(C83="eSure",AND(G83&gt;=19.2,G83&lt;=44.8)),0.97,0.92)</f>
        <v>0.92</v>
      </c>
      <c r="J83" s="449" t="n">
        <f aca="false">IF(AND(C83="eSure",AND(H83&gt;=19.2,H83&lt;=44.8)),0.97,0.92)</f>
        <v>0.92</v>
      </c>
      <c r="K83" s="610" t="n">
        <f aca="false">((D83*54.5)/1000)*(1+(1-I83))</f>
        <v>42.79122</v>
      </c>
      <c r="L83" s="610" t="n">
        <f aca="false">((D83*54.5)/1000)*(1+(1-J83))</f>
        <v>42.79122</v>
      </c>
      <c r="M83" s="610" t="n">
        <f aca="false">(E83*F83)*1.08</f>
        <v>142.56</v>
      </c>
      <c r="N83" s="610" t="n">
        <f aca="false">((E83/2)*F83)*1.08</f>
        <v>71.28</v>
      </c>
    </row>
    <row r="84" customFormat="false" ht="10.15" hidden="false" customHeight="false" outlineLevel="0" collapsed="false">
      <c r="A84" s="561" t="str">
        <f aca="false">'Plant loading'!A74</f>
        <v>Oldham</v>
      </c>
      <c r="B84" s="595" t="str">
        <f aca="false">'Plant loading'!B74</f>
        <v>OLDMTX-DCSYS03</v>
      </c>
      <c r="C84" s="595" t="str">
        <f aca="false">'Plant loading'!C74</f>
        <v>HDR48-ES</v>
      </c>
      <c r="D84" s="595" t="n">
        <f aca="false">'Plant loading'!E74</f>
        <v>798</v>
      </c>
      <c r="E84" s="450" t="n">
        <f aca="false">'Plant loading'!H74</f>
        <v>44</v>
      </c>
      <c r="F84" s="595" t="n">
        <f aca="false">'Plant loading'!I74</f>
        <v>3</v>
      </c>
      <c r="G84" s="610" t="n">
        <f aca="false">D84/E84</f>
        <v>18.1363636363636</v>
      </c>
      <c r="H84" s="610" t="n">
        <f aca="false">D84/(E84/2)</f>
        <v>36.2727272727273</v>
      </c>
      <c r="I84" s="449" t="n">
        <f aca="false">IF(AND(C84="eSure",AND(G84&gt;=19.2,G84&lt;=44.8)),0.97,0.92)</f>
        <v>0.92</v>
      </c>
      <c r="J84" s="449" t="n">
        <f aca="false">IF(AND(C84="eSure",AND(H84&gt;=19.2,H84&lt;=44.8)),0.97,0.92)</f>
        <v>0.92</v>
      </c>
      <c r="K84" s="610" t="n">
        <f aca="false">((D84*54.5)/1000)*(1+(1-I84))</f>
        <v>46.97028</v>
      </c>
      <c r="L84" s="610" t="n">
        <f aca="false">((D84*54.5)/1000)*(1+(1-J84))</f>
        <v>46.97028</v>
      </c>
      <c r="M84" s="610" t="n">
        <f aca="false">(E84*F84)*1.08</f>
        <v>142.56</v>
      </c>
      <c r="N84" s="610" t="n">
        <f aca="false">((E84/2)*F84)*1.08</f>
        <v>71.28</v>
      </c>
    </row>
    <row r="85" customFormat="false" ht="10.15" hidden="false" customHeight="false" outlineLevel="0" collapsed="false">
      <c r="A85" s="561" t="str">
        <f aca="false">'Plant loading'!A75</f>
        <v>Oldham</v>
      </c>
      <c r="B85" s="595" t="str">
        <f aca="false">'Plant loading'!B75</f>
        <v>OLDMTX-DCSYS04</v>
      </c>
      <c r="C85" s="595" t="str">
        <f aca="false">'Plant loading'!C75</f>
        <v>HDR48-ES</v>
      </c>
      <c r="D85" s="595" t="n">
        <f aca="false">'Plant loading'!E75</f>
        <v>572</v>
      </c>
      <c r="E85" s="450" t="n">
        <f aca="false">'Plant loading'!H75</f>
        <v>34</v>
      </c>
      <c r="F85" s="595" t="n">
        <f aca="false">'Plant loading'!I75</f>
        <v>3</v>
      </c>
      <c r="G85" s="610" t="n">
        <f aca="false">D85/E85</f>
        <v>16.8235294117647</v>
      </c>
      <c r="H85" s="610" t="n">
        <f aca="false">D85/(E85/2)</f>
        <v>33.6470588235294</v>
      </c>
      <c r="I85" s="449" t="n">
        <f aca="false">IF(AND(C85="eSure",AND(G85&gt;=19.2,G85&lt;=44.8)),0.97,0.92)</f>
        <v>0.92</v>
      </c>
      <c r="J85" s="449" t="n">
        <f aca="false">IF(AND(C85="eSure",AND(H85&gt;=19.2,H85&lt;=44.8)),0.97,0.92)</f>
        <v>0.92</v>
      </c>
      <c r="K85" s="610" t="n">
        <f aca="false">((D85*54.5)/1000)*(1+(1-I85))</f>
        <v>33.66792</v>
      </c>
      <c r="L85" s="610" t="n">
        <f aca="false">((D85*54.5)/1000)*(1+(1-J85))</f>
        <v>33.66792</v>
      </c>
      <c r="M85" s="610" t="n">
        <f aca="false">(E85*F85)*1.08</f>
        <v>110.16</v>
      </c>
      <c r="N85" s="610" t="n">
        <f aca="false">((E85/2)*F85)*1.08</f>
        <v>55.08</v>
      </c>
    </row>
    <row r="86" customFormat="false" ht="10.15" hidden="false" customHeight="false" outlineLevel="0" collapsed="false">
      <c r="A86" s="561" t="str">
        <f aca="false">'Plant loading'!A76</f>
        <v>Oldham</v>
      </c>
      <c r="B86" s="595" t="str">
        <f aca="false">'Plant loading'!B76</f>
        <v>OLDMTX-DCSYS05</v>
      </c>
      <c r="C86" s="595" t="str">
        <f aca="false">'Plant loading'!C76</f>
        <v>HDR48-ES</v>
      </c>
      <c r="D86" s="595" t="n">
        <f aca="false">'Plant loading'!E76</f>
        <v>522</v>
      </c>
      <c r="E86" s="450" t="n">
        <f aca="false">'Plant loading'!H76</f>
        <v>44</v>
      </c>
      <c r="F86" s="595" t="n">
        <f aca="false">'Plant loading'!I76</f>
        <v>3</v>
      </c>
      <c r="G86" s="610" t="n">
        <f aca="false">D86/E86</f>
        <v>11.8636363636364</v>
      </c>
      <c r="H86" s="610" t="n">
        <f aca="false">D86/(E86/2)</f>
        <v>23.7272727272727</v>
      </c>
      <c r="I86" s="449" t="n">
        <f aca="false">IF(AND(C86="eSure",AND(G86&gt;=19.2,G86&lt;=44.8)),0.97,0.92)</f>
        <v>0.92</v>
      </c>
      <c r="J86" s="449" t="n">
        <f aca="false">IF(AND(C86="eSure",AND(H86&gt;=19.2,H86&lt;=44.8)),0.97,0.92)</f>
        <v>0.92</v>
      </c>
      <c r="K86" s="610" t="n">
        <f aca="false">((D86*54.5)/1000)*(1+(1-I86))</f>
        <v>30.72492</v>
      </c>
      <c r="L86" s="610" t="n">
        <f aca="false">((D86*54.5)/1000)*(1+(1-J86))</f>
        <v>30.72492</v>
      </c>
      <c r="M86" s="610" t="n">
        <f aca="false">(E86*F86)*1.08</f>
        <v>142.56</v>
      </c>
      <c r="N86" s="610" t="n">
        <f aca="false">((E86/2)*F86)*1.08</f>
        <v>71.28</v>
      </c>
    </row>
    <row r="87" customFormat="false" ht="10.15" hidden="false" customHeight="false" outlineLevel="0" collapsed="false">
      <c r="A87" s="561" t="str">
        <f aca="false">'Plant loading'!A77</f>
        <v>Oldham</v>
      </c>
      <c r="B87" s="595" t="str">
        <f aca="false">'Plant loading'!B77</f>
        <v>OLDMTX-DCSYS06</v>
      </c>
      <c r="C87" s="595" t="str">
        <f aca="false">'Plant loading'!C77</f>
        <v>HDR48-ES</v>
      </c>
      <c r="D87" s="595" t="n">
        <f aca="false">'Plant loading'!E77</f>
        <v>629</v>
      </c>
      <c r="E87" s="450" t="n">
        <f aca="false">'Plant loading'!H77</f>
        <v>44</v>
      </c>
      <c r="F87" s="595" t="n">
        <f aca="false">'Plant loading'!I77</f>
        <v>3</v>
      </c>
      <c r="G87" s="610" t="n">
        <f aca="false">D87/E87</f>
        <v>14.2954545454545</v>
      </c>
      <c r="H87" s="610" t="n">
        <f aca="false">D87/(E87/2)</f>
        <v>28.5909090909091</v>
      </c>
      <c r="I87" s="449" t="n">
        <f aca="false">IF(AND(C87="eSure",AND(G87&gt;=19.2,G87&lt;=44.8)),0.97,0.92)</f>
        <v>0.92</v>
      </c>
      <c r="J87" s="449" t="n">
        <f aca="false">IF(AND(C87="eSure",AND(H87&gt;=19.2,H87&lt;=44.8)),0.97,0.92)</f>
        <v>0.92</v>
      </c>
      <c r="K87" s="610" t="n">
        <f aca="false">((D87*54.5)/1000)*(1+(1-I87))</f>
        <v>37.02294</v>
      </c>
      <c r="L87" s="610" t="n">
        <f aca="false">((D87*54.5)/1000)*(1+(1-J87))</f>
        <v>37.02294</v>
      </c>
      <c r="M87" s="610" t="n">
        <f aca="false">(E87*F87)*1.08</f>
        <v>142.56</v>
      </c>
      <c r="N87" s="610" t="n">
        <f aca="false">((E87/2)*F87)*1.08</f>
        <v>71.28</v>
      </c>
    </row>
    <row r="88" customFormat="false" ht="10.15" hidden="false" customHeight="false" outlineLevel="0" collapsed="false">
      <c r="A88" s="561" t="str">
        <f aca="false">'Plant loading'!A80</f>
        <v>Rotherham</v>
      </c>
      <c r="B88" s="595" t="str">
        <f aca="false">'Plant loading'!B80</f>
        <v>PEARM</v>
      </c>
      <c r="C88" s="595" t="str">
        <f aca="false">'Plant loading'!C80</f>
        <v>eSure</v>
      </c>
      <c r="D88" s="595" t="n">
        <f aca="false">'Plant loading'!E80</f>
        <v>376</v>
      </c>
      <c r="E88" s="450" t="n">
        <f aca="false">'Plant loading'!H80</f>
        <v>36</v>
      </c>
      <c r="F88" s="595" t="n">
        <f aca="false">'Plant loading'!I80</f>
        <v>3.5</v>
      </c>
      <c r="G88" s="610" t="n">
        <f aca="false">D88/E88</f>
        <v>10.4444444444444</v>
      </c>
      <c r="H88" s="610" t="n">
        <f aca="false">D88/(E88/2)</f>
        <v>20.8888888888889</v>
      </c>
      <c r="I88" s="449" t="n">
        <f aca="false">IF(AND(C88="eSure",AND(G88&gt;=19.2,G88&lt;=44.8)),0.97,0.92)</f>
        <v>0.92</v>
      </c>
      <c r="J88" s="449" t="n">
        <f aca="false">IF(AND(C88="eSure",AND(H88&gt;=19.2,H88&lt;=44.8)),0.97,0.92)</f>
        <v>0.97</v>
      </c>
      <c r="K88" s="610" t="n">
        <f aca="false">((D88*54.5)/1000)*(1+(1-I88))</f>
        <v>22.13136</v>
      </c>
      <c r="L88" s="610" t="n">
        <f aca="false">((D88*54.5)/1000)*(1+(1-J88))</f>
        <v>21.10676</v>
      </c>
      <c r="M88" s="610" t="n">
        <f aca="false">(E88*F88)*1.08</f>
        <v>136.08</v>
      </c>
      <c r="N88" s="610" t="n">
        <f aca="false">((E88/2)*F88)*1.08</f>
        <v>68.04</v>
      </c>
    </row>
    <row r="89" customFormat="false" ht="10.15" hidden="false" customHeight="false" outlineLevel="0" collapsed="false">
      <c r="A89" s="561" t="str">
        <f aca="false">'Plant loading'!A81</f>
        <v>Rotherham</v>
      </c>
      <c r="B89" s="595" t="str">
        <f aca="false">'Plant loading'!B81</f>
        <v>PEBRM</v>
      </c>
      <c r="C89" s="595" t="str">
        <f aca="false">'Plant loading'!C81</f>
        <v>eSure</v>
      </c>
      <c r="D89" s="595" t="n">
        <f aca="false">'Plant loading'!E81</f>
        <v>469</v>
      </c>
      <c r="E89" s="450" t="n">
        <f aca="false">'Plant loading'!H81</f>
        <v>36</v>
      </c>
      <c r="F89" s="595" t="n">
        <f aca="false">'Plant loading'!I81</f>
        <v>3.5</v>
      </c>
      <c r="G89" s="610" t="n">
        <f aca="false">D89/E89</f>
        <v>13.0277777777778</v>
      </c>
      <c r="H89" s="610" t="n">
        <f aca="false">D89/(E89/2)</f>
        <v>26.0555555555556</v>
      </c>
      <c r="I89" s="449" t="n">
        <f aca="false">IF(AND(C89="eSure",AND(G89&gt;=19.2,G89&lt;=44.8)),0.97,0.92)</f>
        <v>0.92</v>
      </c>
      <c r="J89" s="449" t="n">
        <f aca="false">IF(AND(C89="eSure",AND(H89&gt;=19.2,H89&lt;=44.8)),0.97,0.92)</f>
        <v>0.97</v>
      </c>
      <c r="K89" s="610" t="n">
        <f aca="false">((D89*54.5)/1000)*(1+(1-I89))</f>
        <v>27.60534</v>
      </c>
      <c r="L89" s="610" t="n">
        <f aca="false">((D89*54.5)/1000)*(1+(1-J89))</f>
        <v>26.327315</v>
      </c>
      <c r="M89" s="610" t="n">
        <f aca="false">(E89*F89)*1.08</f>
        <v>136.08</v>
      </c>
      <c r="N89" s="610" t="n">
        <f aca="false">((E89/2)*F89)*1.08</f>
        <v>68.04</v>
      </c>
    </row>
    <row r="90" customFormat="false" ht="10.15" hidden="false" customHeight="false" outlineLevel="0" collapsed="false">
      <c r="A90" s="561" t="str">
        <f aca="false">'Plant loading'!A82</f>
        <v>Rotherham</v>
      </c>
      <c r="B90" s="595" t="str">
        <f aca="false">'Plant loading'!B82</f>
        <v>PECRM</v>
      </c>
      <c r="C90" s="595" t="str">
        <f aca="false">'Plant loading'!C82</f>
        <v>eSure</v>
      </c>
      <c r="D90" s="595" t="n">
        <f aca="false">'Plant loading'!E82</f>
        <v>532</v>
      </c>
      <c r="E90" s="450" t="n">
        <f aca="false">'Plant loading'!H82</f>
        <v>36</v>
      </c>
      <c r="F90" s="595" t="n">
        <f aca="false">'Plant loading'!I82</f>
        <v>3.5</v>
      </c>
      <c r="G90" s="610" t="n">
        <f aca="false">D90/E90</f>
        <v>14.7777777777778</v>
      </c>
      <c r="H90" s="610" t="n">
        <f aca="false">D90/(E90/2)</f>
        <v>29.5555555555556</v>
      </c>
      <c r="I90" s="449" t="n">
        <f aca="false">IF(AND(C90="eSure",AND(G90&gt;=19.2,G90&lt;=44.8)),0.97,0.92)</f>
        <v>0.92</v>
      </c>
      <c r="J90" s="449" t="n">
        <f aca="false">IF(AND(C90="eSure",AND(H90&gt;=19.2,H90&lt;=44.8)),0.97,0.92)</f>
        <v>0.97</v>
      </c>
      <c r="K90" s="610" t="n">
        <f aca="false">((D90*54.5)/1000)*(1+(1-I90))</f>
        <v>31.31352</v>
      </c>
      <c r="L90" s="610" t="n">
        <f aca="false">((D90*54.5)/1000)*(1+(1-J90))</f>
        <v>29.86382</v>
      </c>
      <c r="M90" s="610" t="n">
        <f aca="false">(E90*F90)*1.08</f>
        <v>136.08</v>
      </c>
      <c r="N90" s="610" t="n">
        <f aca="false">((E90/2)*F90)*1.08</f>
        <v>68.04</v>
      </c>
    </row>
    <row r="91" customFormat="false" ht="10.15" hidden="false" customHeight="false" outlineLevel="0" collapsed="false">
      <c r="A91" s="561" t="str">
        <f aca="false">'Plant loading'!A83</f>
        <v>Rotherham</v>
      </c>
      <c r="B91" s="595" t="str">
        <f aca="false">'Plant loading'!B83</f>
        <v>PEDRM</v>
      </c>
      <c r="C91" s="595" t="str">
        <f aca="false">'Plant loading'!C83</f>
        <v>eSure</v>
      </c>
      <c r="D91" s="595" t="n">
        <f aca="false">'Plant loading'!E83</f>
        <v>253</v>
      </c>
      <c r="E91" s="450" t="n">
        <f aca="false">'Plant loading'!H83</f>
        <v>36</v>
      </c>
      <c r="F91" s="595" t="n">
        <f aca="false">'Plant loading'!I83</f>
        <v>3.5</v>
      </c>
      <c r="G91" s="610" t="n">
        <f aca="false">D91/E91</f>
        <v>7.02777777777778</v>
      </c>
      <c r="H91" s="610" t="n">
        <f aca="false">D91/(E91/2)</f>
        <v>14.0555555555556</v>
      </c>
      <c r="I91" s="449" t="n">
        <f aca="false">IF(AND(C91="eSure",AND(G91&gt;=19.2,G91&lt;=44.8)),0.97,0.92)</f>
        <v>0.92</v>
      </c>
      <c r="J91" s="449" t="n">
        <f aca="false">IF(AND(C91="eSure",AND(H91&gt;=19.2,H91&lt;=44.8)),0.97,0.92)</f>
        <v>0.92</v>
      </c>
      <c r="K91" s="610" t="n">
        <f aca="false">((D91*54.5)/1000)*(1+(1-I91))</f>
        <v>14.89158</v>
      </c>
      <c r="L91" s="610" t="n">
        <f aca="false">((D91*54.5)/1000)*(1+(1-J91))</f>
        <v>14.89158</v>
      </c>
      <c r="M91" s="610" t="n">
        <f aca="false">(E91*F91)*1.08</f>
        <v>136.08</v>
      </c>
      <c r="N91" s="610" t="n">
        <f aca="false">((E91/2)*F91)*1.08</f>
        <v>68.04</v>
      </c>
    </row>
    <row r="92" customFormat="false" ht="10.15" hidden="false" customHeight="false" outlineLevel="0" collapsed="false">
      <c r="A92" s="561" t="str">
        <f aca="false">'Plant loading'!A84</f>
        <v>Rotherham</v>
      </c>
      <c r="B92" s="595" t="str">
        <f aca="false">'Plant loading'!B84</f>
        <v>PEERM</v>
      </c>
      <c r="C92" s="595" t="str">
        <f aca="false">'Plant loading'!C84</f>
        <v>eSure</v>
      </c>
      <c r="D92" s="595" t="n">
        <f aca="false">'Plant loading'!E84</f>
        <v>212</v>
      </c>
      <c r="E92" s="450" t="n">
        <f aca="false">'Plant loading'!H84</f>
        <v>36</v>
      </c>
      <c r="F92" s="595" t="n">
        <f aca="false">'Plant loading'!I84</f>
        <v>3.5</v>
      </c>
      <c r="G92" s="610" t="n">
        <f aca="false">D92/E92</f>
        <v>5.88888888888889</v>
      </c>
      <c r="H92" s="610" t="n">
        <f aca="false">D92/(E92/2)</f>
        <v>11.7777777777778</v>
      </c>
      <c r="I92" s="449" t="n">
        <f aca="false">IF(AND(C92="eSure",AND(G92&gt;=19.2,G92&lt;=44.8)),0.97,0.92)</f>
        <v>0.92</v>
      </c>
      <c r="J92" s="449" t="n">
        <f aca="false">IF(AND(C92="eSure",AND(H92&gt;=19.2,H92&lt;=44.8)),0.97,0.92)</f>
        <v>0.92</v>
      </c>
      <c r="K92" s="610" t="n">
        <f aca="false">((D92*54.5)/1000)*(1+(1-I92))</f>
        <v>12.47832</v>
      </c>
      <c r="L92" s="610" t="n">
        <f aca="false">((D92*54.5)/1000)*(1+(1-J92))</f>
        <v>12.47832</v>
      </c>
      <c r="M92" s="610" t="n">
        <f aca="false">(E92*F92)*1.08</f>
        <v>136.08</v>
      </c>
      <c r="N92" s="610" t="n">
        <f aca="false">((E92/2)*F92)*1.08</f>
        <v>68.04</v>
      </c>
    </row>
    <row r="93" customFormat="false" ht="10.15" hidden="false" customHeight="false" outlineLevel="0" collapsed="false">
      <c r="A93" s="561" t="str">
        <f aca="false">'Plant loading'!A85</f>
        <v>Southampton</v>
      </c>
      <c r="B93" s="595" t="str">
        <f aca="false">'Plant loading'!B85</f>
        <v>PEASN</v>
      </c>
      <c r="C93" s="595" t="str">
        <f aca="false">'Plant loading'!C85</f>
        <v>eSure</v>
      </c>
      <c r="D93" s="595" t="n">
        <f aca="false">'Plant loading'!E85</f>
        <v>357</v>
      </c>
      <c r="E93" s="450" t="n">
        <f aca="false">'Plant loading'!H85</f>
        <v>36</v>
      </c>
      <c r="F93" s="595" t="n">
        <f aca="false">'Plant loading'!I85</f>
        <v>3.5</v>
      </c>
      <c r="G93" s="610" t="n">
        <f aca="false">D93/E93</f>
        <v>9.91666666666667</v>
      </c>
      <c r="H93" s="610" t="n">
        <f aca="false">D93/(E93/2)</f>
        <v>19.8333333333333</v>
      </c>
      <c r="I93" s="449" t="n">
        <f aca="false">IF(AND(C93="eSure",AND(G93&gt;=19.2,G93&lt;=44.8)),0.97,0.92)</f>
        <v>0.92</v>
      </c>
      <c r="J93" s="449" t="n">
        <f aca="false">IF(AND(C93="eSure",AND(H93&gt;=19.2,H93&lt;=44.8)),0.97,0.92)</f>
        <v>0.97</v>
      </c>
      <c r="K93" s="610" t="n">
        <f aca="false">((D93*54.5)/1000)*(1+(1-I93))</f>
        <v>21.01302</v>
      </c>
      <c r="L93" s="610" t="n">
        <f aca="false">((D93*54.5)/1000)*(1+(1-J93))</f>
        <v>20.040195</v>
      </c>
      <c r="M93" s="610" t="n">
        <f aca="false">(E93*F93)*1.08</f>
        <v>136.08</v>
      </c>
      <c r="N93" s="610" t="n">
        <f aca="false">((E93/2)*F93)*1.08</f>
        <v>68.04</v>
      </c>
    </row>
    <row r="94" customFormat="false" ht="10.15" hidden="false" customHeight="false" outlineLevel="0" collapsed="false">
      <c r="A94" s="561" t="str">
        <f aca="false">'Plant loading'!A86</f>
        <v>Southampton</v>
      </c>
      <c r="B94" s="595" t="str">
        <f aca="false">'Plant loading'!B86</f>
        <v>PEBSN</v>
      </c>
      <c r="C94" s="595" t="str">
        <f aca="false">'Plant loading'!C86</f>
        <v>eSure</v>
      </c>
      <c r="D94" s="595" t="n">
        <f aca="false">'Plant loading'!E86</f>
        <v>488</v>
      </c>
      <c r="E94" s="450" t="n">
        <f aca="false">'Plant loading'!H86</f>
        <v>36</v>
      </c>
      <c r="F94" s="595" t="n">
        <f aca="false">'Plant loading'!I86</f>
        <v>3.5</v>
      </c>
      <c r="G94" s="610" t="n">
        <f aca="false">D94/E94</f>
        <v>13.5555555555556</v>
      </c>
      <c r="H94" s="610" t="n">
        <f aca="false">D94/(E94/2)</f>
        <v>27.1111111111111</v>
      </c>
      <c r="I94" s="449" t="n">
        <f aca="false">IF(AND(C94="eSure",AND(G94&gt;=19.2,G94&lt;=44.8)),0.97,0.92)</f>
        <v>0.92</v>
      </c>
      <c r="J94" s="449" t="n">
        <f aca="false">IF(AND(C94="eSure",AND(H94&gt;=19.2,H94&lt;=44.8)),0.97,0.92)</f>
        <v>0.97</v>
      </c>
      <c r="K94" s="610" t="n">
        <f aca="false">((D94*54.5)/1000)*(1+(1-I94))</f>
        <v>28.72368</v>
      </c>
      <c r="L94" s="610" t="n">
        <f aca="false">((D94*54.5)/1000)*(1+(1-J94))</f>
        <v>27.39388</v>
      </c>
      <c r="M94" s="610" t="n">
        <f aca="false">(E94*F94)*1.08</f>
        <v>136.08</v>
      </c>
      <c r="N94" s="610" t="n">
        <f aca="false">((E94/2)*F94)*1.08</f>
        <v>68.04</v>
      </c>
    </row>
    <row r="95" customFormat="false" ht="10.15" hidden="false" customHeight="false" outlineLevel="0" collapsed="false">
      <c r="A95" s="561" t="str">
        <f aca="false">'Plant loading'!A87</f>
        <v>Southampton</v>
      </c>
      <c r="B95" s="595" t="str">
        <f aca="false">'Plant loading'!B87</f>
        <v>PECSN</v>
      </c>
      <c r="C95" s="595" t="str">
        <f aca="false">'Plant loading'!C87</f>
        <v>eSure</v>
      </c>
      <c r="D95" s="595" t="n">
        <f aca="false">'Plant loading'!E87</f>
        <v>449</v>
      </c>
      <c r="E95" s="450" t="n">
        <f aca="false">'Plant loading'!H87</f>
        <v>36</v>
      </c>
      <c r="F95" s="595" t="n">
        <f aca="false">'Plant loading'!I87</f>
        <v>3.5</v>
      </c>
      <c r="G95" s="610" t="n">
        <f aca="false">D95/E95</f>
        <v>12.4722222222222</v>
      </c>
      <c r="H95" s="610" t="n">
        <f aca="false">D95/(E95/2)</f>
        <v>24.9444444444444</v>
      </c>
      <c r="I95" s="449" t="n">
        <f aca="false">IF(AND(C95="eSure",AND(G95&gt;=19.2,G95&lt;=44.8)),0.97,0.92)</f>
        <v>0.92</v>
      </c>
      <c r="J95" s="449" t="n">
        <f aca="false">IF(AND(C95="eSure",AND(H95&gt;=19.2,H95&lt;=44.8)),0.97,0.92)</f>
        <v>0.97</v>
      </c>
      <c r="K95" s="610" t="n">
        <f aca="false">((D95*54.5)/1000)*(1+(1-I95))</f>
        <v>26.42814</v>
      </c>
      <c r="L95" s="610" t="n">
        <f aca="false">((D95*54.5)/1000)*(1+(1-J95))</f>
        <v>25.204615</v>
      </c>
      <c r="M95" s="610" t="n">
        <f aca="false">(E95*F95)*1.08</f>
        <v>136.08</v>
      </c>
      <c r="N95" s="610" t="n">
        <f aca="false">((E95/2)*F95)*1.08</f>
        <v>68.04</v>
      </c>
    </row>
    <row r="96" customFormat="false" ht="10.15" hidden="false" customHeight="false" outlineLevel="0" collapsed="false">
      <c r="A96" s="561" t="str">
        <f aca="false">'Plant loading'!A88</f>
        <v>Southampton</v>
      </c>
      <c r="B96" s="595" t="str">
        <f aca="false">'Plant loading'!B88</f>
        <v>PEESN</v>
      </c>
      <c r="C96" s="595" t="str">
        <f aca="false">'Plant loading'!C88</f>
        <v>eSure</v>
      </c>
      <c r="D96" s="595" t="n">
        <f aca="false">'Plant loading'!E88</f>
        <v>315</v>
      </c>
      <c r="E96" s="450" t="n">
        <f aca="false">'Plant loading'!H88</f>
        <v>36</v>
      </c>
      <c r="F96" s="595" t="n">
        <f aca="false">'Plant loading'!I88</f>
        <v>3.5</v>
      </c>
      <c r="G96" s="610" t="n">
        <f aca="false">D96/E96</f>
        <v>8.75</v>
      </c>
      <c r="H96" s="610" t="n">
        <f aca="false">D96/(E96/2)</f>
        <v>17.5</v>
      </c>
      <c r="I96" s="449" t="n">
        <f aca="false">IF(AND(C96="eSure",AND(G96&gt;=19.2,G96&lt;=44.8)),0.97,0.92)</f>
        <v>0.92</v>
      </c>
      <c r="J96" s="449" t="n">
        <f aca="false">IF(AND(C96="eSure",AND(H96&gt;=19.2,H96&lt;=44.8)),0.97,0.92)</f>
        <v>0.92</v>
      </c>
      <c r="K96" s="610" t="n">
        <f aca="false">((D96*54.5)/1000)*(1+(1-I96))</f>
        <v>18.5409</v>
      </c>
      <c r="L96" s="610" t="n">
        <f aca="false">((D96*54.5)/1000)*(1+(1-J96))</f>
        <v>18.5409</v>
      </c>
      <c r="M96" s="610" t="n">
        <f aca="false">(E96*F96)*1.08</f>
        <v>136.08</v>
      </c>
      <c r="N96" s="610" t="n">
        <f aca="false">((E96/2)*F96)*1.08</f>
        <v>68.04</v>
      </c>
    </row>
    <row r="97" customFormat="false" ht="10.15" hidden="false" customHeight="false" outlineLevel="0" collapsed="false">
      <c r="A97" s="561" t="str">
        <f aca="false">'Plant loading'!A89</f>
        <v>Swanley</v>
      </c>
      <c r="B97" s="595" t="str">
        <f aca="false">'Plant loading'!B89</f>
        <v>PEASY</v>
      </c>
      <c r="C97" s="595" t="str">
        <f aca="false">'Plant loading'!C89</f>
        <v>eSure</v>
      </c>
      <c r="D97" s="595" t="n">
        <f aca="false">'Plant loading'!E89</f>
        <v>539</v>
      </c>
      <c r="E97" s="450" t="n">
        <f aca="false">'Plant loading'!H89</f>
        <v>36</v>
      </c>
      <c r="F97" s="595" t="n">
        <f aca="false">'Plant loading'!I89</f>
        <v>3.5</v>
      </c>
      <c r="G97" s="610" t="n">
        <f aca="false">D97/E97</f>
        <v>14.9722222222222</v>
      </c>
      <c r="H97" s="610" t="n">
        <f aca="false">D97/(E97/2)</f>
        <v>29.9444444444444</v>
      </c>
      <c r="I97" s="449" t="n">
        <f aca="false">IF(AND(C97="eSure",AND(G97&gt;=19.2,G97&lt;=44.8)),0.97,0.92)</f>
        <v>0.92</v>
      </c>
      <c r="J97" s="449" t="n">
        <f aca="false">IF(AND(C97="eSure",AND(H97&gt;=19.2,H97&lt;=44.8)),0.97,0.92)</f>
        <v>0.97</v>
      </c>
      <c r="K97" s="610" t="n">
        <f aca="false">((D97*54.5)/1000)*(1+(1-I97))</f>
        <v>31.72554</v>
      </c>
      <c r="L97" s="610" t="n">
        <f aca="false">((D97*54.5)/1000)*(1+(1-J97))</f>
        <v>30.256765</v>
      </c>
      <c r="M97" s="610" t="n">
        <f aca="false">(E97*F97)*1.08</f>
        <v>136.08</v>
      </c>
      <c r="N97" s="610" t="n">
        <f aca="false">((E97/2)*F97)*1.08</f>
        <v>68.04</v>
      </c>
    </row>
    <row r="98" customFormat="false" ht="10.15" hidden="false" customHeight="false" outlineLevel="0" collapsed="false">
      <c r="A98" s="561" t="str">
        <f aca="false">'Plant loading'!A90</f>
        <v>Swanley</v>
      </c>
      <c r="B98" s="595" t="str">
        <f aca="false">'Plant loading'!B90</f>
        <v>PEBSY</v>
      </c>
      <c r="C98" s="595" t="str">
        <f aca="false">'Plant loading'!C90</f>
        <v>eSure</v>
      </c>
      <c r="D98" s="595" t="n">
        <f aca="false">'Plant loading'!E90</f>
        <v>462</v>
      </c>
      <c r="E98" s="450" t="n">
        <f aca="false">'Plant loading'!H90</f>
        <v>36</v>
      </c>
      <c r="F98" s="595" t="n">
        <f aca="false">'Plant loading'!I90</f>
        <v>3.5</v>
      </c>
      <c r="G98" s="610" t="n">
        <f aca="false">D98/E98</f>
        <v>12.8333333333333</v>
      </c>
      <c r="H98" s="610" t="n">
        <f aca="false">D98/(E98/2)</f>
        <v>25.6666666666667</v>
      </c>
      <c r="I98" s="449" t="n">
        <f aca="false">IF(AND(C98="eSure",AND(G98&gt;=19.2,G98&lt;=44.8)),0.97,0.92)</f>
        <v>0.92</v>
      </c>
      <c r="J98" s="449" t="n">
        <f aca="false">IF(AND(C98="eSure",AND(H98&gt;=19.2,H98&lt;=44.8)),0.97,0.92)</f>
        <v>0.97</v>
      </c>
      <c r="K98" s="610" t="n">
        <f aca="false">((D98*54.5)/1000)*(1+(1-I98))</f>
        <v>27.19332</v>
      </c>
      <c r="L98" s="610" t="n">
        <f aca="false">((D98*54.5)/1000)*(1+(1-J98))</f>
        <v>25.93437</v>
      </c>
      <c r="M98" s="610" t="n">
        <f aca="false">(E98*F98)*1.08</f>
        <v>136.08</v>
      </c>
      <c r="N98" s="610" t="n">
        <f aca="false">((E98/2)*F98)*1.08</f>
        <v>68.04</v>
      </c>
    </row>
    <row r="99" customFormat="false" ht="10.15" hidden="false" customHeight="false" outlineLevel="0" collapsed="false">
      <c r="A99" s="561" t="str">
        <f aca="false">'Plant loading'!A91</f>
        <v>Swanley</v>
      </c>
      <c r="B99" s="595" t="str">
        <f aca="false">'Plant loading'!B91</f>
        <v>PECSY</v>
      </c>
      <c r="C99" s="595" t="str">
        <f aca="false">'Plant loading'!C91</f>
        <v>eSure</v>
      </c>
      <c r="D99" s="595" t="n">
        <f aca="false">'Plant loading'!E91</f>
        <v>397</v>
      </c>
      <c r="E99" s="450" t="n">
        <f aca="false">'Plant loading'!H91</f>
        <v>36</v>
      </c>
      <c r="F99" s="595" t="n">
        <f aca="false">'Plant loading'!I91</f>
        <v>3.5</v>
      </c>
      <c r="G99" s="610" t="n">
        <f aca="false">D99/E99</f>
        <v>11.0277777777778</v>
      </c>
      <c r="H99" s="610" t="n">
        <f aca="false">D99/(E99/2)</f>
        <v>22.0555555555556</v>
      </c>
      <c r="I99" s="449" t="n">
        <f aca="false">IF(AND(C99="eSure",AND(G99&gt;=19.2,G99&lt;=44.8)),0.97,0.92)</f>
        <v>0.92</v>
      </c>
      <c r="J99" s="449" t="n">
        <f aca="false">IF(AND(C99="eSure",AND(H99&gt;=19.2,H99&lt;=44.8)),0.97,0.92)</f>
        <v>0.97</v>
      </c>
      <c r="K99" s="610" t="n">
        <f aca="false">((D99*54.5)/1000)*(1+(1-I99))</f>
        <v>23.36742</v>
      </c>
      <c r="L99" s="610" t="n">
        <f aca="false">((D99*54.5)/1000)*(1+(1-J99))</f>
        <v>22.285595</v>
      </c>
      <c r="M99" s="610" t="n">
        <f aca="false">(E99*F99)*1.08</f>
        <v>136.08</v>
      </c>
      <c r="N99" s="610" t="n">
        <f aca="false">((E99/2)*F99)*1.08</f>
        <v>68.04</v>
      </c>
    </row>
    <row r="100" customFormat="false" ht="10.15" hidden="false" customHeight="false" outlineLevel="0" collapsed="false">
      <c r="A100" s="561" t="str">
        <f aca="false">'Plant loading'!A92</f>
        <v>Swanley</v>
      </c>
      <c r="B100" s="595" t="str">
        <f aca="false">'Plant loading'!B92</f>
        <v>PEDSY</v>
      </c>
      <c r="C100" s="595" t="str">
        <f aca="false">'Plant loading'!C92</f>
        <v>eSure</v>
      </c>
      <c r="D100" s="595" t="n">
        <f aca="false">'Plant loading'!E92</f>
        <v>282</v>
      </c>
      <c r="E100" s="450" t="n">
        <f aca="false">'Plant loading'!H92</f>
        <v>36</v>
      </c>
      <c r="F100" s="595" t="n">
        <f aca="false">'Plant loading'!I92</f>
        <v>3.5</v>
      </c>
      <c r="G100" s="610" t="n">
        <f aca="false">D100/E100</f>
        <v>7.83333333333333</v>
      </c>
      <c r="H100" s="610" t="n">
        <f aca="false">D100/(E100/2)</f>
        <v>15.6666666666667</v>
      </c>
      <c r="I100" s="449" t="n">
        <f aca="false">IF(AND(C100="eSure",AND(G100&gt;=19.2,G100&lt;=44.8)),0.97,0.92)</f>
        <v>0.92</v>
      </c>
      <c r="J100" s="449" t="n">
        <f aca="false">IF(AND(C100="eSure",AND(H100&gt;=19.2,H100&lt;=44.8)),0.97,0.92)</f>
        <v>0.92</v>
      </c>
      <c r="K100" s="610" t="n">
        <f aca="false">((D100*54.5)/1000)*(1+(1-I100))</f>
        <v>16.59852</v>
      </c>
      <c r="L100" s="610" t="n">
        <f aca="false">((D100*54.5)/1000)*(1+(1-J100))</f>
        <v>16.59852</v>
      </c>
      <c r="M100" s="610" t="n">
        <f aca="false">(E100*F100)*1.08</f>
        <v>136.08</v>
      </c>
      <c r="N100" s="610" t="n">
        <f aca="false">((E100/2)*F100)*1.08</f>
        <v>68.04</v>
      </c>
    </row>
    <row r="101" customFormat="false" ht="10.15" hidden="false" customHeight="false" outlineLevel="0" collapsed="false">
      <c r="A101" s="561" t="str">
        <f aca="false">'Plant loading'!A93</f>
        <v>Swanley</v>
      </c>
      <c r="B101" s="595" t="str">
        <f aca="false">'Plant loading'!B93</f>
        <v>PEESY</v>
      </c>
      <c r="C101" s="595" t="str">
        <f aca="false">'Plant loading'!C93</f>
        <v>eSure</v>
      </c>
      <c r="D101" s="595" t="n">
        <f aca="false">'Plant loading'!E93</f>
        <v>317</v>
      </c>
      <c r="E101" s="450" t="n">
        <f aca="false">'Plant loading'!H93</f>
        <v>30</v>
      </c>
      <c r="F101" s="595" t="n">
        <f aca="false">'Plant loading'!I93</f>
        <v>3.5</v>
      </c>
      <c r="G101" s="610" t="n">
        <f aca="false">D101/E101</f>
        <v>10.5666666666667</v>
      </c>
      <c r="H101" s="610" t="n">
        <f aca="false">D101/(E101/2)</f>
        <v>21.1333333333333</v>
      </c>
      <c r="I101" s="449" t="n">
        <f aca="false">IF(AND(C101="eSure",AND(G101&gt;=19.2,G101&lt;=44.8)),0.97,0.92)</f>
        <v>0.92</v>
      </c>
      <c r="J101" s="449" t="n">
        <f aca="false">IF(AND(C101="eSure",AND(H101&gt;=19.2,H101&lt;=44.8)),0.97,0.92)</f>
        <v>0.97</v>
      </c>
      <c r="K101" s="610" t="n">
        <f aca="false">((D101*54.5)/1000)*(1+(1-I101))</f>
        <v>18.65862</v>
      </c>
      <c r="L101" s="610" t="n">
        <f aca="false">((D101*54.5)/1000)*(1+(1-J101))</f>
        <v>17.794795</v>
      </c>
      <c r="M101" s="610" t="n">
        <f aca="false">(E101*F101)*1.08</f>
        <v>113.4</v>
      </c>
      <c r="N101" s="610" t="n">
        <f aca="false">((E101/2)*F101)*1.08</f>
        <v>56.7</v>
      </c>
    </row>
    <row r="110" customFormat="false" ht="39.6" hidden="false" customHeight="false" outlineLevel="0" collapsed="false">
      <c r="A110" s="563" t="s">
        <v>524</v>
      </c>
      <c r="B110" s="563" t="s">
        <v>580</v>
      </c>
      <c r="C110" s="563" t="s">
        <v>581</v>
      </c>
      <c r="D110" s="563" t="s">
        <v>582</v>
      </c>
      <c r="E110" s="567" t="s">
        <v>597</v>
      </c>
      <c r="F110" s="563"/>
    </row>
    <row r="111" customFormat="false" ht="10.15" hidden="false" customHeight="false" outlineLevel="0" collapsed="false">
      <c r="A111" s="595" t="s">
        <v>274</v>
      </c>
      <c r="B111" s="450" t="n">
        <f aca="false">'Plant loading'!G94</f>
        <v>41.2565</v>
      </c>
      <c r="C111" s="450" t="n">
        <f aca="false">SUM('Plant loading'!J94:J95)</f>
        <v>230</v>
      </c>
      <c r="D111" s="450" t="n">
        <f aca="false">SUM('Plant loading'!L94:L95)</f>
        <v>114</v>
      </c>
      <c r="E111" s="595" t="n">
        <v>223</v>
      </c>
    </row>
    <row r="112" customFormat="false" ht="10.15" hidden="false" customHeight="false" outlineLevel="0" collapsed="false">
      <c r="A112" s="595" t="s">
        <v>276</v>
      </c>
      <c r="B112" s="450" t="n">
        <f aca="false">'Plant loading'!G96</f>
        <v>39.5125</v>
      </c>
      <c r="C112" s="450" t="n">
        <f aca="false">SUM('Plant loading'!J96:J98)</f>
        <v>229</v>
      </c>
      <c r="D112" s="450" t="n">
        <f aca="false">SUM('Plant loading'!L96:L98)</f>
        <v>113</v>
      </c>
      <c r="E112" s="595" t="n">
        <v>240</v>
      </c>
    </row>
    <row r="113" customFormat="false" ht="11.25" hidden="false" customHeight="false" outlineLevel="0" collapsed="false">
      <c r="A113" s="595" t="s">
        <v>277</v>
      </c>
      <c r="B113" s="450" t="n">
        <f aca="false">'Plant loading'!G99</f>
        <v>44.0905</v>
      </c>
      <c r="C113" s="450" t="n">
        <f aca="false">SUM('Plant loading'!J99:J100)</f>
        <v>230</v>
      </c>
      <c r="D113" s="450" t="n">
        <f aca="false">SUM('Plant loading'!L99:L100)-42</f>
        <v>72</v>
      </c>
      <c r="E113" s="611" t="n">
        <v>72</v>
      </c>
    </row>
    <row r="114" customFormat="false" ht="10.15" hidden="false" customHeight="false" outlineLevel="0" collapsed="false">
      <c r="A114" s="595" t="s">
        <v>278</v>
      </c>
      <c r="B114" s="450" t="n">
        <f aca="false">'Plant loading'!G101</f>
        <v>33.136</v>
      </c>
      <c r="C114" s="450" t="n">
        <f aca="false">SUM('Plant loading'!J101:J102)</f>
        <v>230</v>
      </c>
      <c r="D114" s="450" t="n">
        <f aca="false">SUM('Plant loading'!L101:L102)</f>
        <v>114</v>
      </c>
      <c r="E114" s="595" t="n">
        <v>300</v>
      </c>
    </row>
    <row r="115" customFormat="false" ht="10.15" hidden="false" customHeight="false" outlineLevel="0" collapsed="false">
      <c r="A115" s="595" t="s">
        <v>279</v>
      </c>
      <c r="B115" s="450" t="n">
        <f aca="false">'Plant loading'!G103</f>
        <v>9.7555</v>
      </c>
      <c r="C115" s="450" t="n">
        <f aca="false">SUM('Plant loading'!J103:J104)</f>
        <v>62</v>
      </c>
      <c r="D115" s="450" t="n">
        <f aca="false">SUM('Plant loading'!L103:L104)</f>
        <v>42</v>
      </c>
      <c r="E115" s="595" t="n">
        <v>75</v>
      </c>
    </row>
    <row r="116" customFormat="false" ht="10.15" hidden="false" customHeight="false" outlineLevel="0" collapsed="false">
      <c r="A116" s="595" t="s">
        <v>280</v>
      </c>
      <c r="B116" s="450" t="n">
        <f aca="false">'Plant loading'!G105</f>
        <v>54.5545</v>
      </c>
      <c r="C116" s="450" t="n">
        <f aca="false">SUM('Plant loading'!J105:J106)</f>
        <v>230</v>
      </c>
      <c r="D116" s="450" t="n">
        <f aca="false">SUM('Plant loading'!L105:L106)</f>
        <v>114</v>
      </c>
      <c r="E116" s="595" t="n">
        <v>135</v>
      </c>
    </row>
    <row r="117" customFormat="false" ht="10.15" hidden="false" customHeight="false" outlineLevel="0" collapsed="false">
      <c r="A117" s="595" t="s">
        <v>281</v>
      </c>
      <c r="B117" s="450" t="n">
        <f aca="false">'Plant loading'!G107</f>
        <v>29.212</v>
      </c>
      <c r="C117" s="450" t="n">
        <f aca="false">SUM('Plant loading'!J107:J108)</f>
        <v>230</v>
      </c>
      <c r="D117" s="450" t="n">
        <f aca="false">SUM('Plant loading'!L107:L108)</f>
        <v>114</v>
      </c>
      <c r="E117" s="595" t="n">
        <v>140</v>
      </c>
    </row>
    <row r="118" customFormat="false" ht="10.15" hidden="false" customHeight="false" outlineLevel="0" collapsed="false">
      <c r="A118" s="595" t="s">
        <v>282</v>
      </c>
      <c r="B118" s="450" t="n">
        <f aca="false">'Plant loading'!G109</f>
        <v>38.695</v>
      </c>
      <c r="C118" s="450" t="n">
        <f aca="false">SUM('Plant loading'!J109:J111)</f>
        <v>287</v>
      </c>
      <c r="D118" s="450" t="n">
        <f aca="false">SUM('Plant loading'!L109:L111)</f>
        <v>142</v>
      </c>
      <c r="E118" s="595" t="n">
        <v>235</v>
      </c>
    </row>
    <row r="119" customFormat="false" ht="10.15" hidden="false" customHeight="false" outlineLevel="0" collapsed="false">
      <c r="A119" s="595" t="s">
        <v>283</v>
      </c>
      <c r="B119" s="450" t="n">
        <f aca="false">'Plant loading'!G112</f>
        <v>16.132</v>
      </c>
      <c r="C119" s="450" t="n">
        <f aca="false">SUM('Plant loading'!J112:J113)</f>
        <v>211</v>
      </c>
      <c r="D119" s="450" t="n">
        <f aca="false">SUM('Plant loading'!L112:L113)</f>
        <v>105</v>
      </c>
      <c r="E119" s="595" t="n">
        <v>150</v>
      </c>
    </row>
    <row r="120" customFormat="false" ht="10.15" hidden="false" customHeight="false" outlineLevel="0" collapsed="false">
      <c r="A120" s="595" t="s">
        <v>284</v>
      </c>
      <c r="B120" s="450" t="n">
        <f aca="false">'Plant loading'!G114</f>
        <v>43.927</v>
      </c>
      <c r="C120" s="450" t="n">
        <f aca="false">SUM('Plant loading'!J114:J115)</f>
        <v>230</v>
      </c>
      <c r="D120" s="450" t="n">
        <f aca="false">SUM('Plant loading'!L114:L115)</f>
        <v>114</v>
      </c>
      <c r="E120" s="595" t="n">
        <v>272</v>
      </c>
    </row>
    <row r="121" customFormat="false" ht="10.15" hidden="false" customHeight="false" outlineLevel="0" collapsed="false">
      <c r="A121" s="595" t="s">
        <v>285</v>
      </c>
      <c r="B121" s="450" t="n">
        <f aca="false">'Plant loading'!G116</f>
        <v>45.126</v>
      </c>
      <c r="C121" s="450" t="n">
        <f aca="false">SUM('Plant loading'!J116:J118)</f>
        <v>171</v>
      </c>
      <c r="D121" s="450" t="n">
        <f aca="false">SUM('Plant loading'!L116:L118)</f>
        <v>84</v>
      </c>
      <c r="E121" s="595" t="n">
        <v>150</v>
      </c>
    </row>
  </sheetData>
  <mergeCells count="5">
    <mergeCell ref="K1:L1"/>
    <mergeCell ref="G20:H20"/>
    <mergeCell ref="I20:J20"/>
    <mergeCell ref="K20:L20"/>
    <mergeCell ref="M20:N20"/>
  </mergeCells>
  <conditionalFormatting sqref="L3">
    <cfRule type="expression" priority="2" aboveAverage="0" equalAverage="0" bottom="0" percent="0" rank="0" text="" dxfId="58">
      <formula>"F3&lt;K3"</formula>
    </cfRule>
  </conditionalFormatting>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119" activeCellId="0" sqref="P119"/>
    </sheetView>
  </sheetViews>
  <sheetFormatPr defaultColWidth="8.66796875" defaultRowHeight="10.15" zeroHeight="false" outlineLevelRow="0" outlineLevelCol="1"/>
  <cols>
    <col collapsed="false" customWidth="true" hidden="false" outlineLevel="0" max="1" min="1" style="0" width="22.66"/>
    <col collapsed="false" customWidth="true" hidden="false" outlineLevel="0" max="2" min="2" style="0" width="34"/>
    <col collapsed="false" customWidth="true" hidden="false" outlineLevel="0" max="3" min="3" style="0" width="19.83"/>
    <col collapsed="false" customWidth="true" hidden="false" outlineLevel="0" max="4" min="4" style="0" width="22.83"/>
    <col collapsed="false" customWidth="true" hidden="false" outlineLevel="1" max="5" min="5" style="0" width="12"/>
    <col collapsed="false" customWidth="true" hidden="false" outlineLevel="1" max="13" min="6" style="0" width="15.66"/>
    <col collapsed="false" customWidth="true" hidden="false" outlineLevel="1" max="14" min="14" style="0" width="16.66"/>
    <col collapsed="false" customWidth="true" hidden="false" outlineLevel="1" max="15" min="15" style="0" width="16.34"/>
    <col collapsed="false" customWidth="true" hidden="false" outlineLevel="1" max="16" min="16" style="0" width="26.66"/>
    <col collapsed="false" customWidth="true" hidden="false" outlineLevel="0" max="17" min="17" style="595" width="9.17"/>
    <col collapsed="false" customWidth="true" hidden="false" outlineLevel="0" max="18" min="18" style="595" width="9"/>
    <col collapsed="false" customWidth="true" hidden="false" outlineLevel="1" max="20" min="19" style="595" width="8.83"/>
    <col collapsed="false" customWidth="true" hidden="false" outlineLevel="0" max="22" min="21" style="0" width="8.83"/>
    <col collapsed="false" customWidth="true" hidden="false" outlineLevel="0" max="24" min="24" style="0" width="16.83"/>
    <col collapsed="false" customWidth="true" hidden="false" outlineLevel="0" max="26" min="26" style="0" width="16.83"/>
    <col collapsed="false" customWidth="true" hidden="false" outlineLevel="0" max="27" min="27" style="0" width="15.83"/>
    <col collapsed="false" customWidth="true" hidden="false" outlineLevel="0" max="28" min="28" style="0" width="9"/>
    <col collapsed="false" customWidth="true" hidden="false" outlineLevel="0" max="30" min="29" style="0" width="8.83"/>
    <col collapsed="false" customWidth="true" hidden="false" outlineLevel="0" max="32" min="32" style="0" width="8.83"/>
    <col collapsed="false" customWidth="true" hidden="false" outlineLevel="0" max="35" min="35" style="0" width="8.83"/>
    <col collapsed="false" customWidth="true" hidden="false" outlineLevel="0" max="36" min="36" style="0" width="9"/>
    <col collapsed="false" customWidth="true" hidden="false" outlineLevel="0" max="38" min="38" style="0" width="9"/>
    <col collapsed="false" customWidth="true" hidden="false" outlineLevel="0" max="39" min="39" style="0" width="8.83"/>
    <col collapsed="false" customWidth="true" hidden="false" outlineLevel="0" max="40" min="40" style="0" width="8.5"/>
    <col collapsed="false" customWidth="true" hidden="false" outlineLevel="0" max="43" min="42" style="0" width="8.5"/>
    <col collapsed="false" customWidth="true" hidden="false" outlineLevel="0" max="44" min="44" style="0" width="8.83"/>
    <col collapsed="false" customWidth="true" hidden="false" outlineLevel="0" max="47" min="46" style="0" width="8.5"/>
    <col collapsed="false" customWidth="true" hidden="false" outlineLevel="0" max="48" min="48" style="0" width="8.83"/>
    <col collapsed="false" customWidth="true" hidden="false" outlineLevel="0" max="52" min="52" style="0" width="8.5"/>
    <col collapsed="false" customWidth="true" hidden="false" outlineLevel="0" max="55" min="54" style="0" width="8.5"/>
    <col collapsed="false" customWidth="true" hidden="false" outlineLevel="0" max="59" min="57" style="0" width="8.5"/>
    <col collapsed="false" customWidth="true" hidden="false" outlineLevel="0" max="60" min="60" style="0" width="8.83"/>
    <col collapsed="false" customWidth="true" hidden="false" outlineLevel="0" max="63" min="61" style="0" width="9"/>
    <col collapsed="false" customWidth="true" hidden="false" outlineLevel="0" max="67" min="64" style="0" width="8.83"/>
    <col collapsed="false" customWidth="true" hidden="false" outlineLevel="0" max="68" min="68" style="0" width="9"/>
    <col collapsed="false" customWidth="true" hidden="false" outlineLevel="0" max="69" min="69" style="0" width="9.5"/>
    <col collapsed="false" customWidth="true" hidden="false" outlineLevel="0" max="72" min="72" style="0" width="8.83"/>
    <col collapsed="false" customWidth="true" hidden="false" outlineLevel="0" max="73" min="73" style="0" width="9.17"/>
    <col collapsed="false" customWidth="true" hidden="false" outlineLevel="0" max="74" min="74" style="0" width="9"/>
    <col collapsed="false" customWidth="true" hidden="false" outlineLevel="0" max="75" min="75" style="0" width="9.5"/>
    <col collapsed="false" customWidth="true" hidden="false" outlineLevel="0" max="76" min="76" style="0" width="13.66"/>
  </cols>
  <sheetData>
    <row r="1" customFormat="false" ht="10.15" hidden="false" customHeight="false" outlineLevel="0" collapsed="false">
      <c r="B1" s="609" t="s">
        <v>598</v>
      </c>
      <c r="C1" s="609" t="s">
        <v>599</v>
      </c>
      <c r="D1" s="608" t="s">
        <v>600</v>
      </c>
      <c r="E1" s="608"/>
    </row>
    <row r="2" customFormat="false" ht="10.15" hidden="false" customHeight="false" outlineLevel="0" collapsed="false">
      <c r="A2" s="442" t="s">
        <v>601</v>
      </c>
      <c r="B2" s="612" t="n">
        <v>45383</v>
      </c>
      <c r="C2" s="612" t="n">
        <f aca="false">B2+364</f>
        <v>45747</v>
      </c>
      <c r="D2" s="612" t="n">
        <f aca="false">B2-B5</f>
        <v>42827</v>
      </c>
      <c r="E2" s="612" t="n">
        <f aca="false">C2-B5</f>
        <v>43191</v>
      </c>
      <c r="G2" s="613" t="s">
        <v>602</v>
      </c>
      <c r="H2" s="613"/>
      <c r="I2" s="614" t="n">
        <f aca="false">B147</f>
        <v>0</v>
      </c>
    </row>
    <row r="3" customFormat="false" ht="10.15" hidden="false" customHeight="false" outlineLevel="0" collapsed="false">
      <c r="A3" s="442" t="s">
        <v>603</v>
      </c>
      <c r="B3" s="612" t="n">
        <f aca="false">B2+366</f>
        <v>45749</v>
      </c>
      <c r="C3" s="612" t="n">
        <f aca="false">C2+365</f>
        <v>46112</v>
      </c>
      <c r="D3" s="612" t="n">
        <f aca="false">B3-B5</f>
        <v>43193</v>
      </c>
      <c r="E3" s="612" t="n">
        <f aca="false">C3-B5</f>
        <v>43556</v>
      </c>
      <c r="G3" s="615" t="s">
        <v>604</v>
      </c>
      <c r="H3" s="615"/>
      <c r="I3" s="614" t="n">
        <f aca="false">D147</f>
        <v>0</v>
      </c>
    </row>
    <row r="4" customFormat="false" ht="10.15" hidden="false" customHeight="false" outlineLevel="0" collapsed="false">
      <c r="A4" s="442" t="s">
        <v>605</v>
      </c>
      <c r="B4" s="595" t="n">
        <v>7</v>
      </c>
      <c r="C4" s="595"/>
    </row>
    <row r="5" customFormat="false" ht="10.9" hidden="false" customHeight="false" outlineLevel="0" collapsed="false">
      <c r="A5" s="442" t="s">
        <v>606</v>
      </c>
      <c r="B5" s="595" t="n">
        <f aca="false">(B4*365)+1</f>
        <v>2556</v>
      </c>
      <c r="C5" s="595"/>
    </row>
    <row r="6" customFormat="false" ht="10.15" hidden="false" customHeight="false" outlineLevel="0" collapsed="false">
      <c r="W6" s="616" t="s">
        <v>601</v>
      </c>
      <c r="X6" s="616"/>
      <c r="Y6" s="616" t="s">
        <v>607</v>
      </c>
      <c r="Z6" s="616"/>
    </row>
    <row r="7" s="620" customFormat="true" ht="31.5" hidden="false" customHeight="true" outlineLevel="0" collapsed="false">
      <c r="A7" s="442" t="s">
        <v>524</v>
      </c>
      <c r="B7" s="442" t="s">
        <v>592</v>
      </c>
      <c r="C7" s="609" t="s">
        <v>608</v>
      </c>
      <c r="D7" s="617" t="s">
        <v>609</v>
      </c>
      <c r="E7" s="617" t="s">
        <v>610</v>
      </c>
      <c r="F7" s="609" t="s">
        <v>611</v>
      </c>
      <c r="G7" s="609" t="s">
        <v>612</v>
      </c>
      <c r="H7" s="609" t="s">
        <v>613</v>
      </c>
      <c r="I7" s="609" t="s">
        <v>614</v>
      </c>
      <c r="J7" s="609" t="s">
        <v>615</v>
      </c>
      <c r="K7" s="609" t="s">
        <v>616</v>
      </c>
      <c r="L7" s="609" t="s">
        <v>617</v>
      </c>
      <c r="M7" s="609" t="s">
        <v>618</v>
      </c>
      <c r="N7" s="609" t="s">
        <v>619</v>
      </c>
      <c r="O7" s="609" t="s">
        <v>620</v>
      </c>
      <c r="P7" s="609" t="s">
        <v>621</v>
      </c>
      <c r="Q7" s="617" t="s">
        <v>622</v>
      </c>
      <c r="R7" s="617" t="s">
        <v>623</v>
      </c>
      <c r="S7" s="617" t="s">
        <v>624</v>
      </c>
      <c r="T7" s="617" t="s">
        <v>625</v>
      </c>
      <c r="U7" s="617" t="s">
        <v>626</v>
      </c>
      <c r="V7" s="617" t="s">
        <v>627</v>
      </c>
      <c r="W7" s="618" t="s">
        <v>628</v>
      </c>
      <c r="X7" s="619" t="s">
        <v>629</v>
      </c>
      <c r="Y7" s="618" t="s">
        <v>628</v>
      </c>
      <c r="Z7" s="619" t="s">
        <v>629</v>
      </c>
      <c r="AA7" s="617" t="s">
        <v>524</v>
      </c>
    </row>
    <row r="8" customFormat="false" ht="10.5" hidden="false" customHeight="true" outlineLevel="0" collapsed="false">
      <c r="A8" s="621" t="str">
        <f aca="false">'Plant loading'!A4</f>
        <v>Acton</v>
      </c>
      <c r="B8" s="621" t="str">
        <f aca="false">'Plant loading'!B4</f>
        <v>PEAAN</v>
      </c>
      <c r="C8" s="622" t="n">
        <f aca="false">('Plant loading'!E4*54.5)/1000</f>
        <v>31.828</v>
      </c>
      <c r="D8" s="623" t="str">
        <f aca="false">CHOOSE(T8,$C$130,$D$130,$E$130,$F$130,$G$130,$H$130,$I$130,$J$130,$K$130,$L$130,$M$130,$N$130,$O$130,$P$130,$Q$130,$R$130)</f>
        <v>3 hours</v>
      </c>
      <c r="E8" s="624" t="n">
        <v>44105</v>
      </c>
      <c r="F8" s="625" t="n">
        <v>44105</v>
      </c>
      <c r="G8" s="625" t="n">
        <v>44105</v>
      </c>
      <c r="H8" s="625" t="n">
        <v>44105</v>
      </c>
      <c r="I8" s="625" t="n">
        <v>44105</v>
      </c>
      <c r="J8" s="625" t="n">
        <v>44105</v>
      </c>
      <c r="K8" s="625" t="n">
        <v>44105</v>
      </c>
      <c r="L8" s="625" t="n">
        <v>44105</v>
      </c>
      <c r="M8" s="625" t="n">
        <v>44105</v>
      </c>
      <c r="N8" s="624"/>
      <c r="O8" s="624"/>
      <c r="P8" s="626" t="s">
        <v>630</v>
      </c>
      <c r="R8" s="595" t="n">
        <f aca="false">COUNT(E8:P8)</f>
        <v>9</v>
      </c>
      <c r="S8" s="595" t="n">
        <f aca="false">C8/R8</f>
        <v>3.53644444444444</v>
      </c>
      <c r="T8" s="595" t="n">
        <f aca="false">MATCH(S8,$C$134:$R$134,-1)</f>
        <v>11</v>
      </c>
      <c r="U8" s="595" t="n">
        <f aca="false">COUNTIFS(E8:P8,"&gt;="&amp;$D$3,E8:P8,"&lt;="&amp;$E$3)</f>
        <v>0</v>
      </c>
      <c r="V8" s="595" t="n">
        <f aca="false">COUNTIFS(E8:P8,"&lt;="&amp;$E$2)</f>
        <v>0</v>
      </c>
      <c r="W8" s="627" t="n">
        <f aca="false">MATCH($E8,$B$177:$Q$177,1)</f>
        <v>7</v>
      </c>
      <c r="X8" s="628" t="str">
        <f aca="false">CHOOSE(ROUNDUP((W8/2),0),$B$179,$D$179,$F$179,$H$179,$J$179,$L$179,$N$179,$P$179)</f>
        <v>Discharge</v>
      </c>
      <c r="Y8" s="627" t="n">
        <f aca="false">MATCH($E8,$B$183:$S$183,1)</f>
        <v>7</v>
      </c>
      <c r="Z8" s="628" t="str">
        <f aca="false">CHOOSE(ROUNDUP((Y8/2),0),$B$185,$D$185,$F$185,$H$185,$J$185,$L$185,$N$185,$P$185,$R$185)</f>
        <v>IR+HC</v>
      </c>
      <c r="AA8" s="629" t="str">
        <f aca="false">A8</f>
        <v>Acton</v>
      </c>
      <c r="AB8" s="0" t="str">
        <f aca="false">B8</f>
        <v>PEAAN</v>
      </c>
    </row>
    <row r="9" customFormat="false" ht="10.15" hidden="false" customHeight="false" outlineLevel="0" collapsed="false">
      <c r="A9" s="630" t="str">
        <f aca="false">'Plant loading'!A5</f>
        <v>Acton</v>
      </c>
      <c r="B9" s="630" t="str">
        <f aca="false">'Plant loading'!B5</f>
        <v>PEBAN</v>
      </c>
      <c r="C9" s="631" t="n">
        <f aca="false">('Plant loading'!E5*54.5)/1000</f>
        <v>29.8115</v>
      </c>
      <c r="D9" s="632" t="str">
        <f aca="false">CHOOSE(T9,$C$130,$D$130,$E$130,$F$130,$G$130,$H$130,$I$130,$J$130,$K$130,$L$130,$M$130,$N$130,$O$130,$P$130,$Q$130,$R$130)</f>
        <v>4 hours</v>
      </c>
      <c r="E9" s="612" t="n">
        <v>44105</v>
      </c>
      <c r="F9" s="633" t="n">
        <v>44105</v>
      </c>
      <c r="G9" s="633" t="n">
        <v>44105</v>
      </c>
      <c r="H9" s="633" t="n">
        <v>44105</v>
      </c>
      <c r="I9" s="633" t="n">
        <v>44105</v>
      </c>
      <c r="J9" s="633" t="n">
        <v>44105</v>
      </c>
      <c r="K9" s="633" t="n">
        <v>44105</v>
      </c>
      <c r="L9" s="633" t="n">
        <v>44105</v>
      </c>
      <c r="M9" s="633" t="n">
        <v>44105</v>
      </c>
      <c r="N9" s="612"/>
      <c r="O9" s="612"/>
      <c r="P9" s="634" t="s">
        <v>630</v>
      </c>
      <c r="R9" s="595" t="n">
        <f aca="false">COUNT(E9:P9)</f>
        <v>9</v>
      </c>
      <c r="S9" s="595" t="n">
        <f aca="false">C9/R9</f>
        <v>3.31238888888889</v>
      </c>
      <c r="T9" s="595" t="n">
        <f aca="false">MATCH(S9,$C$134:$R$134,-1)</f>
        <v>12</v>
      </c>
      <c r="U9" s="595" t="n">
        <f aca="false">COUNTIFS(E9:P9,"&gt;="&amp;$D$3,E9:P9,"&lt;="&amp;$E$3)</f>
        <v>0</v>
      </c>
      <c r="V9" s="595" t="n">
        <f aca="false">COUNTIFS(E9:P9,"&lt;="&amp;$E$2)</f>
        <v>0</v>
      </c>
      <c r="W9" s="627" t="n">
        <f aca="false">MATCH($E9,$B$177:$Q$177,1)</f>
        <v>7</v>
      </c>
      <c r="X9" s="628" t="str">
        <f aca="false">CHOOSE(ROUNDUP((W9/2),0),$B$179,$D$179,$F$179,$H$179,$J$179,$L$179,$N$179,$P$179)</f>
        <v>Discharge</v>
      </c>
      <c r="Y9" s="627" t="n">
        <f aca="false">MATCH($E9,$B$183:$S$183,1)</f>
        <v>7</v>
      </c>
      <c r="Z9" s="628" t="str">
        <f aca="false">CHOOSE(ROUNDUP((Y9/2),0),$B$185,$D$185,$F$185,$H$185,$J$185,$L$185,$N$185,$P$185,$R$185)</f>
        <v>IR+HC</v>
      </c>
      <c r="AA9" s="629"/>
      <c r="AB9" s="0" t="str">
        <f aca="false">B9</f>
        <v>PEBAN</v>
      </c>
    </row>
    <row r="10" customFormat="false" ht="10.15" hidden="false" customHeight="false" outlineLevel="0" collapsed="false">
      <c r="A10" s="630" t="str">
        <f aca="false">'Plant loading'!A6</f>
        <v>Acton</v>
      </c>
      <c r="B10" s="630" t="str">
        <f aca="false">'Plant loading'!B6</f>
        <v>PECAN</v>
      </c>
      <c r="C10" s="631" t="n">
        <f aca="false">('Plant loading'!E6*54.5)/1000</f>
        <v>24.4705</v>
      </c>
      <c r="D10" s="632" t="str">
        <f aca="false">CHOOSE(T10,$C$130,$D$130,$E$130,$F$130,$G$130,$H$130,$I$130,$J$130,$K$130,$L$130,$M$130,$N$130,$O$130,$P$130,$Q$130,$R$130)</f>
        <v>5 hours</v>
      </c>
      <c r="E10" s="612" t="n">
        <v>44105</v>
      </c>
      <c r="F10" s="633" t="n">
        <v>44105</v>
      </c>
      <c r="G10" s="633" t="n">
        <v>44105</v>
      </c>
      <c r="H10" s="633" t="n">
        <v>44105</v>
      </c>
      <c r="I10" s="633" t="n">
        <v>44105</v>
      </c>
      <c r="J10" s="633" t="n">
        <v>44105</v>
      </c>
      <c r="K10" s="633" t="n">
        <v>44105</v>
      </c>
      <c r="L10" s="633" t="n">
        <v>44105</v>
      </c>
      <c r="M10" s="633" t="n">
        <v>44105</v>
      </c>
      <c r="N10" s="612"/>
      <c r="O10" s="612"/>
      <c r="P10" s="634" t="s">
        <v>630</v>
      </c>
      <c r="R10" s="595" t="n">
        <f aca="false">COUNT(E10:P10)</f>
        <v>9</v>
      </c>
      <c r="S10" s="595" t="n">
        <f aca="false">C10/R10</f>
        <v>2.71894444444444</v>
      </c>
      <c r="T10" s="595" t="n">
        <f aca="false">MATCH(S10,$C$134:$R$134,-1)</f>
        <v>13</v>
      </c>
      <c r="U10" s="595" t="n">
        <f aca="false">COUNTIFS(E10:P10,"&gt;="&amp;$D$3,E10:P10,"&lt;="&amp;$E$3)</f>
        <v>0</v>
      </c>
      <c r="V10" s="595" t="n">
        <f aca="false">COUNTIFS(E10:P10,"&lt;="&amp;$E$2)</f>
        <v>0</v>
      </c>
      <c r="W10" s="627" t="n">
        <f aca="false">MATCH($E10,$B$177:$Q$177,1)</f>
        <v>7</v>
      </c>
      <c r="X10" s="628" t="str">
        <f aca="false">CHOOSE(ROUNDUP((W10/2),0),$B$179,$D$179,$F$179,$H$179,$J$179,$L$179,$N$179,$P$179)</f>
        <v>Discharge</v>
      </c>
      <c r="Y10" s="627" t="n">
        <f aca="false">MATCH($E10,$B$183:$S$183,1)</f>
        <v>7</v>
      </c>
      <c r="Z10" s="628" t="str">
        <f aca="false">CHOOSE(ROUNDUP((Y10/2),0),$B$185,$D$185,$F$185,$H$185,$J$185,$L$185,$N$185,$P$185,$R$185)</f>
        <v>IR+HC</v>
      </c>
      <c r="AA10" s="629"/>
      <c r="AB10" s="0" t="str">
        <f aca="false">B10</f>
        <v>PECAN</v>
      </c>
    </row>
    <row r="11" customFormat="false" ht="10.15" hidden="false" customHeight="false" outlineLevel="0" collapsed="false">
      <c r="A11" s="630" t="str">
        <f aca="false">'Plant loading'!A7</f>
        <v>Acton</v>
      </c>
      <c r="B11" s="630" t="str">
        <f aca="false">'Plant loading'!B7</f>
        <v>PEFAN</v>
      </c>
      <c r="C11" s="631" t="n">
        <f aca="false">('Plant loading'!E7*54.5)/1000</f>
        <v>37.7685</v>
      </c>
      <c r="D11" s="632" t="str">
        <f aca="false">CHOOSE(T11,$C$130,$D$130,$E$130,$F$130,$G$130,$H$130,$I$130,$J$130,$K$130,$L$130,$M$130,$N$130,$O$130,$P$130,$Q$130,$R$130)</f>
        <v>3 hours</v>
      </c>
      <c r="E11" s="612" t="n">
        <v>44105</v>
      </c>
      <c r="F11" s="633" t="n">
        <v>44105</v>
      </c>
      <c r="G11" s="633" t="n">
        <v>44105</v>
      </c>
      <c r="H11" s="633" t="n">
        <v>44105</v>
      </c>
      <c r="I11" s="633" t="n">
        <v>44105</v>
      </c>
      <c r="J11" s="633" t="n">
        <v>44105</v>
      </c>
      <c r="K11" s="633" t="n">
        <v>44105</v>
      </c>
      <c r="L11" s="633" t="n">
        <v>44105</v>
      </c>
      <c r="M11" s="633" t="n">
        <v>44105</v>
      </c>
      <c r="N11" s="612"/>
      <c r="O11" s="612"/>
      <c r="P11" s="634" t="s">
        <v>630</v>
      </c>
      <c r="R11" s="595" t="n">
        <f aca="false">COUNT(E11:P11)</f>
        <v>9</v>
      </c>
      <c r="S11" s="595" t="n">
        <f aca="false">C11/R11</f>
        <v>4.1965</v>
      </c>
      <c r="T11" s="595" t="n">
        <f aca="false">MATCH(S11,$C$134:$R$134,-1)</f>
        <v>11</v>
      </c>
      <c r="U11" s="595" t="n">
        <f aca="false">COUNTIFS(E11:P11,"&gt;="&amp;$D$3,E11:P11,"&lt;="&amp;$E$3)</f>
        <v>0</v>
      </c>
      <c r="V11" s="595" t="n">
        <f aca="false">COUNTIFS(E11:P11,"&lt;="&amp;$E$2)</f>
        <v>0</v>
      </c>
      <c r="W11" s="627" t="n">
        <f aca="false">MATCH($E11,$B$177:$Q$177,1)</f>
        <v>7</v>
      </c>
      <c r="X11" s="628" t="str">
        <f aca="false">CHOOSE(ROUNDUP((W11/2),0),$B$179,$D$179,$F$179,$H$179,$J$179,$L$179,$N$179,$P$179)</f>
        <v>Discharge</v>
      </c>
      <c r="Y11" s="627" t="n">
        <f aca="false">MATCH($E11,$B$183:$S$183,1)</f>
        <v>7</v>
      </c>
      <c r="Z11" s="628" t="str">
        <f aca="false">CHOOSE(ROUNDUP((Y11/2),0),$B$185,$D$185,$F$185,$H$185,$J$185,$L$185,$N$185,$P$185,$R$185)</f>
        <v>IR+HC</v>
      </c>
      <c r="AA11" s="629"/>
      <c r="AB11" s="0" t="str">
        <f aca="false">B11</f>
        <v>PEFAN</v>
      </c>
    </row>
    <row r="12" customFormat="false" ht="10.15" hidden="false" customHeight="false" outlineLevel="0" collapsed="false">
      <c r="A12" s="630" t="str">
        <f aca="false">'Plant loading'!A8</f>
        <v>Acton</v>
      </c>
      <c r="B12" s="630" t="str">
        <f aca="false">'Plant loading'!B8</f>
        <v>PEGAN</v>
      </c>
      <c r="C12" s="631" t="n">
        <f aca="false">('Plant loading'!E8*54.5)/1000</f>
        <v>40.2755</v>
      </c>
      <c r="D12" s="632" t="str">
        <f aca="false">CHOOSE(T12,$C$130,$D$130,$E$130,$F$130,$G$130,$H$130,$I$130,$J$130,$K$130,$L$130,$M$130,$N$130,$O$130,$P$130,$Q$130,$R$130)</f>
        <v>2.5 hours</v>
      </c>
      <c r="E12" s="612" t="n">
        <v>44105</v>
      </c>
      <c r="F12" s="633" t="n">
        <v>44105</v>
      </c>
      <c r="G12" s="633" t="n">
        <v>44105</v>
      </c>
      <c r="H12" s="635" t="n">
        <v>44105</v>
      </c>
      <c r="I12" s="633" t="n">
        <v>44105</v>
      </c>
      <c r="J12" s="633" t="n">
        <v>44105</v>
      </c>
      <c r="K12" s="633" t="n">
        <v>44105</v>
      </c>
      <c r="L12" s="633" t="n">
        <v>44105</v>
      </c>
      <c r="M12" s="633" t="n">
        <v>44105</v>
      </c>
      <c r="N12" s="612"/>
      <c r="O12" s="612"/>
      <c r="P12" s="634" t="s">
        <v>630</v>
      </c>
      <c r="R12" s="595" t="n">
        <f aca="false">COUNT(E12:P12)</f>
        <v>9</v>
      </c>
      <c r="S12" s="595" t="n">
        <f aca="false">C12/R12</f>
        <v>4.47505555555556</v>
      </c>
      <c r="T12" s="595" t="n">
        <f aca="false">MATCH(S12,$C$134:$R$134,-1)</f>
        <v>10</v>
      </c>
      <c r="U12" s="595" t="n">
        <f aca="false">COUNTIFS(E12:P12,"&gt;="&amp;$D$3,E12:P12,"&lt;="&amp;$E$3)</f>
        <v>0</v>
      </c>
      <c r="V12" s="595" t="n">
        <f aca="false">COUNTIFS(E12:P12,"&lt;="&amp;$E$2)</f>
        <v>0</v>
      </c>
      <c r="W12" s="627" t="n">
        <f aca="false">MATCH($E12,$B$177:$Q$177,1)</f>
        <v>7</v>
      </c>
      <c r="X12" s="628" t="str">
        <f aca="false">CHOOSE(ROUNDUP((W12/2),0),$B$179,$D$179,$F$179,$H$179,$J$179,$L$179,$N$179,$P$179)</f>
        <v>Discharge</v>
      </c>
      <c r="Y12" s="627" t="n">
        <f aca="false">MATCH($E12,$B$183:$S$183,1)</f>
        <v>7</v>
      </c>
      <c r="Z12" s="628" t="str">
        <f aca="false">CHOOSE(ROUNDUP((Y12/2),0),$B$185,$D$185,$F$185,$H$185,$J$185,$L$185,$N$185,$P$185,$R$185)</f>
        <v>IR+HC</v>
      </c>
      <c r="AA12" s="629"/>
      <c r="AB12" s="0" t="str">
        <f aca="false">B12</f>
        <v>PEGAN</v>
      </c>
    </row>
    <row r="13" customFormat="false" ht="10.15" hidden="false" customHeight="false" outlineLevel="0" collapsed="false">
      <c r="A13" s="636" t="str">
        <f aca="false">'Plant loading'!A9</f>
        <v>Basingstoke</v>
      </c>
      <c r="B13" s="636" t="str">
        <f aca="false">'Plant loading'!B9</f>
        <v>PEABE</v>
      </c>
      <c r="C13" s="637" t="n">
        <f aca="false">('Plant loading'!E9*54.5)/1000</f>
        <v>41.3655</v>
      </c>
      <c r="D13" s="638" t="str">
        <f aca="false">CHOOSE(T13,$C$130,$D$130,$E$130,$F$130,$G$130,$H$130,$I$130,$J$130,$K$130,$L$130,$M$130,$N$130,$O$130,$P$130,$Q$130,$R$130)</f>
        <v>2.5 hours</v>
      </c>
      <c r="E13" s="624" t="n">
        <v>45170</v>
      </c>
      <c r="F13" s="624" t="n">
        <v>45170</v>
      </c>
      <c r="G13" s="624" t="n">
        <v>45170</v>
      </c>
      <c r="H13" s="624" t="n">
        <v>45170</v>
      </c>
      <c r="I13" s="624" t="n">
        <v>45170</v>
      </c>
      <c r="J13" s="624" t="n">
        <v>45170</v>
      </c>
      <c r="K13" s="624" t="n">
        <v>45170</v>
      </c>
      <c r="L13" s="624" t="n">
        <v>45170</v>
      </c>
      <c r="M13" s="624" t="n">
        <v>45170</v>
      </c>
      <c r="N13" s="624"/>
      <c r="O13" s="624"/>
      <c r="P13" s="626" t="s">
        <v>630</v>
      </c>
      <c r="R13" s="595" t="n">
        <f aca="false">COUNT(E13:P13)</f>
        <v>9</v>
      </c>
      <c r="S13" s="595" t="n">
        <f aca="false">C13/R13</f>
        <v>4.59616666666667</v>
      </c>
      <c r="T13" s="595" t="n">
        <f aca="false">MATCH(S13,$C$134:$R$134,-1)</f>
        <v>10</v>
      </c>
      <c r="U13" s="595" t="n">
        <f aca="false">COUNTIFS(E13:P13,"&gt;="&amp;$D$3,E13:P13,"&lt;="&amp;$E$3)</f>
        <v>0</v>
      </c>
      <c r="V13" s="595" t="n">
        <f aca="false">COUNTIFS(E13:P13,"&lt;="&amp;$E$2)</f>
        <v>0</v>
      </c>
      <c r="W13" s="627" t="n">
        <f aca="false">MATCH($E13,$B$177:$Q$177,1)</f>
        <v>13</v>
      </c>
      <c r="X13" s="639" t="str">
        <f aca="false">CHOOSE(ROUNDUP((W13/2),0),$B$179,$D$179,$F$179,$H$179,$J$179,$L$179,$N$179,$P$179)</f>
        <v>IR+HC</v>
      </c>
      <c r="Y13" s="627" t="n">
        <f aca="false">MATCH($E13,$B$183:$S$183,1)</f>
        <v>13</v>
      </c>
      <c r="Z13" s="639" t="str">
        <f aca="false">CHOOSE(ROUNDUP((Y13/2),0),$B$185,$D$185,$F$185,$H$185,$J$185,$L$185,$N$185,$P$185,$R$185)</f>
        <v>Discharge</v>
      </c>
      <c r="AA13" s="640" t="str">
        <f aca="false">A13</f>
        <v>Basingstoke</v>
      </c>
      <c r="AB13" s="0" t="str">
        <f aca="false">B13</f>
        <v>PEABE</v>
      </c>
    </row>
    <row r="14" customFormat="false" ht="10.15" hidden="false" customHeight="false" outlineLevel="0" collapsed="false">
      <c r="A14" s="641" t="str">
        <f aca="false">'Plant loading'!A10</f>
        <v>Basingstoke</v>
      </c>
      <c r="B14" s="641" t="str">
        <f aca="false">'Plant loading'!B10</f>
        <v>PEBBE</v>
      </c>
      <c r="C14" s="642" t="n">
        <f aca="false">('Plant loading'!E10*54.5)/1000</f>
        <v>49.159</v>
      </c>
      <c r="D14" s="643" t="str">
        <f aca="false">CHOOSE(T14,$C$130,$D$130,$E$130,$F$130,$G$130,$H$130,$I$130,$J$130,$K$130,$L$130,$M$130,$N$130,$O$130,$P$130,$Q$130,$R$130)</f>
        <v>2 hours</v>
      </c>
      <c r="E14" s="612" t="n">
        <v>45170</v>
      </c>
      <c r="F14" s="612" t="n">
        <v>45170</v>
      </c>
      <c r="G14" s="612" t="n">
        <v>45170</v>
      </c>
      <c r="H14" s="612" t="n">
        <v>45170</v>
      </c>
      <c r="I14" s="612" t="n">
        <v>45170</v>
      </c>
      <c r="J14" s="612" t="n">
        <v>45170</v>
      </c>
      <c r="K14" s="612" t="n">
        <v>45170</v>
      </c>
      <c r="L14" s="612" t="n">
        <v>45170</v>
      </c>
      <c r="M14" s="612" t="n">
        <v>45170</v>
      </c>
      <c r="N14" s="612"/>
      <c r="O14" s="612"/>
      <c r="P14" s="634" t="s">
        <v>630</v>
      </c>
      <c r="R14" s="595" t="n">
        <f aca="false">COUNT(E14:P14)</f>
        <v>9</v>
      </c>
      <c r="S14" s="595" t="n">
        <f aca="false">C14/R14</f>
        <v>5.46211111111111</v>
      </c>
      <c r="T14" s="595" t="n">
        <f aca="false">MATCH(S14,$C$134:$R$134,-1)</f>
        <v>9</v>
      </c>
      <c r="U14" s="595" t="n">
        <f aca="false">COUNTIFS(E14:P14,"&gt;="&amp;$D$3,E14:P14,"&lt;="&amp;$E$3)</f>
        <v>0</v>
      </c>
      <c r="V14" s="595" t="n">
        <f aca="false">COUNTIFS(E14:P14,"&lt;="&amp;$E$2)</f>
        <v>0</v>
      </c>
      <c r="W14" s="627" t="n">
        <f aca="false">MATCH($E14,$B$177:$Q$177,1)</f>
        <v>13</v>
      </c>
      <c r="X14" s="639" t="str">
        <f aca="false">CHOOSE(ROUNDUP((W14/2),0),$B$179,$D$179,$F$179,$H$179,$J$179,$L$179,$N$179,$P$179)</f>
        <v>IR+HC</v>
      </c>
      <c r="Y14" s="627" t="n">
        <f aca="false">MATCH($E14,$B$183:$S$183,1)</f>
        <v>13</v>
      </c>
      <c r="Z14" s="639" t="str">
        <f aca="false">CHOOSE(ROUNDUP((Y14/2),0),$B$185,$D$185,$F$185,$H$185,$J$185,$L$185,$N$185,$P$185,$R$185)</f>
        <v>Discharge</v>
      </c>
      <c r="AA14" s="640"/>
      <c r="AB14" s="0" t="str">
        <f aca="false">B14</f>
        <v>PEBBE</v>
      </c>
    </row>
    <row r="15" customFormat="false" ht="10.15" hidden="false" customHeight="false" outlineLevel="0" collapsed="false">
      <c r="A15" s="641" t="str">
        <f aca="false">'Plant loading'!A11</f>
        <v>Basingstoke</v>
      </c>
      <c r="B15" s="641" t="str">
        <f aca="false">'Plant loading'!B11</f>
        <v>PECBE</v>
      </c>
      <c r="C15" s="642" t="n">
        <f aca="false">('Plant loading'!E11*54.5)/1000</f>
        <v>46.2705</v>
      </c>
      <c r="D15" s="643" t="str">
        <f aca="false">CHOOSE(T15,$C$130,$D$130,$E$130,$F$130,$G$130,$H$130,$I$130,$J$130,$K$130,$L$130,$M$130,$N$130,$O$130,$P$130,$Q$130,$R$130)</f>
        <v>2 hours</v>
      </c>
      <c r="E15" s="612" t="n">
        <v>45170</v>
      </c>
      <c r="F15" s="612" t="n">
        <v>45170</v>
      </c>
      <c r="G15" s="612" t="n">
        <v>45170</v>
      </c>
      <c r="H15" s="612" t="n">
        <v>45170</v>
      </c>
      <c r="I15" s="612" t="n">
        <v>45170</v>
      </c>
      <c r="J15" s="612" t="n">
        <v>45170</v>
      </c>
      <c r="K15" s="612" t="n">
        <v>45170</v>
      </c>
      <c r="L15" s="612" t="n">
        <v>45170</v>
      </c>
      <c r="M15" s="612" t="n">
        <v>45170</v>
      </c>
      <c r="N15" s="612"/>
      <c r="O15" s="612"/>
      <c r="P15" s="634" t="s">
        <v>630</v>
      </c>
      <c r="R15" s="595" t="n">
        <f aca="false">COUNT(E15:P15)</f>
        <v>9</v>
      </c>
      <c r="S15" s="595" t="n">
        <f aca="false">C15/R15</f>
        <v>5.14116666666667</v>
      </c>
      <c r="T15" s="595" t="n">
        <f aca="false">MATCH(S15,$C$134:$R$134,-1)</f>
        <v>9</v>
      </c>
      <c r="U15" s="595" t="n">
        <f aca="false">COUNTIFS(E15:P15,"&gt;="&amp;$D$3,E15:P15,"&lt;="&amp;$E$3)</f>
        <v>0</v>
      </c>
      <c r="V15" s="595" t="n">
        <f aca="false">COUNTIFS(E15:P15,"&lt;="&amp;$E$2)</f>
        <v>0</v>
      </c>
      <c r="W15" s="627" t="n">
        <f aca="false">MATCH($E15,$B$177:$Q$177,1)</f>
        <v>13</v>
      </c>
      <c r="X15" s="639" t="str">
        <f aca="false">CHOOSE(ROUNDUP((W15/2),0),$B$179,$D$179,$F$179,$H$179,$J$179,$L$179,$N$179,$P$179)</f>
        <v>IR+HC</v>
      </c>
      <c r="Y15" s="627" t="n">
        <f aca="false">MATCH($E15,$B$183:$S$183,1)</f>
        <v>13</v>
      </c>
      <c r="Z15" s="639" t="str">
        <f aca="false">CHOOSE(ROUNDUP((Y15/2),0),$B$185,$D$185,$F$185,$H$185,$J$185,$L$185,$N$185,$P$185,$R$185)</f>
        <v>Discharge</v>
      </c>
      <c r="AA15" s="640"/>
      <c r="AB15" s="0" t="str">
        <f aca="false">B15</f>
        <v>PECBE</v>
      </c>
    </row>
    <row r="16" customFormat="false" ht="10.15" hidden="false" customHeight="false" outlineLevel="0" collapsed="false">
      <c r="A16" s="641" t="str">
        <f aca="false">'Plant loading'!A12</f>
        <v>Basingstoke</v>
      </c>
      <c r="B16" s="641" t="str">
        <f aca="false">'Plant loading'!B12</f>
        <v>PEEBE</v>
      </c>
      <c r="C16" s="642" t="n">
        <f aca="false">('Plant loading'!E12*54.5)/1000</f>
        <v>48.7775</v>
      </c>
      <c r="D16" s="643" t="str">
        <f aca="false">CHOOSE(T16,$C$130,$D$130,$E$130,$F$130,$G$130,$H$130,$I$130,$J$130,$K$130,$L$130,$M$130,$N$130,$O$130,$P$130,$Q$130,$R$130)</f>
        <v>2 hours</v>
      </c>
      <c r="E16" s="612" t="n">
        <v>45170</v>
      </c>
      <c r="F16" s="612" t="n">
        <v>45170</v>
      </c>
      <c r="G16" s="612" t="n">
        <v>45170</v>
      </c>
      <c r="H16" s="612" t="n">
        <v>45170</v>
      </c>
      <c r="I16" s="612" t="n">
        <v>45170</v>
      </c>
      <c r="J16" s="612" t="n">
        <v>45170</v>
      </c>
      <c r="K16" s="612" t="n">
        <v>45170</v>
      </c>
      <c r="L16" s="612" t="n">
        <v>45170</v>
      </c>
      <c r="M16" s="612" t="n">
        <v>45170</v>
      </c>
      <c r="N16" s="612"/>
      <c r="O16" s="612"/>
      <c r="P16" s="634" t="s">
        <v>630</v>
      </c>
      <c r="R16" s="595" t="n">
        <f aca="false">COUNT(E16:P16)</f>
        <v>9</v>
      </c>
      <c r="S16" s="595" t="n">
        <f aca="false">C16/R16</f>
        <v>5.41972222222222</v>
      </c>
      <c r="T16" s="595" t="n">
        <f aca="false">MATCH(S16,$C$134:$R$134,-1)</f>
        <v>9</v>
      </c>
      <c r="U16" s="595" t="n">
        <f aca="false">COUNTIFS(E16:P16,"&gt;="&amp;$D$3,E16:P16,"&lt;="&amp;$E$3)</f>
        <v>0</v>
      </c>
      <c r="V16" s="595" t="n">
        <f aca="false">COUNTIFS(E16:P16,"&lt;="&amp;$E$2)</f>
        <v>0</v>
      </c>
      <c r="W16" s="627" t="n">
        <f aca="false">MATCH($E16,$B$177:$Q$177,1)</f>
        <v>13</v>
      </c>
      <c r="X16" s="639" t="str">
        <f aca="false">CHOOSE(ROUNDUP((W16/2),0),$B$179,$D$179,$F$179,$H$179,$J$179,$L$179,$N$179,$P$179)</f>
        <v>IR+HC</v>
      </c>
      <c r="Y16" s="627" t="n">
        <f aca="false">MATCH($E16,$B$183:$S$183,1)</f>
        <v>13</v>
      </c>
      <c r="Z16" s="639" t="str">
        <f aca="false">CHOOSE(ROUNDUP((Y16/2),0),$B$185,$D$185,$F$185,$H$185,$J$185,$L$185,$N$185,$P$185,$R$185)</f>
        <v>Discharge</v>
      </c>
      <c r="AA16" s="640"/>
      <c r="AB16" s="0" t="str">
        <f aca="false">B16</f>
        <v>PEEBE</v>
      </c>
    </row>
    <row r="17" customFormat="false" ht="10.15" hidden="false" customHeight="false" outlineLevel="0" collapsed="false">
      <c r="A17" s="641" t="str">
        <f aca="false">'Plant loading'!A13</f>
        <v>Basingstoke</v>
      </c>
      <c r="B17" s="641" t="str">
        <f aca="false">'Plant loading'!B13</f>
        <v>PEFBE</v>
      </c>
      <c r="C17" s="642" t="n">
        <f aca="false">('Plant loading'!E13*54.5)/1000</f>
        <v>46.652</v>
      </c>
      <c r="D17" s="643" t="str">
        <f aca="false">CHOOSE(T17,$C$130,$D$130,$E$130,$F$130,$G$130,$H$130,$I$130,$J$130,$K$130,$L$130,$M$130,$N$130,$O$130,$P$130,$Q$130,$R$130)</f>
        <v>2 hours</v>
      </c>
      <c r="E17" s="612" t="n">
        <v>45170</v>
      </c>
      <c r="F17" s="612" t="n">
        <v>45170</v>
      </c>
      <c r="G17" s="612" t="n">
        <v>45170</v>
      </c>
      <c r="H17" s="612" t="n">
        <v>45170</v>
      </c>
      <c r="I17" s="612" t="n">
        <v>45170</v>
      </c>
      <c r="J17" s="612" t="n">
        <v>45170</v>
      </c>
      <c r="K17" s="612" t="n">
        <v>45170</v>
      </c>
      <c r="L17" s="612" t="n">
        <v>45170</v>
      </c>
      <c r="M17" s="612" t="n">
        <v>45170</v>
      </c>
      <c r="N17" s="612"/>
      <c r="O17" s="612"/>
      <c r="P17" s="634" t="s">
        <v>630</v>
      </c>
      <c r="R17" s="595" t="n">
        <f aca="false">COUNT(E17:P17)</f>
        <v>9</v>
      </c>
      <c r="S17" s="595" t="n">
        <f aca="false">C17/R17</f>
        <v>5.18355555555556</v>
      </c>
      <c r="T17" s="595" t="n">
        <f aca="false">MATCH(S17,$C$134:$R$134,-1)</f>
        <v>9</v>
      </c>
      <c r="U17" s="595" t="n">
        <f aca="false">COUNTIFS(E17:P17,"&gt;="&amp;$D$3,E17:P17,"&lt;="&amp;$E$3)</f>
        <v>0</v>
      </c>
      <c r="V17" s="595" t="n">
        <f aca="false">COUNTIFS(E17:P17,"&lt;="&amp;$E$2)</f>
        <v>0</v>
      </c>
      <c r="W17" s="627" t="n">
        <f aca="false">MATCH($E17,$B$177:$Q$177,1)</f>
        <v>13</v>
      </c>
      <c r="X17" s="639" t="str">
        <f aca="false">CHOOSE(ROUNDUP((W17/2),0),$B$179,$D$179,$F$179,$H$179,$J$179,$L$179,$N$179,$P$179)</f>
        <v>IR+HC</v>
      </c>
      <c r="Y17" s="627" t="n">
        <f aca="false">MATCH($E17,$B$183:$S$183,1)</f>
        <v>13</v>
      </c>
      <c r="Z17" s="639" t="str">
        <f aca="false">CHOOSE(ROUNDUP((Y17/2),0),$B$185,$D$185,$F$185,$H$185,$J$185,$L$185,$N$185,$P$185,$R$185)</f>
        <v>Discharge</v>
      </c>
      <c r="AA17" s="640"/>
      <c r="AB17" s="0" t="str">
        <f aca="false">B17</f>
        <v>PEFBE</v>
      </c>
    </row>
    <row r="18" customFormat="false" ht="10.15" hidden="false" customHeight="false" outlineLevel="0" collapsed="false">
      <c r="A18" s="641" t="str">
        <f aca="false">'Plant loading'!A14</f>
        <v>Basingstoke</v>
      </c>
      <c r="B18" s="641" t="str">
        <f aca="false">'Plant loading'!B14</f>
        <v>PEGBE</v>
      </c>
      <c r="C18" s="642" t="n">
        <f aca="false">('Plant loading'!E14*54.5)/1000</f>
        <v>50.9575</v>
      </c>
      <c r="D18" s="643" t="str">
        <f aca="false">CHOOSE(T18,$C$130,$D$130,$E$130,$F$130,$G$130,$H$130,$I$130,$J$130,$K$130,$L$130,$M$130,$N$130,$O$130,$P$130,$Q$130,$R$130)</f>
        <v>1.5 hours</v>
      </c>
      <c r="E18" s="612" t="n">
        <v>45170</v>
      </c>
      <c r="F18" s="612" t="n">
        <v>45170</v>
      </c>
      <c r="G18" s="612" t="n">
        <v>45170</v>
      </c>
      <c r="H18" s="612" t="n">
        <v>45170</v>
      </c>
      <c r="I18" s="612" t="n">
        <v>45170</v>
      </c>
      <c r="J18" s="612" t="n">
        <v>45170</v>
      </c>
      <c r="K18" s="612" t="n">
        <v>45170</v>
      </c>
      <c r="L18" s="612" t="n">
        <v>45170</v>
      </c>
      <c r="M18" s="612"/>
      <c r="N18" s="612"/>
      <c r="O18" s="612"/>
      <c r="P18" s="634" t="s">
        <v>630</v>
      </c>
      <c r="R18" s="595" t="n">
        <f aca="false">COUNT(E18:P18)</f>
        <v>8</v>
      </c>
      <c r="S18" s="595" t="n">
        <f aca="false">C18/R18</f>
        <v>6.3696875</v>
      </c>
      <c r="T18" s="595" t="n">
        <f aca="false">MATCH(S18,$C$134:$R$134,-1)</f>
        <v>8</v>
      </c>
      <c r="U18" s="595" t="n">
        <f aca="false">COUNTIFS(E18:P18,"&gt;="&amp;$D$3,E18:P18,"&lt;="&amp;$E$3)</f>
        <v>0</v>
      </c>
      <c r="V18" s="595" t="n">
        <f aca="false">COUNTIFS(E18:P18,"&lt;="&amp;$E$2)</f>
        <v>0</v>
      </c>
      <c r="W18" s="627" t="n">
        <f aca="false">MATCH($E18,$B$177:$Q$177,1)</f>
        <v>13</v>
      </c>
      <c r="X18" s="639" t="str">
        <f aca="false">CHOOSE(ROUNDUP((W18/2),0),$B$179,$D$179,$F$179,$H$179,$J$179,$L$179,$N$179,$P$179)</f>
        <v>IR+HC</v>
      </c>
      <c r="Y18" s="627" t="n">
        <f aca="false">MATCH($E18,$B$183:$S$183,1)</f>
        <v>13</v>
      </c>
      <c r="Z18" s="639" t="str">
        <f aca="false">CHOOSE(ROUNDUP((Y18/2),0),$B$185,$D$185,$F$185,$H$185,$J$185,$L$185,$N$185,$P$185,$R$185)</f>
        <v>Discharge</v>
      </c>
      <c r="AA18" s="640"/>
      <c r="AB18" s="0" t="str">
        <f aca="false">B18</f>
        <v>PEGBE</v>
      </c>
    </row>
    <row r="19" customFormat="false" ht="10.15" hidden="false" customHeight="false" outlineLevel="0" collapsed="false">
      <c r="A19" s="641" t="str">
        <f aca="false">'Plant loading'!A15</f>
        <v>Basingstoke</v>
      </c>
      <c r="B19" s="641" t="str">
        <f aca="false">'Plant loading'!B15</f>
        <v>PEHBE</v>
      </c>
      <c r="C19" s="642" t="n">
        <f aca="false">('Plant loading'!E15*54.5)/1000</f>
        <v>48.287</v>
      </c>
      <c r="D19" s="643" t="str">
        <f aca="false">CHOOSE(T19,$C$130,$D$130,$E$130,$F$130,$G$130,$H$130,$I$130,$J$130,$K$130,$L$130,$M$130,$N$130,$O$130,$P$130,$Q$130,$R$130)</f>
        <v>2 hours</v>
      </c>
      <c r="E19" s="612" t="n">
        <v>45170</v>
      </c>
      <c r="F19" s="612" t="n">
        <v>45170</v>
      </c>
      <c r="G19" s="612" t="n">
        <v>45170</v>
      </c>
      <c r="H19" s="612" t="n">
        <v>45170</v>
      </c>
      <c r="I19" s="612" t="n">
        <v>45170</v>
      </c>
      <c r="J19" s="612" t="n">
        <v>45170</v>
      </c>
      <c r="K19" s="612" t="n">
        <v>45170</v>
      </c>
      <c r="L19" s="612" t="n">
        <v>45170</v>
      </c>
      <c r="M19" s="612" t="n">
        <v>45170</v>
      </c>
      <c r="N19" s="612"/>
      <c r="O19" s="612"/>
      <c r="P19" s="634" t="s">
        <v>630</v>
      </c>
      <c r="R19" s="595" t="n">
        <f aca="false">COUNT(E19:P19)</f>
        <v>9</v>
      </c>
      <c r="S19" s="595" t="n">
        <f aca="false">C19/R19</f>
        <v>5.36522222222222</v>
      </c>
      <c r="T19" s="595" t="n">
        <f aca="false">MATCH(S19,$C$134:$R$134,-1)</f>
        <v>9</v>
      </c>
      <c r="U19" s="595" t="n">
        <f aca="false">COUNTIFS(E19:P19,"&gt;="&amp;$D$3,E19:P19,"&lt;="&amp;$E$3)</f>
        <v>0</v>
      </c>
      <c r="V19" s="595" t="n">
        <f aca="false">COUNTIFS(E19:P19,"&lt;="&amp;$E$2)</f>
        <v>0</v>
      </c>
      <c r="W19" s="627" t="n">
        <f aca="false">MATCH($E19,$B$177:$Q$177,1)</f>
        <v>13</v>
      </c>
      <c r="X19" s="639" t="str">
        <f aca="false">CHOOSE(ROUNDUP((W19/2),0),$B$179,$D$179,$F$179,$H$179,$J$179,$L$179,$N$179,$P$179)</f>
        <v>IR+HC</v>
      </c>
      <c r="Y19" s="627" t="n">
        <f aca="false">MATCH($E19,$B$183:$S$183,1)</f>
        <v>13</v>
      </c>
      <c r="Z19" s="639" t="str">
        <f aca="false">CHOOSE(ROUNDUP((Y19/2),0),$B$185,$D$185,$F$185,$H$185,$J$185,$L$185,$N$185,$P$185,$R$185)</f>
        <v>Discharge</v>
      </c>
      <c r="AA19" s="640"/>
      <c r="AB19" s="0" t="str">
        <f aca="false">B19</f>
        <v>PEHBE</v>
      </c>
    </row>
    <row r="20" customFormat="false" ht="10.15" hidden="false" customHeight="false" outlineLevel="0" collapsed="false">
      <c r="A20" s="641" t="str">
        <f aca="false">'Plant loading'!A16</f>
        <v>Basingstoke</v>
      </c>
      <c r="B20" s="641" t="str">
        <f aca="false">'Plant loading'!B16</f>
        <v>PEIBE</v>
      </c>
      <c r="C20" s="642" t="n">
        <f aca="false">('Plant loading'!E16*54.5)/1000</f>
        <v>50.903</v>
      </c>
      <c r="D20" s="643" t="str">
        <f aca="false">CHOOSE(T20,$C$130,$D$130,$E$130,$F$130,$G$130,$H$130,$I$130,$J$130,$K$130,$L$130,$M$130,$N$130,$O$130,$P$130,$Q$130,$R$130)</f>
        <v>2 hours</v>
      </c>
      <c r="E20" s="612" t="n">
        <v>45170</v>
      </c>
      <c r="F20" s="612" t="n">
        <v>45170</v>
      </c>
      <c r="G20" s="612" t="n">
        <v>45170</v>
      </c>
      <c r="H20" s="612" t="n">
        <v>45170</v>
      </c>
      <c r="I20" s="612" t="n">
        <v>45170</v>
      </c>
      <c r="J20" s="612" t="n">
        <v>45170</v>
      </c>
      <c r="K20" s="612" t="n">
        <v>45170</v>
      </c>
      <c r="L20" s="612" t="n">
        <v>45170</v>
      </c>
      <c r="M20" s="612" t="n">
        <v>45170</v>
      </c>
      <c r="N20" s="612"/>
      <c r="O20" s="612"/>
      <c r="P20" s="634" t="s">
        <v>630</v>
      </c>
      <c r="R20" s="595" t="n">
        <f aca="false">COUNT(E20:P20)</f>
        <v>9</v>
      </c>
      <c r="S20" s="595" t="n">
        <f aca="false">C20/R20</f>
        <v>5.65588888888889</v>
      </c>
      <c r="T20" s="595" t="n">
        <f aca="false">MATCH(S20,$C$134:$R$134,-1)</f>
        <v>9</v>
      </c>
      <c r="U20" s="595" t="n">
        <f aca="false">COUNTIFS(E20:P20,"&gt;="&amp;$D$3,E20:P20,"&lt;="&amp;$E$3)</f>
        <v>0</v>
      </c>
      <c r="V20" s="595" t="n">
        <f aca="false">COUNTIFS(E20:P20,"&lt;="&amp;$E$2)</f>
        <v>0</v>
      </c>
      <c r="W20" s="627" t="n">
        <f aca="false">MATCH($E20,$B$177:$Q$177,1)</f>
        <v>13</v>
      </c>
      <c r="X20" s="639" t="str">
        <f aca="false">CHOOSE(ROUNDUP((W20/2),0),$B$179,$D$179,$F$179,$H$179,$J$179,$L$179,$N$179,$P$179)</f>
        <v>IR+HC</v>
      </c>
      <c r="Y20" s="627" t="n">
        <f aca="false">MATCH($E20,$B$183:$S$183,1)</f>
        <v>13</v>
      </c>
      <c r="Z20" s="639" t="str">
        <f aca="false">CHOOSE(ROUNDUP((Y20/2),0),$B$185,$D$185,$F$185,$H$185,$J$185,$L$185,$N$185,$P$185,$R$185)</f>
        <v>Discharge</v>
      </c>
      <c r="AA20" s="640"/>
      <c r="AB20" s="0" t="str">
        <f aca="false">B20</f>
        <v>PEIBE</v>
      </c>
    </row>
    <row r="21" customFormat="false" ht="10.15" hidden="false" customHeight="false" outlineLevel="0" collapsed="false">
      <c r="A21" s="621" t="str">
        <f aca="false">'Plant loading'!A17</f>
        <v>Crawley</v>
      </c>
      <c r="B21" s="621" t="str">
        <f aca="false">'Plant loading'!B17</f>
        <v>PEACY</v>
      </c>
      <c r="C21" s="622" t="n">
        <f aca="false">('Plant loading'!E17*54.5)/1000</f>
        <v>18.0395</v>
      </c>
      <c r="D21" s="623" t="str">
        <f aca="false">CHOOSE(T21,$C$130,$D$130,$E$130,$F$130,$G$130,$H$130,$I$130,$J$130,$K$130,$L$130,$M$130,$N$130,$O$130,$P$130,$Q$130,$R$130)</f>
        <v>7 hours</v>
      </c>
      <c r="E21" s="624" t="n">
        <v>44136</v>
      </c>
      <c r="F21" s="644" t="n">
        <v>44136</v>
      </c>
      <c r="G21" s="644" t="n">
        <v>44136</v>
      </c>
      <c r="H21" s="644" t="n">
        <v>44136</v>
      </c>
      <c r="I21" s="644" t="n">
        <v>44136</v>
      </c>
      <c r="J21" s="644" t="n">
        <v>44136</v>
      </c>
      <c r="K21" s="644" t="n">
        <v>44136</v>
      </c>
      <c r="L21" s="644" t="n">
        <v>44136</v>
      </c>
      <c r="M21" s="644" t="n">
        <v>44136</v>
      </c>
      <c r="N21" s="624"/>
      <c r="O21" s="624"/>
      <c r="P21" s="626" t="s">
        <v>630</v>
      </c>
      <c r="R21" s="595" t="n">
        <f aca="false">COUNT(E21:P21)</f>
        <v>9</v>
      </c>
      <c r="S21" s="595" t="n">
        <f aca="false">C21/R21</f>
        <v>2.00438888888889</v>
      </c>
      <c r="T21" s="595" t="n">
        <f aca="false">MATCH(S21,$C$134:$R$134,-1)</f>
        <v>15</v>
      </c>
      <c r="U21" s="595" t="n">
        <f aca="false">COUNTIFS(E21:P21,"&gt;="&amp;$D$3,E21:P21,"&lt;="&amp;$E$3)</f>
        <v>0</v>
      </c>
      <c r="V21" s="595" t="n">
        <f aca="false">COUNTIFS(E21:P21,"&lt;="&amp;$E$2)</f>
        <v>0</v>
      </c>
      <c r="W21" s="627" t="n">
        <f aca="false">MATCH($E21,$B$177:$Q$177,1)</f>
        <v>7</v>
      </c>
      <c r="X21" s="628" t="str">
        <f aca="false">CHOOSE(ROUNDUP((W21/2),0),$B$179,$D$179,$F$179,$H$179,$J$179,$L$179,$N$179,$P$179)</f>
        <v>Discharge</v>
      </c>
      <c r="Y21" s="627" t="n">
        <f aca="false">MATCH($E21,$B$183:$S$183,1)</f>
        <v>7</v>
      </c>
      <c r="Z21" s="628" t="str">
        <f aca="false">CHOOSE(ROUNDUP((Y21/2),0),$B$185,$D$185,$F$185,$H$185,$J$185,$L$185,$N$185,$P$185,$R$185)</f>
        <v>IR+HC</v>
      </c>
      <c r="AA21" s="629" t="str">
        <f aca="false">A21</f>
        <v>Crawley</v>
      </c>
      <c r="AB21" s="0" t="str">
        <f aca="false">B21</f>
        <v>PEACY</v>
      </c>
    </row>
    <row r="22" customFormat="false" ht="10.15" hidden="false" customHeight="false" outlineLevel="0" collapsed="false">
      <c r="A22" s="630" t="str">
        <f aca="false">'Plant loading'!A18</f>
        <v>Crawley</v>
      </c>
      <c r="B22" s="630" t="str">
        <f aca="false">'Plant loading'!B18</f>
        <v>PEBCY</v>
      </c>
      <c r="C22" s="631" t="n">
        <f aca="false">('Plant loading'!E18*54.5)/1000</f>
        <v>20.7645</v>
      </c>
      <c r="D22" s="632" t="str">
        <f aca="false">CHOOSE(T22,$C$130,$D$130,$E$130,$F$130,$G$130,$H$130,$I$130,$J$130,$K$130,$L$130,$M$130,$N$130,$O$130,$P$130,$Q$130,$R$130)</f>
        <v>6 hours</v>
      </c>
      <c r="E22" s="612" t="n">
        <v>44136</v>
      </c>
      <c r="F22" s="645" t="n">
        <v>44136</v>
      </c>
      <c r="G22" s="645" t="n">
        <v>44136</v>
      </c>
      <c r="H22" s="645" t="n">
        <v>44136</v>
      </c>
      <c r="I22" s="645" t="n">
        <v>44136</v>
      </c>
      <c r="J22" s="645" t="n">
        <v>44136</v>
      </c>
      <c r="K22" s="645" t="n">
        <v>44136</v>
      </c>
      <c r="L22" s="645" t="n">
        <v>44136</v>
      </c>
      <c r="M22" s="645" t="n">
        <v>44136</v>
      </c>
      <c r="N22" s="612"/>
      <c r="O22" s="612"/>
      <c r="P22" s="634" t="s">
        <v>630</v>
      </c>
      <c r="R22" s="595" t="n">
        <f aca="false">COUNT(E22:P22)</f>
        <v>9</v>
      </c>
      <c r="S22" s="595" t="n">
        <f aca="false">C22/R22</f>
        <v>2.30716666666667</v>
      </c>
      <c r="T22" s="595" t="n">
        <f aca="false">MATCH(S22,$C$134:$R$134,-1)</f>
        <v>14</v>
      </c>
      <c r="U22" s="595" t="n">
        <f aca="false">COUNTIFS(E22:P22,"&gt;="&amp;$D$3,E22:P22,"&lt;="&amp;$E$3)</f>
        <v>0</v>
      </c>
      <c r="V22" s="595" t="n">
        <f aca="false">COUNTIFS(E22:P22,"&lt;="&amp;$E$2)</f>
        <v>0</v>
      </c>
      <c r="W22" s="627" t="n">
        <f aca="false">MATCH($E22,$B$177:$Q$177,1)</f>
        <v>7</v>
      </c>
      <c r="X22" s="628" t="str">
        <f aca="false">CHOOSE(ROUNDUP((W22/2),0),$B$179,$D$179,$F$179,$H$179,$J$179,$L$179,$N$179,$P$179)</f>
        <v>Discharge</v>
      </c>
      <c r="Y22" s="627" t="n">
        <f aca="false">MATCH($E22,$B$183:$S$183,1)</f>
        <v>7</v>
      </c>
      <c r="Z22" s="628" t="str">
        <f aca="false">CHOOSE(ROUNDUP((Y22/2),0),$B$185,$D$185,$F$185,$H$185,$J$185,$L$185,$N$185,$P$185,$R$185)</f>
        <v>IR+HC</v>
      </c>
      <c r="AA22" s="629"/>
      <c r="AB22" s="0" t="str">
        <f aca="false">B22</f>
        <v>PEBCY</v>
      </c>
    </row>
    <row r="23" customFormat="false" ht="10.15" hidden="false" customHeight="false" outlineLevel="0" collapsed="false">
      <c r="A23" s="630" t="str">
        <f aca="false">'Plant loading'!A19</f>
        <v>Crawley</v>
      </c>
      <c r="B23" s="630" t="str">
        <f aca="false">'Plant loading'!B19</f>
        <v>PECCY</v>
      </c>
      <c r="C23" s="631" t="n">
        <f aca="false">('Plant loading'!E19*54.5)/1000</f>
        <v>33.027</v>
      </c>
      <c r="D23" s="632" t="str">
        <f aca="false">CHOOSE(T23,$C$130,$D$130,$E$130,$F$130,$G$130,$H$130,$I$130,$J$130,$K$130,$L$130,$M$130,$N$130,$O$130,$P$130,$Q$130,$R$130)</f>
        <v>3 hours</v>
      </c>
      <c r="E23" s="612" t="n">
        <v>44136</v>
      </c>
      <c r="F23" s="645" t="n">
        <v>44136</v>
      </c>
      <c r="G23" s="645" t="n">
        <v>44136</v>
      </c>
      <c r="H23" s="645" t="n">
        <v>44136</v>
      </c>
      <c r="I23" s="645" t="n">
        <v>44136</v>
      </c>
      <c r="J23" s="645" t="n">
        <v>44136</v>
      </c>
      <c r="K23" s="645" t="n">
        <v>44136</v>
      </c>
      <c r="L23" s="645" t="n">
        <v>44136</v>
      </c>
      <c r="M23" s="645" t="n">
        <v>44136</v>
      </c>
      <c r="N23" s="612"/>
      <c r="O23" s="612"/>
      <c r="P23" s="634" t="s">
        <v>630</v>
      </c>
      <c r="R23" s="595" t="n">
        <f aca="false">COUNT(E23:P23)</f>
        <v>9</v>
      </c>
      <c r="S23" s="595" t="n">
        <f aca="false">C23/R23</f>
        <v>3.66966666666667</v>
      </c>
      <c r="T23" s="595" t="n">
        <f aca="false">MATCH(S23,$C$134:$R$134,-1)</f>
        <v>11</v>
      </c>
      <c r="U23" s="595" t="n">
        <f aca="false">COUNTIFS(E23:P23,"&gt;="&amp;$D$3,E23:P23,"&lt;="&amp;$E$3)</f>
        <v>0</v>
      </c>
      <c r="V23" s="595" t="n">
        <f aca="false">COUNTIFS(E23:P23,"&lt;="&amp;$E$2)</f>
        <v>0</v>
      </c>
      <c r="W23" s="627" t="n">
        <f aca="false">MATCH($E23,$B$177:$Q$177,1)</f>
        <v>7</v>
      </c>
      <c r="X23" s="628" t="str">
        <f aca="false">CHOOSE(ROUNDUP((W23/2),0),$B$179,$D$179,$F$179,$H$179,$J$179,$L$179,$N$179,$P$179)</f>
        <v>Discharge</v>
      </c>
      <c r="Y23" s="627" t="n">
        <f aca="false">MATCH($E23,$B$183:$S$183,1)</f>
        <v>7</v>
      </c>
      <c r="Z23" s="628" t="str">
        <f aca="false">CHOOSE(ROUNDUP((Y23/2),0),$B$185,$D$185,$F$185,$H$185,$J$185,$L$185,$N$185,$P$185,$R$185)</f>
        <v>IR+HC</v>
      </c>
      <c r="AA23" s="629"/>
      <c r="AB23" s="0" t="str">
        <f aca="false">B23</f>
        <v>PECCY</v>
      </c>
    </row>
    <row r="24" customFormat="false" ht="10.15" hidden="false" customHeight="false" outlineLevel="0" collapsed="false">
      <c r="A24" s="630" t="str">
        <f aca="false">'Plant loading'!A20</f>
        <v>Crawley</v>
      </c>
      <c r="B24" s="630" t="str">
        <f aca="false">'Plant loading'!B20</f>
        <v>PEDCY</v>
      </c>
      <c r="C24" s="631" t="n">
        <f aca="false">('Plant loading'!E20*54.5)/1000</f>
        <v>26.4325</v>
      </c>
      <c r="D24" s="632" t="str">
        <f aca="false">CHOOSE(T24,$C$130,$D$130,$E$130,$F$130,$G$130,$H$130,$I$130,$J$130,$K$130,$L$130,$M$130,$N$130,$O$130,$P$130,$Q$130,$R$130)</f>
        <v>4 hours</v>
      </c>
      <c r="E24" s="612" t="n">
        <v>44136</v>
      </c>
      <c r="F24" s="645" t="n">
        <v>44136</v>
      </c>
      <c r="G24" s="645" t="n">
        <v>44136</v>
      </c>
      <c r="H24" s="645" t="n">
        <v>44136</v>
      </c>
      <c r="I24" s="645" t="n">
        <v>44136</v>
      </c>
      <c r="J24" s="645" t="n">
        <v>44136</v>
      </c>
      <c r="K24" s="645" t="n">
        <v>44136</v>
      </c>
      <c r="L24" s="645" t="n">
        <v>44136</v>
      </c>
      <c r="M24" s="645" t="n">
        <v>44136</v>
      </c>
      <c r="N24" s="612"/>
      <c r="O24" s="612"/>
      <c r="P24" s="634" t="s">
        <v>630</v>
      </c>
      <c r="R24" s="595" t="n">
        <f aca="false">COUNT(E24:P24)</f>
        <v>9</v>
      </c>
      <c r="S24" s="595" t="n">
        <f aca="false">C24/R24</f>
        <v>2.93694444444444</v>
      </c>
      <c r="T24" s="595" t="n">
        <f aca="false">MATCH(S24,$C$134:$R$134,-1)</f>
        <v>12</v>
      </c>
      <c r="U24" s="595" t="n">
        <f aca="false">COUNTIFS(E24:P24,"&gt;="&amp;$D$3,E24:P24,"&lt;="&amp;$E$3)</f>
        <v>0</v>
      </c>
      <c r="V24" s="595" t="n">
        <f aca="false">COUNTIFS(E24:P24,"&lt;="&amp;$E$2)</f>
        <v>0</v>
      </c>
      <c r="W24" s="627" t="n">
        <f aca="false">MATCH($E24,$B$177:$Q$177,1)</f>
        <v>7</v>
      </c>
      <c r="X24" s="628" t="str">
        <f aca="false">CHOOSE(ROUNDUP((W24/2),0),$B$179,$D$179,$F$179,$H$179,$J$179,$L$179,$N$179,$P$179)</f>
        <v>Discharge</v>
      </c>
      <c r="Y24" s="627" t="n">
        <f aca="false">MATCH($E24,$B$183:$S$183,1)</f>
        <v>7</v>
      </c>
      <c r="Z24" s="628" t="str">
        <f aca="false">CHOOSE(ROUNDUP((Y24/2),0),$B$185,$D$185,$F$185,$H$185,$J$185,$L$185,$N$185,$P$185,$R$185)</f>
        <v>IR+HC</v>
      </c>
      <c r="AA24" s="629"/>
      <c r="AB24" s="0" t="str">
        <f aca="false">B24</f>
        <v>PEDCY</v>
      </c>
    </row>
    <row r="25" customFormat="false" ht="10.15" hidden="false" customHeight="false" outlineLevel="0" collapsed="false">
      <c r="A25" s="630" t="str">
        <f aca="false">'Plant loading'!A21</f>
        <v>Crawley</v>
      </c>
      <c r="B25" s="630" t="str">
        <f aca="false">'Plant loading'!B21</f>
        <v>PEECY</v>
      </c>
      <c r="C25" s="631" t="n">
        <f aca="false">('Plant loading'!E21*54.5)/1000</f>
        <v>15.8595</v>
      </c>
      <c r="D25" s="632" t="str">
        <f aca="false">CHOOSE(T25,$C$130,$D$130,$E$130,$F$130,$G$130,$H$130,$I$130,$J$130,$K$130,$L$130,$M$130,$N$130,$O$130,$P$130,$Q$130,$R$130)</f>
        <v>8 hours</v>
      </c>
      <c r="E25" s="612" t="n">
        <v>44136</v>
      </c>
      <c r="F25" s="645" t="n">
        <v>44136</v>
      </c>
      <c r="G25" s="645" t="n">
        <v>44136</v>
      </c>
      <c r="H25" s="645" t="n">
        <v>44136</v>
      </c>
      <c r="I25" s="645" t="n">
        <v>44136</v>
      </c>
      <c r="J25" s="645" t="n">
        <v>44136</v>
      </c>
      <c r="K25" s="645" t="n">
        <v>44136</v>
      </c>
      <c r="L25" s="645" t="n">
        <v>44136</v>
      </c>
      <c r="M25" s="645" t="n">
        <v>44136</v>
      </c>
      <c r="N25" s="612"/>
      <c r="O25" s="612"/>
      <c r="P25" s="634" t="s">
        <v>630</v>
      </c>
      <c r="R25" s="595" t="n">
        <f aca="false">COUNT(E25:P25)</f>
        <v>9</v>
      </c>
      <c r="S25" s="595" t="n">
        <f aca="false">C25/R25</f>
        <v>1.76216666666667</v>
      </c>
      <c r="T25" s="595" t="n">
        <f aca="false">MATCH(S25,$C$134:$R$134,-1)</f>
        <v>16</v>
      </c>
      <c r="U25" s="595" t="n">
        <f aca="false">COUNTIFS(E25:P25,"&gt;="&amp;$D$3,E25:P25,"&lt;="&amp;$E$3)</f>
        <v>0</v>
      </c>
      <c r="V25" s="595" t="n">
        <f aca="false">COUNTIFS(E25:P25,"&lt;="&amp;$E$2)</f>
        <v>0</v>
      </c>
      <c r="W25" s="627" t="n">
        <f aca="false">MATCH($E25,$B$177:$Q$177,1)</f>
        <v>7</v>
      </c>
      <c r="X25" s="628" t="str">
        <f aca="false">CHOOSE(ROUNDUP((W25/2),0),$B$179,$D$179,$F$179,$H$179,$J$179,$L$179,$N$179,$P$179)</f>
        <v>Discharge</v>
      </c>
      <c r="Y25" s="627" t="n">
        <f aca="false">MATCH($E25,$B$183:$S$183,1)</f>
        <v>7</v>
      </c>
      <c r="Z25" s="628" t="str">
        <f aca="false">CHOOSE(ROUNDUP((Y25/2),0),$B$185,$D$185,$F$185,$H$185,$J$185,$L$185,$N$185,$P$185,$R$185)</f>
        <v>IR+HC</v>
      </c>
      <c r="AA25" s="629"/>
      <c r="AB25" s="0" t="str">
        <f aca="false">B25</f>
        <v>PEECY</v>
      </c>
    </row>
    <row r="26" customFormat="false" ht="10.15" hidden="false" customHeight="false" outlineLevel="0" collapsed="false">
      <c r="A26" s="636" t="str">
        <f aca="false">'Plant loading'!A22</f>
        <v>Edinburgh</v>
      </c>
      <c r="B26" s="636" t="str">
        <f aca="false">'Plant loading'!B22</f>
        <v>PECEH</v>
      </c>
      <c r="C26" s="637" t="n">
        <f aca="false">('Plant loading'!E22*54.5)/1000</f>
        <v>48.0145</v>
      </c>
      <c r="D26" s="638" t="str">
        <f aca="false">CHOOSE(T26,$C$130,$D$130,$E$130,$F$130,$G$130,$H$130,$I$130,$J$130,$K$130,$L$130,$M$130,$N$130,$O$130,$P$130,$Q$130,$R$130)</f>
        <v>2 hours</v>
      </c>
      <c r="E26" s="624" t="n">
        <v>43862</v>
      </c>
      <c r="F26" s="624" t="n">
        <v>43862</v>
      </c>
      <c r="G26" s="624" t="n">
        <v>43862</v>
      </c>
      <c r="H26" s="624" t="n">
        <v>43862</v>
      </c>
      <c r="I26" s="624" t="n">
        <v>43862</v>
      </c>
      <c r="J26" s="624" t="n">
        <v>43862</v>
      </c>
      <c r="K26" s="624" t="n">
        <v>43862</v>
      </c>
      <c r="L26" s="624" t="n">
        <v>43862</v>
      </c>
      <c r="M26" s="624" t="n">
        <v>44166</v>
      </c>
      <c r="N26" s="624"/>
      <c r="O26" s="624"/>
      <c r="P26" s="626" t="s">
        <v>630</v>
      </c>
      <c r="R26" s="595" t="n">
        <f aca="false">COUNT(E26:P26)</f>
        <v>9</v>
      </c>
      <c r="S26" s="595" t="n">
        <f aca="false">C26/R26</f>
        <v>5.33494444444444</v>
      </c>
      <c r="T26" s="595" t="n">
        <f aca="false">MATCH(S26,$C$134:$R$134,-1)</f>
        <v>9</v>
      </c>
      <c r="U26" s="595" t="n">
        <f aca="false">COUNTIFS(E26:P26,"&gt;="&amp;$D$3,E26:P26,"&lt;="&amp;$E$3)</f>
        <v>0</v>
      </c>
      <c r="V26" s="595" t="n">
        <f aca="false">COUNTIFS(E26:P26,"&lt;="&amp;$E$2)</f>
        <v>0</v>
      </c>
      <c r="W26" s="627" t="n">
        <f aca="false">MATCH($E26,$B$177:$Q$177,1)</f>
        <v>5</v>
      </c>
      <c r="X26" s="639" t="str">
        <f aca="false">CHOOSE(ROUNDUP((W26/2),0),$B$179,$D$179,$F$179,$H$179,$J$179,$L$179,$N$179,$P$179)</f>
        <v>IR+HC</v>
      </c>
      <c r="Y26" s="627" t="n">
        <f aca="false">MATCH($E26,$B$183:$S$183,1)</f>
        <v>5</v>
      </c>
      <c r="Z26" s="639" t="str">
        <f aca="false">CHOOSE(ROUNDUP((Y26/2),0),$B$185,$D$185,$F$185,$H$185,$J$185,$L$185,$N$185,$P$185,$R$185)</f>
        <v>Discharge</v>
      </c>
      <c r="AA26" s="640" t="str">
        <f aca="false">A26</f>
        <v>Edinburgh</v>
      </c>
      <c r="AB26" s="0" t="str">
        <f aca="false">B26</f>
        <v>PECEH</v>
      </c>
    </row>
    <row r="27" customFormat="false" ht="10.15" hidden="false" customHeight="false" outlineLevel="0" collapsed="false">
      <c r="A27" s="641" t="str">
        <f aca="false">'Plant loading'!A23</f>
        <v>Edinburgh</v>
      </c>
      <c r="B27" s="641" t="str">
        <f aca="false">'Plant loading'!B23</f>
        <v>PEDEH</v>
      </c>
      <c r="C27" s="642" t="n">
        <f aca="false">('Plant loading'!E23*54.5)/1000</f>
        <v>51.775</v>
      </c>
      <c r="D27" s="643" t="str">
        <f aca="false">CHOOSE(T27,$C$130,$D$130,$E$130,$F$130,$G$130,$H$130,$I$130,$J$130,$K$130,$L$130,$M$130,$N$130,$O$130,$P$130,$Q$130,$R$130)</f>
        <v>2 hours</v>
      </c>
      <c r="E27" s="612" t="n">
        <v>43862</v>
      </c>
      <c r="F27" s="612" t="n">
        <v>43862</v>
      </c>
      <c r="G27" s="612" t="n">
        <v>43862</v>
      </c>
      <c r="H27" s="612" t="n">
        <v>43862</v>
      </c>
      <c r="I27" s="612" t="n">
        <v>43862</v>
      </c>
      <c r="J27" s="612" t="n">
        <v>43862</v>
      </c>
      <c r="K27" s="612" t="n">
        <v>43862</v>
      </c>
      <c r="L27" s="612" t="n">
        <v>43862</v>
      </c>
      <c r="M27" s="612" t="n">
        <v>44166</v>
      </c>
      <c r="N27" s="612"/>
      <c r="O27" s="612"/>
      <c r="P27" s="634" t="s">
        <v>630</v>
      </c>
      <c r="R27" s="595" t="n">
        <f aca="false">COUNT(E27:P27)</f>
        <v>9</v>
      </c>
      <c r="S27" s="595" t="n">
        <f aca="false">C27/R27</f>
        <v>5.75277777777778</v>
      </c>
      <c r="T27" s="595" t="n">
        <f aca="false">MATCH(S27,$C$134:$R$134,-1)</f>
        <v>9</v>
      </c>
      <c r="U27" s="595" t="n">
        <f aca="false">COUNTIFS(E27:P27,"&gt;="&amp;$D$3,E27:P27,"&lt;="&amp;$E$3)</f>
        <v>0</v>
      </c>
      <c r="V27" s="595" t="n">
        <f aca="false">COUNTIFS(E27:P27,"&lt;="&amp;$E$2)</f>
        <v>0</v>
      </c>
      <c r="W27" s="627" t="n">
        <f aca="false">MATCH($E27,$B$177:$Q$177,1)</f>
        <v>5</v>
      </c>
      <c r="X27" s="639" t="str">
        <f aca="false">CHOOSE(ROUNDUP((W27/2),0),$B$179,$D$179,$F$179,$H$179,$J$179,$L$179,$N$179,$P$179)</f>
        <v>IR+HC</v>
      </c>
      <c r="Y27" s="627" t="n">
        <f aca="false">MATCH($E27,$B$183:$S$183,1)</f>
        <v>5</v>
      </c>
      <c r="Z27" s="639" t="str">
        <f aca="false">CHOOSE(ROUNDUP((Y27/2),0),$B$185,$D$185,$F$185,$H$185,$J$185,$L$185,$N$185,$P$185,$R$185)</f>
        <v>Discharge</v>
      </c>
      <c r="AA27" s="640"/>
      <c r="AB27" s="0" t="str">
        <f aca="false">B27</f>
        <v>PEDEH</v>
      </c>
    </row>
    <row r="28" customFormat="false" ht="10.15" hidden="false" customHeight="false" outlineLevel="0" collapsed="false">
      <c r="A28" s="641" t="str">
        <f aca="false">'Plant loading'!A24</f>
        <v>Edinburgh</v>
      </c>
      <c r="B28" s="641" t="str">
        <f aca="false">'Plant loading'!B24</f>
        <v>PEEEH</v>
      </c>
      <c r="C28" s="642" t="n">
        <f aca="false">('Plant loading'!E24*54.5)/1000</f>
        <v>46.7065</v>
      </c>
      <c r="D28" s="643" t="str">
        <f aca="false">CHOOSE(T28,$C$130,$D$130,$E$130,$F$130,$G$130,$H$130,$I$130,$J$130,$K$130,$L$130,$M$130,$N$130,$O$130,$P$130,$Q$130,$R$130)</f>
        <v>2 hours</v>
      </c>
      <c r="E28" s="612" t="n">
        <v>43862</v>
      </c>
      <c r="F28" s="612" t="n">
        <v>43862</v>
      </c>
      <c r="G28" s="612" t="n">
        <v>43862</v>
      </c>
      <c r="H28" s="612" t="n">
        <v>43862</v>
      </c>
      <c r="I28" s="612" t="n">
        <v>43862</v>
      </c>
      <c r="J28" s="612" t="n">
        <v>43862</v>
      </c>
      <c r="K28" s="612" t="n">
        <v>43862</v>
      </c>
      <c r="L28" s="612" t="n">
        <v>43862</v>
      </c>
      <c r="M28" s="612" t="n">
        <v>44166</v>
      </c>
      <c r="N28" s="612"/>
      <c r="O28" s="612"/>
      <c r="P28" s="634" t="s">
        <v>630</v>
      </c>
      <c r="R28" s="595" t="n">
        <f aca="false">COUNT(E28:P28)</f>
        <v>9</v>
      </c>
      <c r="S28" s="595" t="n">
        <f aca="false">C28/R28</f>
        <v>5.18961111111111</v>
      </c>
      <c r="T28" s="595" t="n">
        <f aca="false">MATCH(S28,$C$134:$R$134,-1)</f>
        <v>9</v>
      </c>
      <c r="U28" s="595" t="n">
        <f aca="false">COUNTIFS(E28:P28,"&gt;="&amp;$D$3,E28:P28,"&lt;="&amp;$E$3)</f>
        <v>0</v>
      </c>
      <c r="V28" s="595" t="n">
        <f aca="false">COUNTIFS(E28:P28,"&lt;="&amp;$E$2)</f>
        <v>0</v>
      </c>
      <c r="W28" s="627" t="n">
        <f aca="false">MATCH($E28,$B$177:$Q$177,1)</f>
        <v>5</v>
      </c>
      <c r="X28" s="639" t="str">
        <f aca="false">CHOOSE(ROUNDUP((W28/2),0),$B$179,$D$179,$F$179,$H$179,$J$179,$L$179,$N$179,$P$179)</f>
        <v>IR+HC</v>
      </c>
      <c r="Y28" s="627" t="n">
        <f aca="false">MATCH($E28,$B$183:$S$183,1)</f>
        <v>5</v>
      </c>
      <c r="Z28" s="639" t="str">
        <f aca="false">CHOOSE(ROUNDUP((Y28/2),0),$B$185,$D$185,$F$185,$H$185,$J$185,$L$185,$N$185,$P$185,$R$185)</f>
        <v>Discharge</v>
      </c>
      <c r="AA28" s="640"/>
      <c r="AB28" s="0" t="str">
        <f aca="false">B28</f>
        <v>PEEEH</v>
      </c>
    </row>
    <row r="29" customFormat="false" ht="10.15" hidden="false" customHeight="false" outlineLevel="0" collapsed="false">
      <c r="A29" s="641" t="str">
        <f aca="false">'Plant loading'!A25</f>
        <v>Edinburgh</v>
      </c>
      <c r="B29" s="641" t="str">
        <f aca="false">'Plant loading'!B25</f>
        <v>PEFEH</v>
      </c>
      <c r="C29" s="642" t="n">
        <f aca="false">('Plant loading'!E25*54.5)/1000</f>
        <v>47.633</v>
      </c>
      <c r="D29" s="643" t="str">
        <f aca="false">CHOOSE(T29,$C$130,$D$130,$E$130,$F$130,$G$130,$H$130,$I$130,$J$130,$K$130,$L$130,$M$130,$N$130,$O$130,$P$130,$Q$130,$R$130)</f>
        <v>2 hours</v>
      </c>
      <c r="E29" s="612" t="n">
        <v>43862</v>
      </c>
      <c r="F29" s="612" t="n">
        <v>43862</v>
      </c>
      <c r="G29" s="612" t="n">
        <v>43862</v>
      </c>
      <c r="H29" s="612" t="n">
        <v>43862</v>
      </c>
      <c r="I29" s="612" t="n">
        <v>43862</v>
      </c>
      <c r="J29" s="612" t="n">
        <v>43862</v>
      </c>
      <c r="K29" s="612" t="n">
        <v>43862</v>
      </c>
      <c r="L29" s="612" t="n">
        <v>43862</v>
      </c>
      <c r="M29" s="612" t="n">
        <v>44166</v>
      </c>
      <c r="N29" s="612"/>
      <c r="O29" s="612"/>
      <c r="P29" s="634" t="s">
        <v>630</v>
      </c>
      <c r="R29" s="595" t="n">
        <f aca="false">COUNT(E29:P29)</f>
        <v>9</v>
      </c>
      <c r="S29" s="595" t="n">
        <f aca="false">C29/R29</f>
        <v>5.29255555555556</v>
      </c>
      <c r="T29" s="595" t="n">
        <f aca="false">MATCH(S29,$C$134:$R$134,-1)</f>
        <v>9</v>
      </c>
      <c r="U29" s="595" t="n">
        <f aca="false">COUNTIFS(E29:P29,"&gt;="&amp;$D$3,E29:P29,"&lt;="&amp;$E$3)</f>
        <v>0</v>
      </c>
      <c r="V29" s="595" t="n">
        <f aca="false">COUNTIFS(E29:P29,"&lt;="&amp;$E$2)</f>
        <v>0</v>
      </c>
      <c r="W29" s="627" t="n">
        <f aca="false">MATCH($E29,$B$177:$Q$177,1)</f>
        <v>5</v>
      </c>
      <c r="X29" s="639" t="str">
        <f aca="false">CHOOSE(ROUNDUP((W29/2),0),$B$179,$D$179,$F$179,$H$179,$J$179,$L$179,$N$179,$P$179)</f>
        <v>IR+HC</v>
      </c>
      <c r="Y29" s="627" t="n">
        <f aca="false">MATCH($E29,$B$183:$S$183,1)</f>
        <v>5</v>
      </c>
      <c r="Z29" s="639" t="str">
        <f aca="false">CHOOSE(ROUNDUP((Y29/2),0),$B$185,$D$185,$F$185,$H$185,$J$185,$L$185,$N$185,$P$185,$R$185)</f>
        <v>Discharge</v>
      </c>
      <c r="AA29" s="640"/>
      <c r="AB29" s="0" t="str">
        <f aca="false">B29</f>
        <v>PEFEH</v>
      </c>
    </row>
    <row r="30" customFormat="false" ht="10.15" hidden="false" customHeight="false" outlineLevel="0" collapsed="false">
      <c r="A30" s="641" t="str">
        <f aca="false">'Plant loading'!A26</f>
        <v>Edinburgh</v>
      </c>
      <c r="B30" s="641" t="str">
        <f aca="false">'Plant loading'!B26</f>
        <v>PEGEH</v>
      </c>
      <c r="C30" s="642" t="n">
        <f aca="false">('Plant loading'!E26*54.5)/1000</f>
        <v>50.576</v>
      </c>
      <c r="D30" s="643" t="str">
        <f aca="false">CHOOSE(T30,$C$130,$D$130,$E$130,$F$130,$G$130,$H$130,$I$130,$J$130,$K$130,$L$130,$M$130,$N$130,$O$130,$P$130,$Q$130,$R$130)</f>
        <v>2 hours</v>
      </c>
      <c r="E30" s="612" t="n">
        <v>43891</v>
      </c>
      <c r="F30" s="612" t="n">
        <v>43891</v>
      </c>
      <c r="G30" s="612" t="n">
        <v>43891</v>
      </c>
      <c r="H30" s="612" t="n">
        <v>43891</v>
      </c>
      <c r="I30" s="612" t="n">
        <v>43891</v>
      </c>
      <c r="J30" s="612" t="n">
        <v>43891</v>
      </c>
      <c r="K30" s="612" t="n">
        <v>43891</v>
      </c>
      <c r="L30" s="612" t="n">
        <v>43891</v>
      </c>
      <c r="M30" s="612" t="n">
        <v>44166</v>
      </c>
      <c r="N30" s="612"/>
      <c r="O30" s="612"/>
      <c r="P30" s="634" t="s">
        <v>630</v>
      </c>
      <c r="R30" s="595" t="n">
        <f aca="false">COUNT(E30:P30)</f>
        <v>9</v>
      </c>
      <c r="S30" s="595" t="n">
        <f aca="false">C30/R30</f>
        <v>5.61955555555556</v>
      </c>
      <c r="T30" s="595" t="n">
        <f aca="false">MATCH(S30,$C$134:$R$134,-1)</f>
        <v>9</v>
      </c>
      <c r="U30" s="595" t="n">
        <f aca="false">COUNTIFS(E30:P30,"&gt;="&amp;$D$3,E30:P30,"&lt;="&amp;$E$3)</f>
        <v>0</v>
      </c>
      <c r="V30" s="595" t="n">
        <f aca="false">COUNTIFS(E30:P30,"&lt;="&amp;$E$2)</f>
        <v>0</v>
      </c>
      <c r="W30" s="627" t="n">
        <f aca="false">MATCH($E30,$B$177:$Q$177,1)</f>
        <v>5</v>
      </c>
      <c r="X30" s="639" t="str">
        <f aca="false">CHOOSE(ROUNDUP((W30/2),0),$B$179,$D$179,$F$179,$H$179,$J$179,$L$179,$N$179,$P$179)</f>
        <v>IR+HC</v>
      </c>
      <c r="Y30" s="627" t="n">
        <f aca="false">MATCH($E30,$B$183:$S$183,1)</f>
        <v>5</v>
      </c>
      <c r="Z30" s="639" t="str">
        <f aca="false">CHOOSE(ROUNDUP((Y30/2),0),$B$185,$D$185,$F$185,$H$185,$J$185,$L$185,$N$185,$P$185,$R$185)</f>
        <v>Discharge</v>
      </c>
      <c r="AA30" s="640"/>
      <c r="AB30" s="0" t="str">
        <f aca="false">B30</f>
        <v>PEGEH</v>
      </c>
    </row>
    <row r="31" customFormat="false" ht="10.15" hidden="false" customHeight="false" outlineLevel="0" collapsed="false">
      <c r="A31" s="646" t="s">
        <v>77</v>
      </c>
      <c r="B31" s="646" t="s">
        <v>85</v>
      </c>
      <c r="C31" s="647" t="n">
        <f aca="false">('Plant loading'!E27*54.5)/1000</f>
        <v>50.031</v>
      </c>
      <c r="D31" s="648" t="str">
        <f aca="false">CHOOSE(T31,$C$130,$D$130,$E$130,$F$130,$G$130,$H$130,$I$130,$J$130,$K$130,$L$130,$M$130,$N$130,$O$130,$P$130,$Q$130,$R$130)</f>
        <v>2 hours</v>
      </c>
      <c r="E31" s="649" t="n">
        <v>43891</v>
      </c>
      <c r="F31" s="649" t="n">
        <v>43891</v>
      </c>
      <c r="G31" s="649" t="n">
        <v>43891</v>
      </c>
      <c r="H31" s="649" t="n">
        <v>43891</v>
      </c>
      <c r="I31" s="649" t="n">
        <v>43891</v>
      </c>
      <c r="J31" s="649" t="n">
        <v>43891</v>
      </c>
      <c r="K31" s="649" t="n">
        <v>43891</v>
      </c>
      <c r="L31" s="649" t="n">
        <v>43891</v>
      </c>
      <c r="M31" s="612" t="n">
        <v>44166</v>
      </c>
      <c r="N31" s="649"/>
      <c r="O31" s="649"/>
      <c r="P31" s="650" t="s">
        <v>630</v>
      </c>
      <c r="R31" s="595" t="n">
        <f aca="false">COUNT(E31:P31)</f>
        <v>9</v>
      </c>
      <c r="S31" s="595" t="n">
        <f aca="false">C31/R31</f>
        <v>5.559</v>
      </c>
      <c r="T31" s="595" t="n">
        <f aca="false">MATCH(S31,$C$134:$R$134,-1)</f>
        <v>9</v>
      </c>
      <c r="U31" s="595" t="n">
        <f aca="false">COUNTIFS(E31:P31,"&gt;="&amp;$D$3,E31:P31,"&lt;="&amp;$E$3)</f>
        <v>0</v>
      </c>
      <c r="V31" s="595" t="n">
        <f aca="false">COUNTIFS(E31:P31,"&lt;="&amp;$E$2)</f>
        <v>0</v>
      </c>
      <c r="W31" s="627" t="n">
        <f aca="false">MATCH($E31,$B$177:$Q$177,1)</f>
        <v>5</v>
      </c>
      <c r="X31" s="639" t="str">
        <f aca="false">CHOOSE(ROUNDUP((W31/2),0),$B$179,$D$179,$F$179,$H$179,$J$179,$L$179,$N$179,$P$179)</f>
        <v>IR+HC</v>
      </c>
      <c r="Y31" s="627" t="n">
        <f aca="false">MATCH($E31,$B$183:$S$183,1)</f>
        <v>5</v>
      </c>
      <c r="Z31" s="639" t="str">
        <f aca="false">CHOOSE(ROUNDUP((Y31/2),0),$B$185,$D$185,$F$185,$H$185,$J$185,$L$185,$N$185,$P$185,$R$185)</f>
        <v>Discharge</v>
      </c>
      <c r="AA31" s="651"/>
      <c r="AB31" s="0" t="str">
        <f aca="false">B31</f>
        <v>PEHEH</v>
      </c>
    </row>
    <row r="32" customFormat="false" ht="10.15" hidden="false" customHeight="false" outlineLevel="0" collapsed="false">
      <c r="A32" s="621" t="str">
        <f aca="false">'Plant loading'!A28</f>
        <v>Esher</v>
      </c>
      <c r="B32" s="621" t="str">
        <f aca="false">'Plant loading'!B28</f>
        <v>PEDER</v>
      </c>
      <c r="C32" s="622" t="n">
        <f aca="false">('Plant loading'!E28*54.5)/1000</f>
        <v>20.6555</v>
      </c>
      <c r="D32" s="623" t="str">
        <f aca="false">CHOOSE(T32,$C$130,$D$130,$E$130,$F$130,$G$130,$H$130,$I$130,$J$130,$K$130,$L$130,$M$130,$N$130,$O$130,$P$130,$Q$130,$R$130)</f>
        <v>6 hours</v>
      </c>
      <c r="E32" s="624" t="n">
        <v>43831</v>
      </c>
      <c r="F32" s="624" t="n">
        <v>43831</v>
      </c>
      <c r="G32" s="624" t="n">
        <v>43831</v>
      </c>
      <c r="H32" s="624" t="n">
        <v>43831</v>
      </c>
      <c r="I32" s="624" t="n">
        <v>43831</v>
      </c>
      <c r="J32" s="624" t="n">
        <v>43831</v>
      </c>
      <c r="K32" s="624" t="n">
        <v>43831</v>
      </c>
      <c r="L32" s="624" t="n">
        <v>43831</v>
      </c>
      <c r="M32" s="624" t="n">
        <v>43831</v>
      </c>
      <c r="N32" s="624"/>
      <c r="O32" s="624"/>
      <c r="P32" s="626" t="s">
        <v>630</v>
      </c>
      <c r="Q32" s="652"/>
      <c r="R32" s="595" t="n">
        <f aca="false">COUNT(E32:P32)</f>
        <v>9</v>
      </c>
      <c r="S32" s="595" t="n">
        <f aca="false">C32/R32</f>
        <v>2.29505555555556</v>
      </c>
      <c r="T32" s="595" t="n">
        <f aca="false">MATCH(S32,$C$134:$R$134,-1)</f>
        <v>14</v>
      </c>
      <c r="U32" s="595" t="n">
        <f aca="false">COUNTIFS(E32:P32,"&gt;="&amp;$D$3,E32:P32,"&lt;="&amp;$E$3)</f>
        <v>0</v>
      </c>
      <c r="V32" s="595" t="n">
        <f aca="false">COUNTIFS(E32:P32,"&lt;="&amp;$E$2)</f>
        <v>0</v>
      </c>
      <c r="W32" s="627" t="n">
        <f aca="false">MATCH($M32,$B$177:$Q$177,1)</f>
        <v>5</v>
      </c>
      <c r="X32" s="628" t="str">
        <f aca="false">CHOOSE(ROUNDUP((W32/2),0),$B$179,$D$179,$F$179,$H$179,$J$179,$L$179,$N$179,$P$179)</f>
        <v>IR+HC</v>
      </c>
      <c r="Y32" s="627" t="n">
        <f aca="false">MATCH($M32,$B$183:$S$183,1)</f>
        <v>5</v>
      </c>
      <c r="Z32" s="628" t="str">
        <f aca="false">CHOOSE(ROUNDUP((Y32/2),0),$B$185,$D$185,$F$185,$H$185,$J$185,$L$185,$N$185,$P$185,$R$185)</f>
        <v>Discharge</v>
      </c>
      <c r="AA32" s="629" t="str">
        <f aca="false">A32</f>
        <v>Esher</v>
      </c>
      <c r="AB32" s="0" t="str">
        <f aca="false">B32</f>
        <v>PEDER</v>
      </c>
    </row>
    <row r="33" customFormat="false" ht="10.15" hidden="false" customHeight="false" outlineLevel="0" collapsed="false">
      <c r="A33" s="630" t="str">
        <f aca="false">'Plant loading'!A29</f>
        <v>Esher</v>
      </c>
      <c r="B33" s="630" t="str">
        <f aca="false">'Plant loading'!B29</f>
        <v>PEEER</v>
      </c>
      <c r="C33" s="631" t="n">
        <f aca="false">('Plant loading'!E29*54.5)/1000</f>
        <v>16.5135</v>
      </c>
      <c r="D33" s="632" t="str">
        <f aca="false">CHOOSE(T33,$C$130,$D$130,$E$130,$F$130,$G$130,$H$130,$I$130,$J$130,$K$130,$L$130,$M$130,$N$130,$O$130,$P$130,$Q$130,$R$130)</f>
        <v>8 hours</v>
      </c>
      <c r="E33" s="612" t="n">
        <v>43831</v>
      </c>
      <c r="F33" s="612" t="n">
        <v>43831</v>
      </c>
      <c r="G33" s="612" t="n">
        <v>43831</v>
      </c>
      <c r="H33" s="612" t="n">
        <v>43831</v>
      </c>
      <c r="I33" s="612" t="n">
        <v>43831</v>
      </c>
      <c r="J33" s="612" t="n">
        <v>43831</v>
      </c>
      <c r="K33" s="612" t="n">
        <v>43831</v>
      </c>
      <c r="L33" s="612" t="n">
        <v>43831</v>
      </c>
      <c r="M33" s="612" t="n">
        <v>43831</v>
      </c>
      <c r="N33" s="612"/>
      <c r="O33" s="612"/>
      <c r="P33" s="634" t="s">
        <v>630</v>
      </c>
      <c r="R33" s="595" t="n">
        <f aca="false">COUNT(E33:P33)</f>
        <v>9</v>
      </c>
      <c r="S33" s="595" t="n">
        <f aca="false">C33/R33</f>
        <v>1.83483333333333</v>
      </c>
      <c r="T33" s="595" t="n">
        <f aca="false">MATCH(S33,$C$134:$R$134,-1)</f>
        <v>16</v>
      </c>
      <c r="U33" s="595" t="n">
        <f aca="false">COUNTIFS(E33:P33,"&gt;="&amp;$D$3,E33:P33,"&lt;="&amp;$E$3)</f>
        <v>0</v>
      </c>
      <c r="V33" s="595" t="n">
        <f aca="false">COUNTIFS(E33:P33,"&lt;="&amp;$E$2)</f>
        <v>0</v>
      </c>
      <c r="W33" s="627" t="n">
        <f aca="false">MATCH($E33,$B$177:$Q$177,1)</f>
        <v>5</v>
      </c>
      <c r="X33" s="628" t="str">
        <f aca="false">CHOOSE(ROUNDUP((W33/2),0),$B$179,$D$179,$F$179,$H$179,$J$179,$L$179,$N$179,$P$179)</f>
        <v>IR+HC</v>
      </c>
      <c r="Y33" s="627" t="n">
        <f aca="false">MATCH($E33,$B$183:$S$183,1)</f>
        <v>5</v>
      </c>
      <c r="Z33" s="628" t="str">
        <f aca="false">CHOOSE(ROUNDUP((Y33/2),0),$B$185,$D$185,$F$185,$H$185,$J$185,$L$185,$N$185,$P$185,$R$185)</f>
        <v>Discharge</v>
      </c>
      <c r="AA33" s="629"/>
      <c r="AB33" s="0" t="str">
        <f aca="false">B33</f>
        <v>PEEER</v>
      </c>
    </row>
    <row r="34" customFormat="false" ht="10.15" hidden="false" customHeight="false" outlineLevel="0" collapsed="false">
      <c r="A34" s="630" t="str">
        <f aca="false">'Plant loading'!A30</f>
        <v>Esher</v>
      </c>
      <c r="B34" s="630" t="str">
        <f aca="false">'Plant loading'!B30</f>
        <v>PEFER</v>
      </c>
      <c r="C34" s="631" t="n">
        <f aca="false">('Plant loading'!E30*54.5)/1000</f>
        <v>19.62</v>
      </c>
      <c r="D34" s="632" t="str">
        <f aca="false">CHOOSE(T34,$C$130,$D$130,$E$130,$F$130,$G$130,$H$130,$I$130,$J$130,$K$130,$L$130,$M$130,$N$130,$O$130,$P$130,$Q$130,$R$130)</f>
        <v>6 hours</v>
      </c>
      <c r="E34" s="612" t="n">
        <v>43862</v>
      </c>
      <c r="F34" s="612" t="n">
        <v>43862</v>
      </c>
      <c r="G34" s="612" t="n">
        <v>43862</v>
      </c>
      <c r="H34" s="612" t="n">
        <v>43862</v>
      </c>
      <c r="I34" s="612" t="n">
        <v>43862</v>
      </c>
      <c r="J34" s="612" t="n">
        <v>43862</v>
      </c>
      <c r="K34" s="612" t="n">
        <v>43862</v>
      </c>
      <c r="L34" s="612" t="n">
        <v>43862</v>
      </c>
      <c r="M34" s="612" t="n">
        <v>43862</v>
      </c>
      <c r="N34" s="612"/>
      <c r="O34" s="612"/>
      <c r="P34" s="634" t="s">
        <v>630</v>
      </c>
      <c r="R34" s="595" t="n">
        <f aca="false">COUNT(E34:P34)</f>
        <v>9</v>
      </c>
      <c r="S34" s="595" t="n">
        <f aca="false">C34/R34</f>
        <v>2.18</v>
      </c>
      <c r="T34" s="595" t="n">
        <f aca="false">MATCH(S34,$C$134:$R$134,-1)</f>
        <v>14</v>
      </c>
      <c r="U34" s="595" t="n">
        <f aca="false">COUNTIFS(E34:P34,"&gt;="&amp;$D$3,E34:P34,"&lt;="&amp;$E$3)</f>
        <v>0</v>
      </c>
      <c r="V34" s="595" t="n">
        <f aca="false">COUNTIFS(E34:P34,"&lt;="&amp;$E$2)</f>
        <v>0</v>
      </c>
      <c r="W34" s="627" t="n">
        <f aca="false">MATCH($E34,$B$177:$Q$177,1)</f>
        <v>5</v>
      </c>
      <c r="X34" s="628" t="str">
        <f aca="false">CHOOSE(ROUNDUP((W34/2),0),$B$179,$D$179,$F$179,$H$179,$J$179,$L$179,$N$179,$P$179)</f>
        <v>IR+HC</v>
      </c>
      <c r="Y34" s="627" t="n">
        <f aca="false">MATCH($E34,$B$183:$S$183,1)</f>
        <v>5</v>
      </c>
      <c r="Z34" s="628" t="str">
        <f aca="false">CHOOSE(ROUNDUP((Y34/2),0),$B$185,$D$185,$F$185,$H$185,$J$185,$L$185,$N$185,$P$185,$R$185)</f>
        <v>Discharge</v>
      </c>
      <c r="AA34" s="629"/>
      <c r="AB34" s="0" t="str">
        <f aca="false">B34</f>
        <v>PEFER</v>
      </c>
    </row>
    <row r="35" customFormat="false" ht="10.15" hidden="false" customHeight="false" outlineLevel="0" collapsed="false">
      <c r="A35" s="630" t="str">
        <f aca="false">'Plant loading'!A31</f>
        <v>Esher</v>
      </c>
      <c r="B35" s="630" t="str">
        <f aca="false">'Plant loading'!B31</f>
        <v>PEGER</v>
      </c>
      <c r="C35" s="631" t="n">
        <f aca="false">('Plant loading'!E31*54.5)/1000</f>
        <v>11.9355</v>
      </c>
      <c r="D35" s="632" t="str">
        <f aca="false">CHOOSE(T35,$C$130,$D$130,$E$130,$F$130,$G$130,$H$130,$I$130,$J$130,$K$130,$L$130,$M$130,$N$130,$O$130,$P$130,$Q$130,$R$130)</f>
        <v>8 hours</v>
      </c>
      <c r="E35" s="612" t="n">
        <v>43862</v>
      </c>
      <c r="F35" s="612" t="n">
        <v>43862</v>
      </c>
      <c r="G35" s="612" t="n">
        <v>43862</v>
      </c>
      <c r="H35" s="612" t="n">
        <v>43862</v>
      </c>
      <c r="I35" s="612" t="n">
        <v>43862</v>
      </c>
      <c r="J35" s="612" t="n">
        <v>43862</v>
      </c>
      <c r="K35" s="612" t="n">
        <v>43862</v>
      </c>
      <c r="L35" s="612" t="n">
        <v>43862</v>
      </c>
      <c r="M35" s="612" t="n">
        <v>43862</v>
      </c>
      <c r="N35" s="612"/>
      <c r="O35" s="612"/>
      <c r="P35" s="634" t="s">
        <v>630</v>
      </c>
      <c r="R35" s="595" t="n">
        <f aca="false">COUNT(E35:P35)</f>
        <v>9</v>
      </c>
      <c r="S35" s="595" t="n">
        <f aca="false">C35/R35</f>
        <v>1.32616666666667</v>
      </c>
      <c r="T35" s="595" t="n">
        <f aca="false">MATCH(S35,$C$134:$R$134,-1)</f>
        <v>16</v>
      </c>
      <c r="U35" s="595" t="n">
        <f aca="false">COUNTIFS(E35:P35,"&gt;="&amp;$D$3,E35:P35,"&lt;="&amp;$E$3)</f>
        <v>0</v>
      </c>
      <c r="V35" s="595" t="n">
        <f aca="false">COUNTIFS(E35:P35,"&lt;="&amp;$E$2)</f>
        <v>0</v>
      </c>
      <c r="W35" s="627" t="n">
        <f aca="false">MATCH($E35,$B$177:$Q$177,1)</f>
        <v>5</v>
      </c>
      <c r="X35" s="628" t="str">
        <f aca="false">CHOOSE(ROUNDUP((W35/2),0),$B$179,$D$179,$F$179,$H$179,$J$179,$L$179,$N$179,$P$179)</f>
        <v>IR+HC</v>
      </c>
      <c r="Y35" s="627" t="n">
        <f aca="false">MATCH($E35,$B$183:$S$183,1)</f>
        <v>5</v>
      </c>
      <c r="Z35" s="628" t="str">
        <f aca="false">CHOOSE(ROUNDUP((Y35/2),0),$B$185,$D$185,$F$185,$H$185,$J$185,$L$185,$N$185,$P$185,$R$185)</f>
        <v>Discharge</v>
      </c>
      <c r="AA35" s="629"/>
      <c r="AB35" s="0" t="str">
        <f aca="false">B35</f>
        <v>PEGER</v>
      </c>
    </row>
    <row r="36" customFormat="false" ht="10.15" hidden="false" customHeight="false" outlineLevel="0" collapsed="false">
      <c r="A36" s="636" t="str">
        <f aca="false">'Plant loading'!A32</f>
        <v>Gloucester</v>
      </c>
      <c r="B36" s="636" t="str">
        <f aca="false">'Plant loading'!B32</f>
        <v>PEAGR</v>
      </c>
      <c r="C36" s="637" t="n">
        <f aca="false">('Plant loading'!E32*54.5)/1000</f>
        <v>36.2425</v>
      </c>
      <c r="D36" s="638" t="str">
        <f aca="false">CHOOSE(T36,$C$130,$D$130,$E$130,$F$130,$G$130,$H$130,$I$130,$J$130,$K$130,$L$130,$M$130,$N$130,$O$130,$P$130,$Q$130,$R$130)</f>
        <v>3 hours</v>
      </c>
      <c r="E36" s="624" t="n">
        <v>44866</v>
      </c>
      <c r="F36" s="624" t="n">
        <v>44866</v>
      </c>
      <c r="G36" s="624" t="n">
        <v>44866</v>
      </c>
      <c r="H36" s="624" t="n">
        <v>44866</v>
      </c>
      <c r="I36" s="624" t="n">
        <v>44866</v>
      </c>
      <c r="J36" s="624" t="n">
        <v>44866</v>
      </c>
      <c r="K36" s="624" t="n">
        <v>44866</v>
      </c>
      <c r="L36" s="624" t="n">
        <v>44866</v>
      </c>
      <c r="M36" s="624" t="n">
        <v>44866</v>
      </c>
      <c r="N36" s="624"/>
      <c r="O36" s="624"/>
      <c r="P36" s="626" t="s">
        <v>630</v>
      </c>
      <c r="R36" s="595" t="n">
        <f aca="false">COUNT(E36:P36)</f>
        <v>9</v>
      </c>
      <c r="S36" s="595" t="n">
        <f aca="false">C36/R36</f>
        <v>4.02694444444444</v>
      </c>
      <c r="T36" s="595" t="n">
        <f aca="false">MATCH(S36,$C$134:$R$134,-1)</f>
        <v>11</v>
      </c>
      <c r="U36" s="595" t="n">
        <f aca="false">COUNTIFS(E36:P36,"&gt;="&amp;$D$3,E36:P36,"&lt;="&amp;$E$3)</f>
        <v>0</v>
      </c>
      <c r="V36" s="595" t="n">
        <f aca="false">COUNTIFS(E36:P36,"&lt;="&amp;$E$2)</f>
        <v>0</v>
      </c>
      <c r="W36" s="627" t="n">
        <f aca="false">MATCH($E36,$B$177:$Q$177,1)</f>
        <v>11</v>
      </c>
      <c r="X36" s="639" t="str">
        <f aca="false">CHOOSE(ROUNDUP((W36/2),0),$B$179,$D$179,$F$179,$H$179,$J$179,$L$179,$N$179,$P$179)</f>
        <v>Discharge</v>
      </c>
      <c r="Y36" s="627" t="n">
        <f aca="false">MATCH($E36,$B$183:$S$183,1)</f>
        <v>11</v>
      </c>
      <c r="Z36" s="639" t="str">
        <f aca="false">CHOOSE(ROUNDUP((Y36/2),0),$B$185,$D$185,$F$185,$H$185,$J$185,$L$185,$N$185,$P$185,$R$185)</f>
        <v>IR+HC</v>
      </c>
      <c r="AA36" s="640" t="str">
        <f aca="false">A36</f>
        <v>Gloucester</v>
      </c>
      <c r="AB36" s="0" t="str">
        <f aca="false">B36</f>
        <v>PEAGR</v>
      </c>
    </row>
    <row r="37" customFormat="false" ht="10.15" hidden="false" customHeight="false" outlineLevel="0" collapsed="false">
      <c r="A37" s="641" t="str">
        <f aca="false">'Plant loading'!A33</f>
        <v>Gloucester</v>
      </c>
      <c r="B37" s="641" t="str">
        <f aca="false">'Plant loading'!B33</f>
        <v>PEBGR</v>
      </c>
      <c r="C37" s="642" t="n">
        <f aca="false">('Plant loading'!E33*54.5)/1000</f>
        <v>45.126</v>
      </c>
      <c r="D37" s="643" t="str">
        <f aca="false">CHOOSE(T37,$C$130,$D$130,$E$130,$F$130,$G$130,$H$130,$I$130,$J$130,$K$130,$L$130,$M$130,$N$130,$O$130,$P$130,$Q$130,$R$130)</f>
        <v>2.5 hours</v>
      </c>
      <c r="E37" s="612" t="n">
        <v>44866</v>
      </c>
      <c r="F37" s="612" t="n">
        <v>44866</v>
      </c>
      <c r="G37" s="612" t="n">
        <v>44866</v>
      </c>
      <c r="H37" s="612" t="n">
        <v>44866</v>
      </c>
      <c r="I37" s="612" t="n">
        <v>44866</v>
      </c>
      <c r="J37" s="612" t="n">
        <v>44866</v>
      </c>
      <c r="K37" s="612" t="n">
        <v>44866</v>
      </c>
      <c r="L37" s="612" t="n">
        <v>44866</v>
      </c>
      <c r="M37" s="612" t="n">
        <v>44866</v>
      </c>
      <c r="N37" s="612"/>
      <c r="O37" s="612"/>
      <c r="P37" s="634" t="s">
        <v>630</v>
      </c>
      <c r="R37" s="595" t="n">
        <f aca="false">COUNT(E37:P37)</f>
        <v>9</v>
      </c>
      <c r="S37" s="595" t="n">
        <f aca="false">C37/R37</f>
        <v>5.014</v>
      </c>
      <c r="T37" s="595" t="n">
        <f aca="false">MATCH(S37,$C$134:$R$134,-1)</f>
        <v>10</v>
      </c>
      <c r="U37" s="595" t="n">
        <f aca="false">COUNTIFS(E37:P37,"&gt;="&amp;$D$3,E37:P37,"&lt;="&amp;$E$3)</f>
        <v>0</v>
      </c>
      <c r="V37" s="595" t="n">
        <f aca="false">COUNTIFS(E37:P37,"&lt;="&amp;$E$2)</f>
        <v>0</v>
      </c>
      <c r="W37" s="627" t="n">
        <f aca="false">MATCH($E37,$B$177:$Q$177,1)</f>
        <v>11</v>
      </c>
      <c r="X37" s="639" t="str">
        <f aca="false">CHOOSE(ROUNDUP((W37/2),0),$B$179,$D$179,$F$179,$H$179,$J$179,$L$179,$N$179,$P$179)</f>
        <v>Discharge</v>
      </c>
      <c r="Y37" s="627" t="n">
        <f aca="false">MATCH($E37,$B$183:$S$183,1)</f>
        <v>11</v>
      </c>
      <c r="Z37" s="639" t="str">
        <f aca="false">CHOOSE(ROUNDUP((Y37/2),0),$B$185,$D$185,$F$185,$H$185,$J$185,$L$185,$N$185,$P$185,$R$185)</f>
        <v>IR+HC</v>
      </c>
      <c r="AA37" s="640"/>
      <c r="AB37" s="0" t="str">
        <f aca="false">B37</f>
        <v>PEBGR</v>
      </c>
    </row>
    <row r="38" customFormat="false" ht="10.15" hidden="false" customHeight="false" outlineLevel="0" collapsed="false">
      <c r="A38" s="641" t="str">
        <f aca="false">'Plant loading'!A34</f>
        <v>Gloucester</v>
      </c>
      <c r="B38" s="641" t="str">
        <f aca="false">'Plant loading'!B34</f>
        <v>PECGR</v>
      </c>
      <c r="C38" s="642" t="n">
        <f aca="false">('Plant loading'!E34*54.5)/1000</f>
        <v>41.311</v>
      </c>
      <c r="D38" s="643" t="str">
        <f aca="false">CHOOSE(T38,$C$130,$D$130,$E$130,$F$130,$G$130,$H$130,$I$130,$J$130,$K$130,$L$130,$M$130,$N$130,$O$130,$P$130,$Q$130,$R$130)</f>
        <v>2.5 hours</v>
      </c>
      <c r="E38" s="612" t="n">
        <v>44866</v>
      </c>
      <c r="F38" s="612" t="n">
        <v>44866</v>
      </c>
      <c r="G38" s="612" t="n">
        <v>44866</v>
      </c>
      <c r="H38" s="612" t="n">
        <v>44866</v>
      </c>
      <c r="I38" s="612" t="n">
        <v>44866</v>
      </c>
      <c r="J38" s="612" t="n">
        <v>44866</v>
      </c>
      <c r="K38" s="612" t="n">
        <v>44866</v>
      </c>
      <c r="L38" s="612" t="n">
        <v>44866</v>
      </c>
      <c r="M38" s="612" t="n">
        <v>44866</v>
      </c>
      <c r="N38" s="612"/>
      <c r="O38" s="612"/>
      <c r="P38" s="634" t="s">
        <v>630</v>
      </c>
      <c r="R38" s="595" t="n">
        <f aca="false">COUNT(E38:P38)</f>
        <v>9</v>
      </c>
      <c r="S38" s="595" t="n">
        <f aca="false">C38/R38</f>
        <v>4.59011111111111</v>
      </c>
      <c r="T38" s="595" t="n">
        <f aca="false">MATCH(S38,$C$134:$R$134,-1)</f>
        <v>10</v>
      </c>
      <c r="U38" s="595" t="n">
        <f aca="false">COUNTIFS(E38:P38,"&gt;="&amp;$D$3,E38:P38,"&lt;="&amp;$E$3)</f>
        <v>0</v>
      </c>
      <c r="V38" s="595" t="n">
        <f aca="false">COUNTIFS(E38:P38,"&lt;="&amp;$E$2)</f>
        <v>0</v>
      </c>
      <c r="W38" s="627" t="n">
        <f aca="false">MATCH($E38,$B$177:$Q$177,1)</f>
        <v>11</v>
      </c>
      <c r="X38" s="639" t="str">
        <f aca="false">CHOOSE(ROUNDUP((W38/2),0),$B$179,$D$179,$F$179,$H$179,$J$179,$L$179,$N$179,$P$179)</f>
        <v>Discharge</v>
      </c>
      <c r="Y38" s="627" t="n">
        <f aca="false">MATCH($E38,$B$183:$S$183,1)</f>
        <v>11</v>
      </c>
      <c r="Z38" s="639" t="str">
        <f aca="false">CHOOSE(ROUNDUP((Y38/2),0),$B$185,$D$185,$F$185,$H$185,$J$185,$L$185,$N$185,$P$185,$R$185)</f>
        <v>IR+HC</v>
      </c>
      <c r="AA38" s="640"/>
      <c r="AB38" s="0" t="str">
        <f aca="false">B38</f>
        <v>PECGR</v>
      </c>
    </row>
    <row r="39" customFormat="false" ht="10.15" hidden="false" customHeight="false" outlineLevel="0" collapsed="false">
      <c r="A39" s="641" t="str">
        <f aca="false">'Plant loading'!A35</f>
        <v>Gloucester</v>
      </c>
      <c r="B39" s="641" t="str">
        <f aca="false">'Plant loading'!B35</f>
        <v>PEDGR</v>
      </c>
      <c r="C39" s="642" t="n">
        <f aca="false">('Plant loading'!E35*54.5)/1000</f>
        <v>41.311</v>
      </c>
      <c r="D39" s="643" t="str">
        <f aca="false">CHOOSE(T39,$C$130,$D$130,$E$130,$F$130,$G$130,$H$130,$I$130,$J$130,$K$130,$L$130,$M$130,$N$130,$O$130,$P$130,$Q$130,$R$130)</f>
        <v>2.5 hours</v>
      </c>
      <c r="E39" s="612" t="n">
        <v>44409</v>
      </c>
      <c r="F39" s="612" t="n">
        <v>44409</v>
      </c>
      <c r="G39" s="612" t="n">
        <v>44409</v>
      </c>
      <c r="H39" s="612" t="n">
        <v>44409</v>
      </c>
      <c r="I39" s="612" t="n">
        <v>44409</v>
      </c>
      <c r="J39" s="612" t="n">
        <v>44409</v>
      </c>
      <c r="K39" s="612" t="n">
        <v>44409</v>
      </c>
      <c r="L39" s="612" t="n">
        <v>44409</v>
      </c>
      <c r="M39" s="612" t="n">
        <v>44409</v>
      </c>
      <c r="N39" s="612"/>
      <c r="O39" s="612"/>
      <c r="P39" s="633" t="s">
        <v>630</v>
      </c>
      <c r="R39" s="595" t="n">
        <f aca="false">COUNT(E39:P39)</f>
        <v>9</v>
      </c>
      <c r="S39" s="595" t="n">
        <f aca="false">C39/R39</f>
        <v>4.59011111111111</v>
      </c>
      <c r="T39" s="595" t="n">
        <f aca="false">MATCH(S39,$C$134:$R$134,-1)</f>
        <v>10</v>
      </c>
      <c r="U39" s="595" t="n">
        <f aca="false">COUNTIFS(E39:P39,"&gt;="&amp;$D$3,E39:P39,"&lt;="&amp;$E$3)</f>
        <v>0</v>
      </c>
      <c r="V39" s="595" t="n">
        <f aca="false">COUNTIFS(E39:P39,"&lt;="&amp;$E$2)</f>
        <v>0</v>
      </c>
      <c r="W39" s="627" t="n">
        <f aca="false">MATCH($E39,$B$177:$Q$177,1)</f>
        <v>9</v>
      </c>
      <c r="X39" s="639" t="str">
        <f aca="false">CHOOSE(ROUNDUP((W39/2),0),$B$179,$D$179,$F$179,$H$179,$J$179,$L$179,$N$179,$P$179)</f>
        <v>IR+HC</v>
      </c>
      <c r="Y39" s="627" t="n">
        <f aca="false">MATCH($E39,$B$183:$S$183,1)</f>
        <v>9</v>
      </c>
      <c r="Z39" s="639" t="str">
        <f aca="false">CHOOSE(ROUNDUP((Y39/2),0),$B$185,$D$185,$F$185,$H$185,$J$185,$L$185,$N$185,$P$185,$R$185)</f>
        <v>Discharge</v>
      </c>
      <c r="AA39" s="640"/>
      <c r="AB39" s="0" t="str">
        <f aca="false">B39</f>
        <v>PEDGR</v>
      </c>
    </row>
    <row r="40" customFormat="false" ht="10.15" hidden="false" customHeight="false" outlineLevel="0" collapsed="false">
      <c r="A40" s="641" t="str">
        <f aca="false">'Plant loading'!A36</f>
        <v>Gloucester</v>
      </c>
      <c r="B40" s="641" t="str">
        <f aca="false">'Plant loading'!B36</f>
        <v>PEEGR</v>
      </c>
      <c r="C40" s="642" t="n">
        <f aca="false">('Plant loading'!E36*54.5)/1000</f>
        <v>41.4745</v>
      </c>
      <c r="D40" s="643" t="str">
        <f aca="false">CHOOSE(T40,$C$130,$D$130,$E$130,$F$130,$G$130,$H$130,$I$130,$J$130,$K$130,$L$130,$M$130,$N$130,$O$130,$P$130,$Q$130,$R$130)</f>
        <v>2.5 hours</v>
      </c>
      <c r="E40" s="612" t="n">
        <v>44866</v>
      </c>
      <c r="F40" s="612" t="n">
        <v>44866</v>
      </c>
      <c r="G40" s="612" t="n">
        <v>44866</v>
      </c>
      <c r="H40" s="612" t="n">
        <v>44866</v>
      </c>
      <c r="I40" s="612" t="n">
        <v>44866</v>
      </c>
      <c r="J40" s="612" t="n">
        <v>44866</v>
      </c>
      <c r="K40" s="612" t="n">
        <v>44866</v>
      </c>
      <c r="L40" s="612" t="n">
        <v>44866</v>
      </c>
      <c r="M40" s="612" t="n">
        <v>44866</v>
      </c>
      <c r="N40" s="612"/>
      <c r="O40" s="612"/>
      <c r="P40" s="634" t="s">
        <v>630</v>
      </c>
      <c r="R40" s="595" t="n">
        <f aca="false">COUNT(E40:P40)</f>
        <v>9</v>
      </c>
      <c r="S40" s="595" t="n">
        <f aca="false">C40/R40</f>
        <v>4.60827777777778</v>
      </c>
      <c r="T40" s="595" t="n">
        <f aca="false">MATCH(S40,$C$134:$R$134,-1)</f>
        <v>10</v>
      </c>
      <c r="U40" s="595" t="n">
        <f aca="false">COUNTIFS(E40:P40,"&gt;="&amp;$D$3,E40:P40,"&lt;="&amp;$E$3)</f>
        <v>0</v>
      </c>
      <c r="V40" s="595" t="n">
        <f aca="false">COUNTIFS(E40:P40,"&lt;="&amp;$E$2)</f>
        <v>0</v>
      </c>
      <c r="W40" s="627" t="n">
        <f aca="false">MATCH($E40,$B$177:$Q$177,1)</f>
        <v>11</v>
      </c>
      <c r="X40" s="639" t="str">
        <f aca="false">CHOOSE(ROUNDUP((W40/2),0),$B$179,$D$179,$F$179,$H$179,$J$179,$L$179,$N$179,$P$179)</f>
        <v>Discharge</v>
      </c>
      <c r="Y40" s="627" t="n">
        <f aca="false">MATCH($E40,$B$183:$S$183,1)</f>
        <v>11</v>
      </c>
      <c r="Z40" s="639" t="str">
        <f aca="false">CHOOSE(ROUNDUP((Y40/2),0),$B$185,$D$185,$F$185,$H$185,$J$185,$L$185,$N$185,$P$185,$R$185)</f>
        <v>IR+HC</v>
      </c>
      <c r="AA40" s="640"/>
      <c r="AB40" s="0" t="str">
        <f aca="false">B40</f>
        <v>PEEGR</v>
      </c>
    </row>
    <row r="41" customFormat="false" ht="10.15" hidden="false" customHeight="false" outlineLevel="0" collapsed="false">
      <c r="A41" s="641" t="str">
        <f aca="false">'Plant loading'!A37</f>
        <v>Gloucester</v>
      </c>
      <c r="B41" s="641" t="str">
        <f aca="false">'Plant loading'!B37</f>
        <v>GCRMTX-DCSYS06a</v>
      </c>
      <c r="C41" s="642" t="n">
        <f aca="false">('Plant loading'!E37*54.5)/1000</f>
        <v>53.5735</v>
      </c>
      <c r="D41" s="643" t="str">
        <f aca="false">CHOOSE(T41,$C$130,$D$130,$E$130,$F$130,$G$130,$H$130,$I$130,$J$130,$K$130,$L$130,$M$130,$N$130,$O$130,$P$130,$Q$130,$R$130)</f>
        <v>55 mins</v>
      </c>
      <c r="E41" s="612" t="n">
        <v>44621</v>
      </c>
      <c r="F41" s="612" t="n">
        <v>44621</v>
      </c>
      <c r="G41" s="612" t="n">
        <v>44621</v>
      </c>
      <c r="H41" s="612" t="n">
        <v>44621</v>
      </c>
      <c r="I41" s="612" t="n">
        <v>44621</v>
      </c>
      <c r="J41" s="612"/>
      <c r="K41" s="612"/>
      <c r="L41" s="612"/>
      <c r="M41" s="612"/>
      <c r="N41" s="612"/>
      <c r="O41" s="612"/>
      <c r="P41" s="634" t="s">
        <v>630</v>
      </c>
      <c r="R41" s="595" t="n">
        <f aca="false">COUNT(E41:P41)</f>
        <v>5</v>
      </c>
      <c r="S41" s="595" t="n">
        <f aca="false">C41/R41</f>
        <v>10.7147</v>
      </c>
      <c r="T41" s="595" t="n">
        <f aca="false">MATCH(S41,$C$134:$R$134,-1)</f>
        <v>6</v>
      </c>
      <c r="U41" s="595" t="n">
        <f aca="false">COUNTIFS(E41:P41,"&gt;="&amp;$D$3,E41:P41,"&lt;="&amp;$E$3)</f>
        <v>0</v>
      </c>
      <c r="V41" s="595" t="n">
        <f aca="false">COUNTIFS(E41:P41,"&lt;="&amp;$E$2)</f>
        <v>0</v>
      </c>
      <c r="W41" s="627"/>
      <c r="X41" s="639"/>
      <c r="Y41" s="627"/>
      <c r="Z41" s="639"/>
      <c r="AA41" s="651"/>
      <c r="AB41" s="0" t="str">
        <f aca="false">B41</f>
        <v>GCRMTX-DCSYS06a</v>
      </c>
    </row>
    <row r="42" customFormat="false" ht="10.15" hidden="false" customHeight="false" outlineLevel="0" collapsed="false">
      <c r="A42" s="641" t="str">
        <f aca="false">'Plant loading'!A38</f>
        <v>Gloucester</v>
      </c>
      <c r="B42" s="641" t="str">
        <f aca="false">'Plant loading'!B38</f>
        <v>GCRMTX-DCSYS06b</v>
      </c>
      <c r="C42" s="642" t="n">
        <f aca="false">('Plant loading'!E38*54.5)/1000</f>
        <v>50.249</v>
      </c>
      <c r="D42" s="643" t="str">
        <f aca="false">CHOOSE(T42,$C$130,$D$130,$E$130,$F$130,$G$130,$H$130,$I$130,$J$130,$K$130,$L$130,$M$130,$N$130,$O$130,$P$130,$Q$130,$R$130)</f>
        <v>1 hour</v>
      </c>
      <c r="E42" s="612" t="n">
        <v>44621</v>
      </c>
      <c r="F42" s="612" t="n">
        <v>44621</v>
      </c>
      <c r="G42" s="612" t="n">
        <v>44621</v>
      </c>
      <c r="H42" s="612" t="n">
        <v>44621</v>
      </c>
      <c r="I42" s="612" t="n">
        <v>44621</v>
      </c>
      <c r="J42" s="612"/>
      <c r="K42" s="612"/>
      <c r="L42" s="612"/>
      <c r="M42" s="612"/>
      <c r="N42" s="612"/>
      <c r="O42" s="612"/>
      <c r="P42" s="634" t="s">
        <v>630</v>
      </c>
      <c r="R42" s="595" t="n">
        <f aca="false">COUNT(E42:P42)</f>
        <v>5</v>
      </c>
      <c r="S42" s="595" t="n">
        <f aca="false">C42/R42</f>
        <v>10.0498</v>
      </c>
      <c r="T42" s="595" t="n">
        <f aca="false">MATCH(S42,$C$134:$R$134,-1)</f>
        <v>7</v>
      </c>
      <c r="U42" s="595" t="n">
        <f aca="false">COUNTIFS(E42:P42,"&gt;="&amp;$D$3,E42:P42,"&lt;="&amp;$E$3)</f>
        <v>0</v>
      </c>
      <c r="V42" s="595" t="n">
        <f aca="false">COUNTIFS(E42:P42,"&lt;="&amp;$E$2)</f>
        <v>0</v>
      </c>
      <c r="W42" s="627"/>
      <c r="X42" s="639"/>
      <c r="Y42" s="627"/>
      <c r="Z42" s="639"/>
      <c r="AA42" s="651"/>
      <c r="AB42" s="0" t="str">
        <f aca="false">B42</f>
        <v>GCRMTX-DCSYS06b</v>
      </c>
    </row>
    <row r="43" customFormat="false" ht="10.15" hidden="false" customHeight="false" outlineLevel="0" collapsed="false">
      <c r="A43" s="621" t="str">
        <f aca="false">'Plant loading'!A39</f>
        <v>Gravelly Hill</v>
      </c>
      <c r="B43" s="621" t="str">
        <f aca="false">'Plant loading'!B39</f>
        <v>BMGMTX-DCSYS01</v>
      </c>
      <c r="C43" s="622" t="n">
        <f aca="false">('Plant loading'!E39*54.5)/1000</f>
        <v>36.1335</v>
      </c>
      <c r="D43" s="623" t="str">
        <f aca="false">CHOOSE(T43,$C$130,$D$130,$E$130,$F$130,$G$130,$H$130,$I$130,$J$130,$K$130,$L$130,$M$130,$N$130,$O$130,$P$130,$Q$130,$R$130)</f>
        <v>3 hours</v>
      </c>
      <c r="E43" s="624" t="n">
        <v>45078</v>
      </c>
      <c r="F43" s="624" t="n">
        <v>45078</v>
      </c>
      <c r="G43" s="624" t="n">
        <v>45078</v>
      </c>
      <c r="H43" s="624" t="n">
        <v>45078</v>
      </c>
      <c r="I43" s="624" t="n">
        <v>45078</v>
      </c>
      <c r="J43" s="624" t="n">
        <v>45078</v>
      </c>
      <c r="K43" s="624" t="n">
        <v>45078</v>
      </c>
      <c r="L43" s="624" t="n">
        <v>45078</v>
      </c>
      <c r="M43" s="624" t="n">
        <v>45078</v>
      </c>
      <c r="N43" s="624"/>
      <c r="O43" s="624"/>
      <c r="P43" s="626" t="s">
        <v>630</v>
      </c>
      <c r="R43" s="595" t="n">
        <f aca="false">COUNT(E43:P43)</f>
        <v>9</v>
      </c>
      <c r="S43" s="595" t="n">
        <f aca="false">C43/R43</f>
        <v>4.01483333333333</v>
      </c>
      <c r="T43" s="595" t="n">
        <f aca="false">MATCH(S43,$C$134:$R$134,-1)</f>
        <v>11</v>
      </c>
      <c r="U43" s="595" t="n">
        <f aca="false">COUNTIFS(E43:P43,"&gt;="&amp;$D$3,E43:P43,"&lt;="&amp;$E$3)</f>
        <v>0</v>
      </c>
      <c r="V43" s="595" t="n">
        <f aca="false">COUNTIFS(E43:P43,"&lt;="&amp;$E$2)</f>
        <v>0</v>
      </c>
      <c r="W43" s="627" t="n">
        <f aca="false">MATCH($E43,$B$177:$Q$177,1)</f>
        <v>13</v>
      </c>
      <c r="X43" s="628" t="str">
        <f aca="false">CHOOSE(ROUNDUP((W43/2),0),$B$179,$D$179,$F$179,$H$179,$J$179,$L$179,$N$179,$P$179)</f>
        <v>IR+HC</v>
      </c>
      <c r="Y43" s="627" t="n">
        <f aca="false">MATCH($E43,$B$183:$S$183,1)</f>
        <v>13</v>
      </c>
      <c r="Z43" s="628"/>
      <c r="AA43" s="629" t="str">
        <f aca="false">A43</f>
        <v>Gravelly Hill</v>
      </c>
      <c r="AB43" s="0" t="str">
        <f aca="false">B43</f>
        <v>BMGMTX-DCSYS01</v>
      </c>
    </row>
    <row r="44" customFormat="false" ht="10.15" hidden="false" customHeight="false" outlineLevel="0" collapsed="false">
      <c r="A44" s="630" t="str">
        <f aca="false">'Plant loading'!A40</f>
        <v>Gravelly Hill</v>
      </c>
      <c r="B44" s="630" t="str">
        <f aca="false">'Plant loading'!B40</f>
        <v>BMGMTX-DCSYS02</v>
      </c>
      <c r="C44" s="631" t="n">
        <f aca="false">('Plant loading'!E40*54.5)/1000</f>
        <v>38.368</v>
      </c>
      <c r="D44" s="632" t="str">
        <f aca="false">CHOOSE(T44,$C$130,$D$130,$E$130,$F$130,$G$130,$H$130,$I$130,$J$130,$K$130,$L$130,$M$130,$N$130,$O$130,$P$130,$Q$130,$R$130)</f>
        <v>3 hours</v>
      </c>
      <c r="E44" s="612" t="n">
        <v>45078</v>
      </c>
      <c r="F44" s="612" t="n">
        <v>45078</v>
      </c>
      <c r="G44" s="612" t="n">
        <v>45078</v>
      </c>
      <c r="H44" s="612" t="n">
        <v>45078</v>
      </c>
      <c r="I44" s="612" t="n">
        <v>45078</v>
      </c>
      <c r="J44" s="612" t="n">
        <v>45078</v>
      </c>
      <c r="K44" s="612" t="n">
        <v>45078</v>
      </c>
      <c r="L44" s="612" t="n">
        <v>45078</v>
      </c>
      <c r="M44" s="612" t="n">
        <v>45078</v>
      </c>
      <c r="N44" s="612"/>
      <c r="O44" s="612"/>
      <c r="P44" s="634" t="s">
        <v>630</v>
      </c>
      <c r="R44" s="595" t="n">
        <f aca="false">COUNT(E44:P44)</f>
        <v>9</v>
      </c>
      <c r="S44" s="595" t="n">
        <f aca="false">C44/R44</f>
        <v>4.26311111111111</v>
      </c>
      <c r="T44" s="595" t="n">
        <f aca="false">MATCH(S44,$C$134:$R$134,-1)</f>
        <v>11</v>
      </c>
      <c r="U44" s="595" t="n">
        <f aca="false">COUNTIFS(E44:P44,"&gt;="&amp;$D$3,E44:P44,"&lt;="&amp;$E$3)</f>
        <v>0</v>
      </c>
      <c r="V44" s="595" t="n">
        <f aca="false">COUNTIFS(E44:P44,"&lt;="&amp;$E$2)</f>
        <v>0</v>
      </c>
      <c r="W44" s="627" t="n">
        <f aca="false">MATCH($E44,$B$177:$Q$177,1)</f>
        <v>13</v>
      </c>
      <c r="X44" s="628" t="str">
        <f aca="false">CHOOSE(ROUNDUP((W44/2),0),$B$179,$D$179,$F$179,$H$179,$J$179,$L$179,$N$179,$P$179)</f>
        <v>IR+HC</v>
      </c>
      <c r="Y44" s="627" t="n">
        <f aca="false">MATCH($E44,$B$183:$S$183,1)</f>
        <v>13</v>
      </c>
      <c r="Z44" s="628"/>
      <c r="AA44" s="629"/>
      <c r="AB44" s="0" t="str">
        <f aca="false">B44</f>
        <v>BMGMTX-DCSYS02</v>
      </c>
    </row>
    <row r="45" customFormat="false" ht="10.15" hidden="false" customHeight="false" outlineLevel="0" collapsed="false">
      <c r="A45" s="630" t="str">
        <f aca="false">'Plant loading'!A41</f>
        <v>Gravelly Hill</v>
      </c>
      <c r="B45" s="630" t="str">
        <f aca="false">'Plant loading'!B41</f>
        <v>BMGMTX-DCSYS03</v>
      </c>
      <c r="C45" s="631" t="n">
        <f aca="false">('Plant loading'!E41*54.5)/1000</f>
        <v>40.9295</v>
      </c>
      <c r="D45" s="632" t="str">
        <f aca="false">CHOOSE(T45,$C$130,$D$130,$E$130,$F$130,$G$130,$H$130,$I$130,$J$130,$K$130,$L$130,$M$130,$N$130,$O$130,$P$130,$Q$130,$R$130)</f>
        <v>2.5 hours</v>
      </c>
      <c r="E45" s="612" t="n">
        <v>45078</v>
      </c>
      <c r="F45" s="612" t="n">
        <v>45078</v>
      </c>
      <c r="G45" s="612" t="n">
        <v>45078</v>
      </c>
      <c r="H45" s="612" t="n">
        <v>45078</v>
      </c>
      <c r="I45" s="612" t="n">
        <v>45078</v>
      </c>
      <c r="J45" s="612" t="n">
        <v>45078</v>
      </c>
      <c r="K45" s="612" t="n">
        <v>45078</v>
      </c>
      <c r="L45" s="612" t="n">
        <v>45078</v>
      </c>
      <c r="M45" s="612" t="n">
        <v>45078</v>
      </c>
      <c r="N45" s="612"/>
      <c r="O45" s="612"/>
      <c r="P45" s="634" t="s">
        <v>630</v>
      </c>
      <c r="R45" s="595" t="n">
        <f aca="false">COUNT(E45:P45)</f>
        <v>9</v>
      </c>
      <c r="S45" s="595" t="n">
        <f aca="false">C45/R45</f>
        <v>4.54772222222222</v>
      </c>
      <c r="T45" s="595" t="n">
        <f aca="false">MATCH(S45,$C$134:$R$134,-1)</f>
        <v>10</v>
      </c>
      <c r="U45" s="595" t="n">
        <f aca="false">COUNTIFS(E45:P45,"&gt;="&amp;$D$3,E45:P45,"&lt;="&amp;$E$3)</f>
        <v>0</v>
      </c>
      <c r="V45" s="595" t="n">
        <f aca="false">COUNTIFS(E45:P45,"&lt;="&amp;$E$2)</f>
        <v>0</v>
      </c>
      <c r="W45" s="627" t="n">
        <f aca="false">MATCH($E45,$B$177:$Q$177,1)</f>
        <v>13</v>
      </c>
      <c r="X45" s="628" t="str">
        <f aca="false">CHOOSE(ROUNDUP((W45/2),0),$B$179,$D$179,$F$179,$H$179,$J$179,$L$179,$N$179,$P$179)</f>
        <v>IR+HC</v>
      </c>
      <c r="Y45" s="627" t="n">
        <f aca="false">MATCH($E45,$B$183:$S$183,1)</f>
        <v>13</v>
      </c>
      <c r="Z45" s="628"/>
      <c r="AA45" s="629"/>
      <c r="AB45" s="0" t="str">
        <f aca="false">B45</f>
        <v>BMGMTX-DCSYS03</v>
      </c>
    </row>
    <row r="46" customFormat="false" ht="10.15" hidden="false" customHeight="false" outlineLevel="0" collapsed="false">
      <c r="A46" s="630" t="str">
        <f aca="false">'Plant loading'!A42</f>
        <v>Gravelly Hill</v>
      </c>
      <c r="B46" s="630" t="str">
        <f aca="false">'Plant loading'!B42</f>
        <v>BMGMTX-DCSYS04</v>
      </c>
      <c r="C46" s="631" t="n">
        <f aca="false">('Plant loading'!E42*54.5)/1000</f>
        <v>40.33</v>
      </c>
      <c r="D46" s="632" t="str">
        <f aca="false">CHOOSE(T46,$C$130,$D$130,$E$130,$F$130,$G$130,$H$130,$I$130,$J$130,$K$130,$L$130,$M$130,$N$130,$O$130,$P$130,$Q$130,$R$130)</f>
        <v>2.5 hours</v>
      </c>
      <c r="E46" s="612" t="n">
        <v>43891</v>
      </c>
      <c r="F46" s="612" t="n">
        <v>43891</v>
      </c>
      <c r="G46" s="612" t="n">
        <v>43891</v>
      </c>
      <c r="H46" s="612" t="n">
        <v>43922</v>
      </c>
      <c r="I46" s="612" t="n">
        <v>43922</v>
      </c>
      <c r="J46" s="612" t="n">
        <v>43922</v>
      </c>
      <c r="K46" s="612" t="n">
        <v>43922</v>
      </c>
      <c r="L46" s="612" t="n">
        <v>43922</v>
      </c>
      <c r="M46" s="612" t="n">
        <v>43922</v>
      </c>
      <c r="N46" s="612"/>
      <c r="O46" s="612"/>
      <c r="P46" s="634" t="s">
        <v>630</v>
      </c>
      <c r="R46" s="595" t="n">
        <f aca="false">COUNT(E46:P46)</f>
        <v>9</v>
      </c>
      <c r="S46" s="595" t="n">
        <f aca="false">C46/R46</f>
        <v>4.48111111111111</v>
      </c>
      <c r="T46" s="595" t="n">
        <f aca="false">MATCH(S46,$C$134:$R$134,-1)</f>
        <v>10</v>
      </c>
      <c r="U46" s="595" t="n">
        <f aca="false">COUNTIFS(E46:P46,"&gt;="&amp;$D$3,E46:P46,"&lt;="&amp;$E$3)</f>
        <v>0</v>
      </c>
      <c r="V46" s="595" t="n">
        <f aca="false">COUNTIFS(E46:P46,"&lt;="&amp;$E$2)</f>
        <v>0</v>
      </c>
      <c r="W46" s="627" t="n">
        <f aca="false">MATCH($E46,$B$177:$Q$177,1)</f>
        <v>5</v>
      </c>
      <c r="X46" s="628" t="str">
        <f aca="false">CHOOSE(ROUNDUP((W46/2),0),$B$179,$D$179,$F$179,$H$179,$J$179,$L$179,$N$179,$P$179)</f>
        <v>IR+HC</v>
      </c>
      <c r="Y46" s="627" t="n">
        <f aca="false">MATCH($E46,$B$183:$S$183,1)</f>
        <v>5</v>
      </c>
      <c r="Z46" s="628"/>
      <c r="AA46" s="629"/>
      <c r="AB46" s="0" t="str">
        <f aca="false">B46</f>
        <v>BMGMTX-DCSYS04</v>
      </c>
    </row>
    <row r="47" customFormat="false" ht="10.15" hidden="false" customHeight="false" outlineLevel="0" collapsed="false">
      <c r="A47" s="630" t="str">
        <f aca="false">'Plant loading'!A43</f>
        <v>Gravelly Hill</v>
      </c>
      <c r="B47" s="630" t="str">
        <f aca="false">'Plant loading'!B43</f>
        <v>BMGMTX-DCSYS05</v>
      </c>
      <c r="C47" s="631" t="n">
        <f aca="false">('Plant loading'!E43*54.5)/1000</f>
        <v>42.183</v>
      </c>
      <c r="D47" s="632" t="str">
        <f aca="false">CHOOSE(T47,$C$130,$D$130,$E$130,$F$130,$G$130,$H$130,$I$130,$J$130,$K$130,$L$130,$M$130,$N$130,$O$130,$P$130,$Q$130,$R$130)</f>
        <v>2.5 hours</v>
      </c>
      <c r="E47" s="612" t="n">
        <v>45078</v>
      </c>
      <c r="F47" s="612" t="n">
        <v>45078</v>
      </c>
      <c r="G47" s="612" t="n">
        <v>45078</v>
      </c>
      <c r="H47" s="612" t="n">
        <v>45078</v>
      </c>
      <c r="I47" s="612" t="n">
        <v>45078</v>
      </c>
      <c r="J47" s="612" t="n">
        <v>45078</v>
      </c>
      <c r="K47" s="612" t="n">
        <v>45078</v>
      </c>
      <c r="L47" s="612" t="n">
        <v>45078</v>
      </c>
      <c r="M47" s="612" t="n">
        <v>45078</v>
      </c>
      <c r="N47" s="612"/>
      <c r="O47" s="612"/>
      <c r="P47" s="634" t="s">
        <v>630</v>
      </c>
      <c r="R47" s="595" t="n">
        <f aca="false">COUNT(E47:P47)</f>
        <v>9</v>
      </c>
      <c r="S47" s="595" t="n">
        <f aca="false">C47/R47</f>
        <v>4.687</v>
      </c>
      <c r="T47" s="595" t="n">
        <f aca="false">MATCH(S47,$C$134:$R$134,-1)</f>
        <v>10</v>
      </c>
      <c r="U47" s="595" t="n">
        <f aca="false">COUNTIFS(E47:P47,"&gt;="&amp;$D$3,E47:P47,"&lt;="&amp;$E$3)</f>
        <v>0</v>
      </c>
      <c r="V47" s="595" t="n">
        <f aca="false">COUNTIFS(E47:P47,"&lt;="&amp;$E$2)</f>
        <v>0</v>
      </c>
      <c r="W47" s="627" t="n">
        <f aca="false">MATCH($E47,$B$177:$Q$177,1)</f>
        <v>13</v>
      </c>
      <c r="X47" s="628" t="str">
        <f aca="false">CHOOSE(ROUNDUP((W47/2),0),$B$179,$D$179,$F$179,$H$179,$J$179,$L$179,$N$179,$P$179)</f>
        <v>IR+HC</v>
      </c>
      <c r="Y47" s="627" t="n">
        <f aca="false">MATCH($E47,$B$183:$S$183,1)</f>
        <v>13</v>
      </c>
      <c r="Z47" s="628"/>
      <c r="AA47" s="629"/>
      <c r="AB47" s="0" t="str">
        <f aca="false">B47</f>
        <v>BMGMTX-DCSYS05</v>
      </c>
    </row>
    <row r="48" customFormat="false" ht="10.15" hidden="false" customHeight="false" outlineLevel="0" collapsed="false">
      <c r="A48" s="630" t="str">
        <f aca="false">'Plant loading'!A44</f>
        <v>Gravelly Hill</v>
      </c>
      <c r="B48" s="630" t="str">
        <f aca="false">'Plant loading'!B44</f>
        <v>BMGMTX-DCSYS06</v>
      </c>
      <c r="C48" s="631" t="n">
        <f aca="false">('Plant loading'!E44*54.5)/1000</f>
        <v>43.055</v>
      </c>
      <c r="D48" s="632" t="str">
        <f aca="false">CHOOSE(T48,$C$130,$D$130,$E$130,$F$130,$G$130,$H$130,$I$130,$J$130,$K$130,$L$130,$M$130,$N$130,$O$130,$P$130,$Q$130,$R$130)</f>
        <v>2.5 hours</v>
      </c>
      <c r="E48" s="612" t="n">
        <v>44866</v>
      </c>
      <c r="F48" s="612" t="n">
        <v>44866</v>
      </c>
      <c r="G48" s="612" t="n">
        <v>44866</v>
      </c>
      <c r="H48" s="612" t="n">
        <v>44866</v>
      </c>
      <c r="I48" s="612" t="n">
        <v>44866</v>
      </c>
      <c r="J48" s="612" t="n">
        <v>44866</v>
      </c>
      <c r="K48" s="612" t="n">
        <v>44866</v>
      </c>
      <c r="L48" s="612" t="n">
        <v>44866</v>
      </c>
      <c r="M48" s="612" t="n">
        <v>44866</v>
      </c>
      <c r="N48" s="612"/>
      <c r="O48" s="612"/>
      <c r="P48" s="634" t="s">
        <v>630</v>
      </c>
      <c r="R48" s="595" t="n">
        <f aca="false">COUNT(E48:P48)</f>
        <v>9</v>
      </c>
      <c r="S48" s="595" t="n">
        <f aca="false">C48/R48</f>
        <v>4.78388888888889</v>
      </c>
      <c r="T48" s="595" t="n">
        <f aca="false">MATCH(S48,$C$134:$R$134,-1)</f>
        <v>10</v>
      </c>
      <c r="U48" s="595" t="n">
        <f aca="false">COUNTIFS(E48:P48,"&gt;="&amp;$D$3,E48:P48,"&lt;="&amp;$E$3)</f>
        <v>0</v>
      </c>
      <c r="V48" s="595" t="n">
        <f aca="false">COUNTIFS(E48:P48,"&lt;="&amp;$E$2)</f>
        <v>0</v>
      </c>
      <c r="W48" s="627" t="n">
        <f aca="false">MATCH($E48,$B$177:$Q$177,1)</f>
        <v>11</v>
      </c>
      <c r="X48" s="628" t="str">
        <f aca="false">CHOOSE(ROUNDUP((W48/2),0),$B$179,$D$179,$F$179,$H$179,$J$179,$L$179,$N$179,$P$179)</f>
        <v>Discharge</v>
      </c>
      <c r="Y48" s="627" t="n">
        <f aca="false">MATCH($E48,$B$183:$S$183,1)</f>
        <v>11</v>
      </c>
      <c r="Z48" s="628"/>
      <c r="AA48" s="629"/>
      <c r="AB48" s="0" t="str">
        <f aca="false">B48</f>
        <v>BMGMTX-DCSYS06</v>
      </c>
    </row>
    <row r="49" customFormat="false" ht="10.15" hidden="false" customHeight="false" outlineLevel="0" collapsed="false">
      <c r="A49" s="630" t="str">
        <f aca="false">'Plant loading'!A45</f>
        <v>Gravelly Hill</v>
      </c>
      <c r="B49" s="630" t="str">
        <f aca="false">'Plant loading'!B45</f>
        <v>BMGMTX-DCSYS07a</v>
      </c>
      <c r="C49" s="631" t="n">
        <f aca="false">('Plant loading'!E45*54.5)/1000</f>
        <v>20.7645</v>
      </c>
      <c r="D49" s="632" t="str">
        <f aca="false">CHOOSE(T49,$C$130,$D$130,$E$130,$F$130,$G$130,$H$130,$I$130,$J$130,$K$130,$L$130,$M$130,$N$130,$O$130,$P$130,$Q$130,$R$130)</f>
        <v>3 hours</v>
      </c>
      <c r="E49" s="612" t="n">
        <v>44470</v>
      </c>
      <c r="F49" s="612" t="n">
        <v>44470</v>
      </c>
      <c r="G49" s="612" t="n">
        <v>44470</v>
      </c>
      <c r="H49" s="612" t="n">
        <v>44470</v>
      </c>
      <c r="I49" s="612" t="n">
        <v>44470</v>
      </c>
      <c r="J49" s="612"/>
      <c r="K49" s="612"/>
      <c r="L49" s="612"/>
      <c r="M49" s="612"/>
      <c r="N49" s="612"/>
      <c r="O49" s="612"/>
      <c r="P49" s="634" t="s">
        <v>630</v>
      </c>
      <c r="R49" s="595" t="n">
        <f aca="false">COUNT(E49:P49)</f>
        <v>5</v>
      </c>
      <c r="S49" s="595" t="n">
        <f aca="false">C49/R49</f>
        <v>4.1529</v>
      </c>
      <c r="T49" s="595" t="n">
        <f aca="false">MATCH(S49,$C$134:$R$134,-1)</f>
        <v>11</v>
      </c>
      <c r="U49" s="595" t="n">
        <f aca="false">COUNTIFS(E49:P49,"&gt;="&amp;$D$3,E49:P49,"&lt;="&amp;$E$3)</f>
        <v>0</v>
      </c>
      <c r="V49" s="595" t="n">
        <f aca="false">COUNTIFS(E49:P49,"&lt;="&amp;$E$2)</f>
        <v>0</v>
      </c>
      <c r="W49" s="627"/>
      <c r="X49" s="628"/>
      <c r="Y49" s="627"/>
      <c r="Z49" s="628"/>
      <c r="AA49" s="653"/>
      <c r="AB49" s="0" t="str">
        <f aca="false">B49</f>
        <v>BMGMTX-DCSYS07a</v>
      </c>
    </row>
    <row r="50" customFormat="false" ht="10.15" hidden="false" customHeight="false" outlineLevel="0" collapsed="false">
      <c r="A50" s="630" t="str">
        <f aca="false">'Plant loading'!A46</f>
        <v>Gravelly Hill</v>
      </c>
      <c r="B50" s="630" t="str">
        <f aca="false">'Plant loading'!B46</f>
        <v>BMGMTX-DCSYS07b</v>
      </c>
      <c r="C50" s="631" t="n">
        <f aca="false">('Plant loading'!E46*54.5)/1000</f>
        <v>20.819</v>
      </c>
      <c r="D50" s="632" t="str">
        <f aca="false">CHOOSE(T50,$C$130,$D$130,$E$130,$F$130,$G$130,$H$130,$I$130,$J$130,$K$130,$L$130,$M$130,$N$130,$O$130,$P$130,$Q$130,$R$130)</f>
        <v>3 hours</v>
      </c>
      <c r="E50" s="612" t="n">
        <v>44470</v>
      </c>
      <c r="F50" s="612" t="n">
        <v>44470</v>
      </c>
      <c r="G50" s="612" t="n">
        <v>44470</v>
      </c>
      <c r="H50" s="612" t="n">
        <v>44470</v>
      </c>
      <c r="I50" s="612" t="n">
        <v>44470</v>
      </c>
      <c r="J50" s="612"/>
      <c r="K50" s="612"/>
      <c r="L50" s="612"/>
      <c r="M50" s="612"/>
      <c r="N50" s="612"/>
      <c r="O50" s="612"/>
      <c r="P50" s="634" t="s">
        <v>630</v>
      </c>
      <c r="R50" s="595" t="n">
        <f aca="false">COUNT(E50:P50)</f>
        <v>5</v>
      </c>
      <c r="S50" s="595" t="n">
        <f aca="false">C50/R50</f>
        <v>4.1638</v>
      </c>
      <c r="T50" s="595" t="n">
        <f aca="false">MATCH(S50,$C$134:$R$134,-1)</f>
        <v>11</v>
      </c>
      <c r="U50" s="595" t="n">
        <f aca="false">COUNTIFS(E50:P50,"&gt;="&amp;$D$3,E50:P50,"&lt;="&amp;$E$3)</f>
        <v>0</v>
      </c>
      <c r="V50" s="595" t="n">
        <f aca="false">COUNTIFS(E50:P50,"&lt;="&amp;$E$2)</f>
        <v>0</v>
      </c>
      <c r="W50" s="627"/>
      <c r="X50" s="628"/>
      <c r="Y50" s="627"/>
      <c r="Z50" s="628"/>
      <c r="AA50" s="653"/>
      <c r="AB50" s="0" t="str">
        <f aca="false">B50</f>
        <v>BMGMTX-DCSYS07b</v>
      </c>
    </row>
    <row r="51" customFormat="false" ht="10.15" hidden="false" customHeight="false" outlineLevel="0" collapsed="false">
      <c r="A51" s="636" t="str">
        <f aca="false">'Plant loading'!A47</f>
        <v>Kings Cross</v>
      </c>
      <c r="B51" s="636" t="str">
        <f aca="false">'Plant loading'!B47</f>
        <v>PEAKS</v>
      </c>
      <c r="C51" s="637" t="n">
        <f aca="false">('Plant loading'!E47*54.5)/1000</f>
        <v>13.0255</v>
      </c>
      <c r="D51" s="638" t="str">
        <f aca="false">CHOOSE(T51,$C$130,$D$130,$E$130,$F$130,$G$130,$H$130,$I$130,$J$130,$K$130,$L$130,$M$130,$N$130,$O$130,$P$130,$Q$130,$R$130)</f>
        <v>8 hours</v>
      </c>
      <c r="E51" s="624" t="n">
        <v>44409</v>
      </c>
      <c r="F51" s="624" t="n">
        <v>44409</v>
      </c>
      <c r="G51" s="624" t="n">
        <v>44409</v>
      </c>
      <c r="H51" s="624" t="n">
        <v>44409</v>
      </c>
      <c r="I51" s="624" t="n">
        <v>44409</v>
      </c>
      <c r="J51" s="624" t="n">
        <v>44409</v>
      </c>
      <c r="K51" s="624" t="n">
        <v>44409</v>
      </c>
      <c r="L51" s="624" t="n">
        <v>44409</v>
      </c>
      <c r="M51" s="624" t="n">
        <v>44409</v>
      </c>
      <c r="N51" s="624"/>
      <c r="O51" s="624"/>
      <c r="P51" s="626" t="s">
        <v>630</v>
      </c>
      <c r="R51" s="595" t="n">
        <f aca="false">COUNT(E51:P51)</f>
        <v>9</v>
      </c>
      <c r="S51" s="595" t="n">
        <f aca="false">C51/R51</f>
        <v>1.44727777777778</v>
      </c>
      <c r="T51" s="595" t="n">
        <f aca="false">MATCH(S51,$C$134:$R$134,-1)</f>
        <v>16</v>
      </c>
      <c r="U51" s="595" t="n">
        <f aca="false">COUNTIFS(E51:P51,"&gt;="&amp;$D$3,E51:P51,"&lt;="&amp;$E$3)</f>
        <v>0</v>
      </c>
      <c r="V51" s="595" t="n">
        <f aca="false">COUNTIFS(E51:P51,"&lt;="&amp;$E$2)</f>
        <v>0</v>
      </c>
      <c r="W51" s="627" t="n">
        <f aca="false">MATCH($E51,$B$177:$Q$177,1)</f>
        <v>9</v>
      </c>
      <c r="X51" s="639" t="str">
        <f aca="false">CHOOSE(ROUNDUP((W51/2),0),$B$179,$D$179,$F$179,$H$179,$J$179,$L$179,$N$179,$P$179)</f>
        <v>IR+HC</v>
      </c>
      <c r="Y51" s="627" t="n">
        <f aca="false">MATCH($E51,$B$183:$S$183,1)</f>
        <v>9</v>
      </c>
      <c r="Z51" s="639" t="str">
        <f aca="false">CHOOSE(ROUNDUP((Y51/2),0),$B$185,$D$185,$F$185,$H$185,$J$185,$L$185,$N$185,$P$185,$R$185)</f>
        <v>Discharge</v>
      </c>
      <c r="AA51" s="640" t="str">
        <f aca="false">A51</f>
        <v>Kings Cross</v>
      </c>
      <c r="AB51" s="0" t="str">
        <f aca="false">B51</f>
        <v>PEAKS</v>
      </c>
    </row>
    <row r="52" customFormat="false" ht="10.15" hidden="false" customHeight="false" outlineLevel="0" collapsed="false">
      <c r="A52" s="641" t="str">
        <f aca="false">'Plant loading'!A48</f>
        <v>Kings Cross</v>
      </c>
      <c r="B52" s="641" t="str">
        <f aca="false">'Plant loading'!B48</f>
        <v>PEBKS</v>
      </c>
      <c r="C52" s="642" t="n">
        <f aca="false">('Plant loading'!E48*54.5)/1000</f>
        <v>18.0395</v>
      </c>
      <c r="D52" s="643" t="str">
        <f aca="false">CHOOSE(T52,$C$130,$D$130,$E$130,$F$130,$G$130,$H$130,$I$130,$J$130,$K$130,$L$130,$M$130,$N$130,$O$130,$P$130,$Q$130,$R$130)</f>
        <v>7 hours</v>
      </c>
      <c r="E52" s="612" t="n">
        <v>44409</v>
      </c>
      <c r="F52" s="612" t="n">
        <v>44409</v>
      </c>
      <c r="G52" s="612" t="n">
        <v>44409</v>
      </c>
      <c r="H52" s="612" t="n">
        <v>44409</v>
      </c>
      <c r="I52" s="612" t="n">
        <v>44409</v>
      </c>
      <c r="J52" s="612" t="n">
        <v>44409</v>
      </c>
      <c r="K52" s="612" t="n">
        <v>44409</v>
      </c>
      <c r="L52" s="612" t="n">
        <v>44409</v>
      </c>
      <c r="M52" s="612" t="n">
        <v>44409</v>
      </c>
      <c r="N52" s="612"/>
      <c r="O52" s="612"/>
      <c r="P52" s="634" t="s">
        <v>630</v>
      </c>
      <c r="R52" s="595" t="n">
        <f aca="false">COUNT(E52:P52)</f>
        <v>9</v>
      </c>
      <c r="S52" s="595" t="n">
        <f aca="false">C52/R52</f>
        <v>2.00438888888889</v>
      </c>
      <c r="T52" s="595" t="n">
        <f aca="false">MATCH(S52,$C$134:$R$134,-1)</f>
        <v>15</v>
      </c>
      <c r="U52" s="595" t="n">
        <f aca="false">COUNTIFS(E52:P52,"&gt;="&amp;$D$3,E52:P52,"&lt;="&amp;$E$3)</f>
        <v>0</v>
      </c>
      <c r="V52" s="595" t="n">
        <f aca="false">COUNTIFS(E52:P52,"&lt;="&amp;$E$2)</f>
        <v>0</v>
      </c>
      <c r="W52" s="627" t="n">
        <f aca="false">MATCH($E52,$B$177:$Q$177,1)</f>
        <v>9</v>
      </c>
      <c r="X52" s="639" t="str">
        <f aca="false">CHOOSE(ROUNDUP((W52/2),0),$B$179,$D$179,$F$179,$H$179,$J$179,$L$179,$N$179,$P$179)</f>
        <v>IR+HC</v>
      </c>
      <c r="Y52" s="627" t="n">
        <f aca="false">MATCH($E52,$B$183:$S$183,1)</f>
        <v>9</v>
      </c>
      <c r="Z52" s="639" t="str">
        <f aca="false">CHOOSE(ROUNDUP((Y52/2),0),$B$185,$D$185,$F$185,$H$185,$J$185,$L$185,$N$185,$P$185,$R$185)</f>
        <v>Discharge</v>
      </c>
      <c r="AA52" s="640"/>
      <c r="AB52" s="0" t="str">
        <f aca="false">B52</f>
        <v>PEBKS</v>
      </c>
    </row>
    <row r="53" customFormat="false" ht="10.15" hidden="false" customHeight="false" outlineLevel="0" collapsed="false">
      <c r="A53" s="641" t="str">
        <f aca="false">'Plant loading'!A49</f>
        <v>Kings Cross</v>
      </c>
      <c r="B53" s="641" t="str">
        <f aca="false">'Plant loading'!B49</f>
        <v>PEEKS</v>
      </c>
      <c r="C53" s="642" t="n">
        <f aca="false">('Plant loading'!E49*54.5)/1000</f>
        <v>5.45</v>
      </c>
      <c r="D53" s="643" t="str">
        <f aca="false">CHOOSE(T53,$C$130,$D$130,$E$130,$F$130,$G$130,$H$130,$I$130,$J$130,$K$130,$L$130,$M$130,$N$130,$O$130,$P$130,$Q$130,$R$130)</f>
        <v>8 hours</v>
      </c>
      <c r="E53" s="612" t="n">
        <v>44409</v>
      </c>
      <c r="F53" s="612" t="n">
        <v>44409</v>
      </c>
      <c r="G53" s="612" t="n">
        <v>44409</v>
      </c>
      <c r="H53" s="612" t="n">
        <v>44409</v>
      </c>
      <c r="I53" s="612" t="n">
        <v>44409</v>
      </c>
      <c r="J53" s="612" t="n">
        <v>44409</v>
      </c>
      <c r="K53" s="612" t="n">
        <v>44409</v>
      </c>
      <c r="L53" s="612"/>
      <c r="M53" s="612"/>
      <c r="N53" s="612"/>
      <c r="O53" s="612"/>
      <c r="P53" s="634" t="s">
        <v>630</v>
      </c>
      <c r="R53" s="595" t="n">
        <f aca="false">COUNT(E53:P53)</f>
        <v>7</v>
      </c>
      <c r="S53" s="595" t="n">
        <f aca="false">C53/R53</f>
        <v>0.778571428571429</v>
      </c>
      <c r="T53" s="595" t="n">
        <f aca="false">MATCH(S53,$C$134:$R$134,-1)</f>
        <v>16</v>
      </c>
      <c r="U53" s="595" t="n">
        <f aca="false">COUNTIFS(E53:P53,"&gt;="&amp;$D$3,E53:P53,"&lt;="&amp;$E$3)</f>
        <v>0</v>
      </c>
      <c r="V53" s="595" t="n">
        <f aca="false">COUNTIFS(E53:P53,"&lt;="&amp;$E$2)</f>
        <v>0</v>
      </c>
      <c r="W53" s="627" t="n">
        <f aca="false">MATCH($E53,$B$177:$Q$177,1)</f>
        <v>9</v>
      </c>
      <c r="X53" s="639" t="str">
        <f aca="false">CHOOSE(ROUNDUP((W53/2),0),$B$179,$D$179,$F$179,$H$179,$J$179,$L$179,$N$179,$P$179)</f>
        <v>IR+HC</v>
      </c>
      <c r="Y53" s="627" t="n">
        <f aca="false">MATCH($E53,$B$183:$S$183,1)</f>
        <v>9</v>
      </c>
      <c r="Z53" s="639" t="str">
        <f aca="false">CHOOSE(ROUNDUP((Y53/2),0),$B$185,$D$185,$F$185,$H$185,$J$185,$L$185,$N$185,$P$185,$R$185)</f>
        <v>Discharge</v>
      </c>
      <c r="AA53" s="640"/>
      <c r="AB53" s="0" t="str">
        <f aca="false">B53</f>
        <v>PEEKS</v>
      </c>
    </row>
    <row r="54" customFormat="false" ht="10.15" hidden="false" customHeight="false" outlineLevel="0" collapsed="false">
      <c r="A54" s="641" t="str">
        <f aca="false">'Plant loading'!A50</f>
        <v>Kings Cross</v>
      </c>
      <c r="B54" s="641" t="str">
        <f aca="false">'Plant loading'!B50</f>
        <v>PEIKS</v>
      </c>
      <c r="C54" s="642" t="n">
        <f aca="false">('Plant loading'!E50*54.5)/1000</f>
        <v>26.4325</v>
      </c>
      <c r="D54" s="643" t="str">
        <f aca="false">CHOOSE(T54,$C$130,$D$130,$E$130,$F$130,$G$130,$H$130,$I$130,$J$130,$K$130,$L$130,$M$130,$N$130,$O$130,$P$130,$Q$130,$R$130)</f>
        <v>4 hours</v>
      </c>
      <c r="E54" s="612" t="n">
        <v>45597</v>
      </c>
      <c r="F54" s="612" t="n">
        <v>45597</v>
      </c>
      <c r="G54" s="612" t="n">
        <v>45597</v>
      </c>
      <c r="H54" s="612" t="n">
        <v>45597</v>
      </c>
      <c r="I54" s="612" t="n">
        <v>45597</v>
      </c>
      <c r="J54" s="612" t="n">
        <v>45597</v>
      </c>
      <c r="K54" s="612" t="n">
        <v>45597</v>
      </c>
      <c r="L54" s="612" t="n">
        <v>45597</v>
      </c>
      <c r="M54" s="612" t="n">
        <v>45597</v>
      </c>
      <c r="N54" s="612"/>
      <c r="O54" s="612"/>
      <c r="P54" s="634" t="s">
        <v>630</v>
      </c>
      <c r="R54" s="595" t="n">
        <f aca="false">COUNT(E54:P54)</f>
        <v>9</v>
      </c>
      <c r="S54" s="595" t="n">
        <f aca="false">C54/R54</f>
        <v>2.93694444444444</v>
      </c>
      <c r="T54" s="595" t="n">
        <f aca="false">MATCH(S54,$C$134:$R$134,-1)</f>
        <v>12</v>
      </c>
      <c r="U54" s="595" t="n">
        <f aca="false">COUNTIFS(E54:P54,"&gt;="&amp;$D$3,E54:P54,"&lt;="&amp;$E$3)</f>
        <v>0</v>
      </c>
      <c r="V54" s="595" t="n">
        <f aca="false">COUNTIFS(E54:P54,"&lt;="&amp;$E$2)</f>
        <v>0</v>
      </c>
      <c r="W54" s="627" t="n">
        <f aca="false">MATCH($E54,$B$177:$Q$177,1)</f>
        <v>15</v>
      </c>
      <c r="X54" s="639" t="str">
        <f aca="false">CHOOSE(ROUNDUP((W54/2),0),$B$179,$D$179,$F$179,$H$179,$J$179,$L$179,$N$179,$P$179)</f>
        <v>New</v>
      </c>
      <c r="Y54" s="627" t="n">
        <f aca="false">MATCH($E54,$B$183:$S$183,1)</f>
        <v>15</v>
      </c>
      <c r="Z54" s="639" t="str">
        <f aca="false">CHOOSE(ROUNDUP((Y54/2),0),$B$185,$D$185,$F$185,$H$185,$J$185,$L$185,$N$185,$P$185,$R$185)</f>
        <v>IR+HC</v>
      </c>
      <c r="AA54" s="640"/>
      <c r="AB54" s="0" t="str">
        <f aca="false">B54</f>
        <v>PEIKS</v>
      </c>
    </row>
    <row r="55" customFormat="false" ht="10.15" hidden="false" customHeight="false" outlineLevel="0" collapsed="false">
      <c r="A55" s="641" t="str">
        <f aca="false">'Plant loading'!A51</f>
        <v>Kings Cross</v>
      </c>
      <c r="B55" s="641" t="str">
        <f aca="false">'Plant loading'!B51</f>
        <v>PEJKS</v>
      </c>
      <c r="C55" s="642" t="n">
        <f aca="false">('Plant loading'!E51*54.5)/1000</f>
        <v>12.971</v>
      </c>
      <c r="D55" s="643" t="str">
        <f aca="false">CHOOSE(T55,$C$130,$D$130,$E$130,$F$130,$G$130,$H$130,$I$130,$J$130,$K$130,$L$130,$M$130,$N$130,$O$130,$P$130,$Q$130,$R$130)</f>
        <v>8 hours</v>
      </c>
      <c r="E55" s="612" t="n">
        <v>45597</v>
      </c>
      <c r="F55" s="612" t="n">
        <v>45597</v>
      </c>
      <c r="G55" s="612" t="n">
        <v>45597</v>
      </c>
      <c r="H55" s="612" t="n">
        <v>45597</v>
      </c>
      <c r="I55" s="612" t="n">
        <v>45597</v>
      </c>
      <c r="J55" s="612" t="n">
        <v>45597</v>
      </c>
      <c r="K55" s="612" t="n">
        <v>45597</v>
      </c>
      <c r="L55" s="612" t="n">
        <v>45597</v>
      </c>
      <c r="M55" s="612" t="n">
        <v>45597</v>
      </c>
      <c r="N55" s="612"/>
      <c r="O55" s="612"/>
      <c r="P55" s="634" t="s">
        <v>630</v>
      </c>
      <c r="R55" s="595" t="n">
        <f aca="false">COUNT(E55:P55)</f>
        <v>9</v>
      </c>
      <c r="S55" s="595" t="n">
        <f aca="false">C55/R55</f>
        <v>1.44122222222222</v>
      </c>
      <c r="T55" s="595" t="n">
        <f aca="false">MATCH(S55,$C$134:$R$134,-1)</f>
        <v>16</v>
      </c>
      <c r="U55" s="595" t="n">
        <f aca="false">COUNTIFS(E55:P55,"&gt;="&amp;$D$3,E55:P55,"&lt;="&amp;$E$3)</f>
        <v>0</v>
      </c>
      <c r="V55" s="595" t="n">
        <f aca="false">COUNTIFS(E55:P55,"&lt;="&amp;$E$2)</f>
        <v>0</v>
      </c>
      <c r="W55" s="627" t="n">
        <f aca="false">MATCH($E55,$B$177:$Q$177,1)</f>
        <v>15</v>
      </c>
      <c r="X55" s="639" t="str">
        <f aca="false">CHOOSE(ROUNDUP((W55/2),0),$B$179,$D$179,$F$179,$H$179,$J$179,$L$179,$N$179,$P$179)</f>
        <v>New</v>
      </c>
      <c r="Y55" s="627" t="n">
        <f aca="false">MATCH($E55,$B$183:$S$183,1)</f>
        <v>15</v>
      </c>
      <c r="Z55" s="639" t="str">
        <f aca="false">CHOOSE(ROUNDUP((Y55/2),0),$B$185,$D$185,$F$185,$H$185,$J$185,$L$185,$N$185,$P$185,$R$185)</f>
        <v>IR+HC</v>
      </c>
      <c r="AA55" s="640"/>
      <c r="AB55" s="0" t="str">
        <f aca="false">B55</f>
        <v>PEJKS</v>
      </c>
    </row>
    <row r="56" customFormat="false" ht="10.15" hidden="false" customHeight="false" outlineLevel="0" collapsed="false">
      <c r="A56" s="641" t="str">
        <f aca="false">'Plant loading'!A52</f>
        <v>Kings Cross</v>
      </c>
      <c r="B56" s="641" t="str">
        <f aca="false">'Plant loading'!B52</f>
        <v>PEKKS</v>
      </c>
      <c r="C56" s="642" t="n">
        <f aca="false">('Plant loading'!E52*54.5)/1000</f>
        <v>23.326</v>
      </c>
      <c r="D56" s="643" t="str">
        <f aca="false">CHOOSE(T56,$C$130,$D$130,$E$130,$F$130,$G$130,$H$130,$I$130,$J$130,$K$130,$L$130,$M$130,$N$130,$O$130,$P$130,$Q$130,$R$130)</f>
        <v>5 hours</v>
      </c>
      <c r="E56" s="612" t="n">
        <v>45597</v>
      </c>
      <c r="F56" s="612" t="n">
        <v>45597</v>
      </c>
      <c r="G56" s="612" t="n">
        <v>45597</v>
      </c>
      <c r="H56" s="612" t="n">
        <v>45597</v>
      </c>
      <c r="I56" s="612" t="n">
        <v>45597</v>
      </c>
      <c r="J56" s="612" t="n">
        <v>45597</v>
      </c>
      <c r="K56" s="612" t="n">
        <v>45597</v>
      </c>
      <c r="L56" s="612" t="n">
        <v>45597</v>
      </c>
      <c r="M56" s="612" t="n">
        <v>45597</v>
      </c>
      <c r="N56" s="612"/>
      <c r="O56" s="612"/>
      <c r="P56" s="634" t="s">
        <v>630</v>
      </c>
      <c r="R56" s="595" t="n">
        <f aca="false">COUNT(E56:P56)</f>
        <v>9</v>
      </c>
      <c r="S56" s="595" t="n">
        <f aca="false">C56/R56</f>
        <v>2.59177777777778</v>
      </c>
      <c r="T56" s="595" t="n">
        <f aca="false">MATCH(S56,$C$134:$R$134,-1)</f>
        <v>13</v>
      </c>
      <c r="U56" s="595" t="n">
        <f aca="false">COUNTIFS(E56:P56,"&gt;="&amp;$D$3,E56:P56,"&lt;="&amp;$E$3)</f>
        <v>0</v>
      </c>
      <c r="V56" s="595" t="n">
        <f aca="false">COUNTIFS(E56:P56,"&lt;="&amp;$E$2)</f>
        <v>0</v>
      </c>
      <c r="W56" s="627" t="n">
        <f aca="false">MATCH($E56,$B$177:$Q$177,1)</f>
        <v>15</v>
      </c>
      <c r="X56" s="639" t="str">
        <f aca="false">CHOOSE(ROUNDUP((W56/2),0),$B$179,$D$179,$F$179,$H$179,$J$179,$L$179,$N$179,$P$179)</f>
        <v>New</v>
      </c>
      <c r="Y56" s="627" t="n">
        <f aca="false">MATCH($E56,$B$183:$S$183,1)</f>
        <v>15</v>
      </c>
      <c r="Z56" s="639" t="str">
        <f aca="false">CHOOSE(ROUNDUP((Y56/2),0),$B$185,$D$185,$F$185,$H$185,$J$185,$L$185,$N$185,$P$185,$R$185)</f>
        <v>IR+HC</v>
      </c>
      <c r="AA56" s="640"/>
      <c r="AB56" s="0" t="str">
        <f aca="false">B56</f>
        <v>PEKKS</v>
      </c>
    </row>
    <row r="57" customFormat="false" ht="10.15" hidden="false" customHeight="false" outlineLevel="0" collapsed="false">
      <c r="A57" s="641" t="str">
        <f aca="false">'Plant loading'!A53</f>
        <v>Kings Cross</v>
      </c>
      <c r="B57" s="641" t="str">
        <f aca="false">'Plant loading'!B53</f>
        <v>PELKS</v>
      </c>
      <c r="C57" s="642" t="n">
        <f aca="false">('Plant loading'!E53*54.5)/1000</f>
        <v>8.4475</v>
      </c>
      <c r="D57" s="643" t="str">
        <f aca="false">CHOOSE(T57,$C$130,$D$130,$E$130,$F$130,$G$130,$H$130,$I$130,$J$130,$K$130,$L$130,$M$130,$N$130,$O$130,$P$130,$Q$130,$R$130)</f>
        <v>8 hours</v>
      </c>
      <c r="E57" s="612" t="n">
        <v>45597</v>
      </c>
      <c r="F57" s="612" t="n">
        <v>45597</v>
      </c>
      <c r="G57" s="612" t="n">
        <v>45597</v>
      </c>
      <c r="H57" s="612" t="n">
        <v>45597</v>
      </c>
      <c r="I57" s="612" t="n">
        <v>45597</v>
      </c>
      <c r="J57" s="612" t="n">
        <v>45597</v>
      </c>
      <c r="K57" s="612"/>
      <c r="L57" s="612"/>
      <c r="M57" s="612"/>
      <c r="N57" s="612"/>
      <c r="O57" s="612"/>
      <c r="P57" s="634" t="s">
        <v>630</v>
      </c>
      <c r="R57" s="595" t="n">
        <f aca="false">COUNT(E57:P57)</f>
        <v>6</v>
      </c>
      <c r="S57" s="595" t="n">
        <f aca="false">C57/R57</f>
        <v>1.40791666666667</v>
      </c>
      <c r="T57" s="595" t="n">
        <f aca="false">MATCH(S57,$C$134:$R$134,-1)</f>
        <v>16</v>
      </c>
      <c r="U57" s="595" t="n">
        <f aca="false">COUNTIFS(E57:P57,"&gt;="&amp;$D$3,E57:P57,"&lt;="&amp;$E$3)</f>
        <v>0</v>
      </c>
      <c r="V57" s="595" t="n">
        <f aca="false">COUNTIFS(E57:P57,"&lt;="&amp;$E$2)</f>
        <v>0</v>
      </c>
      <c r="W57" s="627" t="n">
        <f aca="false">MATCH($E57,$B$177:$Q$177,1)</f>
        <v>15</v>
      </c>
      <c r="X57" s="639" t="str">
        <f aca="false">CHOOSE(ROUNDUP((W57/2),0),$B$179,$D$179,$F$179,$H$179,$J$179,$L$179,$N$179,$P$179)</f>
        <v>New</v>
      </c>
      <c r="Y57" s="627" t="n">
        <f aca="false">MATCH($E57,$B$183:$S$183,1)</f>
        <v>15</v>
      </c>
      <c r="Z57" s="639" t="str">
        <f aca="false">CHOOSE(ROUNDUP((Y57/2),0),$B$185,$D$185,$F$185,$H$185,$J$185,$L$185,$N$185,$P$185,$R$185)</f>
        <v>IR+HC</v>
      </c>
      <c r="AA57" s="640"/>
      <c r="AB57" s="0" t="str">
        <f aca="false">B57</f>
        <v>PELKS</v>
      </c>
    </row>
    <row r="58" customFormat="false" ht="10.15" hidden="false" customHeight="false" outlineLevel="0" collapsed="false">
      <c r="A58" s="641" t="str">
        <f aca="false">'Plant loading'!A54</f>
        <v>Kings Cross</v>
      </c>
      <c r="B58" s="641" t="str">
        <f aca="false">'Plant loading'!B54</f>
        <v>PEMKS</v>
      </c>
      <c r="C58" s="642" t="n">
        <f aca="false">('Plant loading'!E54*54.5)/1000</f>
        <v>7.4665</v>
      </c>
      <c r="D58" s="643" t="str">
        <f aca="false">CHOOSE(T58,$C$130,$D$130,$E$130,$F$130,$G$130,$H$130,$I$130,$J$130,$K$130,$L$130,$M$130,$N$130,$O$130,$P$130,$Q$130,$R$130)</f>
        <v>8 hours</v>
      </c>
      <c r="E58" s="612" t="n">
        <v>45597</v>
      </c>
      <c r="F58" s="612" t="n">
        <v>45597</v>
      </c>
      <c r="G58" s="612" t="n">
        <v>45597</v>
      </c>
      <c r="H58" s="612" t="n">
        <v>45597</v>
      </c>
      <c r="I58" s="612" t="n">
        <v>45597</v>
      </c>
      <c r="J58" s="612" t="n">
        <v>45597</v>
      </c>
      <c r="K58" s="612"/>
      <c r="L58" s="612"/>
      <c r="M58" s="612"/>
      <c r="N58" s="612"/>
      <c r="O58" s="612"/>
      <c r="P58" s="634" t="s">
        <v>630</v>
      </c>
      <c r="R58" s="595" t="n">
        <f aca="false">COUNT(E58:P58)</f>
        <v>6</v>
      </c>
      <c r="S58" s="595" t="n">
        <f aca="false">C58/R58</f>
        <v>1.24441666666667</v>
      </c>
      <c r="T58" s="595" t="n">
        <f aca="false">MATCH(S58,$C$134:$R$134,-1)</f>
        <v>16</v>
      </c>
      <c r="U58" s="595" t="n">
        <f aca="false">COUNTIFS(E58:P58,"&gt;="&amp;$D$3,E58:P58,"&lt;="&amp;$E$3)</f>
        <v>0</v>
      </c>
      <c r="V58" s="595" t="n">
        <f aca="false">COUNTIFS(E58:P58,"&lt;="&amp;$E$2)</f>
        <v>0</v>
      </c>
      <c r="W58" s="627" t="n">
        <f aca="false">MATCH($E58,$B$177:$Q$177,1)</f>
        <v>15</v>
      </c>
      <c r="X58" s="639" t="str">
        <f aca="false">CHOOSE(ROUNDUP((W58/2),0),$B$179,$D$179,$F$179,$H$179,$J$179,$L$179,$N$179,$P$179)</f>
        <v>New</v>
      </c>
      <c r="Y58" s="627" t="n">
        <f aca="false">MATCH($E58,$B$183:$S$183,1)</f>
        <v>15</v>
      </c>
      <c r="Z58" s="639" t="str">
        <f aca="false">CHOOSE(ROUNDUP((Y58/2),0),$B$185,$D$185,$F$185,$H$185,$J$185,$L$185,$N$185,$P$185,$R$185)</f>
        <v>IR+HC</v>
      </c>
      <c r="AA58" s="640"/>
      <c r="AB58" s="0" t="str">
        <f aca="false">B58</f>
        <v>PEMKS</v>
      </c>
    </row>
    <row r="59" customFormat="false" ht="10.15" hidden="false" customHeight="false" outlineLevel="0" collapsed="false">
      <c r="A59" s="641" t="str">
        <f aca="false">'Plant loading'!A55</f>
        <v>Kings Cross</v>
      </c>
      <c r="B59" s="641" t="str">
        <f aca="false">'Plant loading'!B55</f>
        <v>PENKS</v>
      </c>
      <c r="C59" s="642" t="n">
        <f aca="false">('Plant loading'!E55*54.5)/1000</f>
        <v>5.5045</v>
      </c>
      <c r="D59" s="643" t="str">
        <f aca="false">CHOOSE(T59,$C$130,$D$130,$E$130,$F$130,$G$130,$H$130,$I$130,$J$130,$K$130,$L$130,$M$130,$N$130,$O$130,$P$130,$Q$130,$R$130)</f>
        <v>8 hours</v>
      </c>
      <c r="E59" s="612" t="n">
        <v>45597</v>
      </c>
      <c r="F59" s="612" t="n">
        <v>45597</v>
      </c>
      <c r="G59" s="612" t="n">
        <v>45597</v>
      </c>
      <c r="H59" s="612" t="n">
        <v>45597</v>
      </c>
      <c r="I59" s="612" t="n">
        <v>45597</v>
      </c>
      <c r="J59" s="612" t="n">
        <v>45597</v>
      </c>
      <c r="K59" s="612"/>
      <c r="L59" s="612"/>
      <c r="M59" s="612"/>
      <c r="N59" s="612"/>
      <c r="O59" s="612"/>
      <c r="P59" s="634" t="s">
        <v>630</v>
      </c>
      <c r="R59" s="595" t="n">
        <f aca="false">COUNT(E59:P59)</f>
        <v>6</v>
      </c>
      <c r="S59" s="595" t="n">
        <f aca="false">C59/R59</f>
        <v>0.917416666666667</v>
      </c>
      <c r="T59" s="595" t="n">
        <f aca="false">MATCH(S59,$C$134:$R$134,-1)</f>
        <v>16</v>
      </c>
      <c r="U59" s="595" t="n">
        <f aca="false">COUNTIFS(E59:P59,"&gt;="&amp;$D$3,E59:P59,"&lt;="&amp;$E$3)</f>
        <v>0</v>
      </c>
      <c r="V59" s="595" t="n">
        <f aca="false">COUNTIFS(E59:P59,"&lt;="&amp;$E$2)</f>
        <v>0</v>
      </c>
      <c r="W59" s="627" t="n">
        <f aca="false">MATCH($E59,$B$177:$Q$177,1)</f>
        <v>15</v>
      </c>
      <c r="X59" s="639" t="str">
        <f aca="false">CHOOSE(ROUNDUP((W59/2),0),$B$179,$D$179,$F$179,$H$179,$J$179,$L$179,$N$179,$P$179)</f>
        <v>New</v>
      </c>
      <c r="Y59" s="627" t="n">
        <f aca="false">MATCH($E59,$B$183:$S$183,1)</f>
        <v>15</v>
      </c>
      <c r="Z59" s="639" t="str">
        <f aca="false">CHOOSE(ROUNDUP((Y59/2),0),$B$185,$D$185,$F$185,$H$185,$J$185,$L$185,$N$185,$P$185,$R$185)</f>
        <v>IR+HC</v>
      </c>
      <c r="AA59" s="640"/>
      <c r="AB59" s="0" t="str">
        <f aca="false">B59</f>
        <v>PENKS</v>
      </c>
    </row>
    <row r="60" customFormat="false" ht="10.15" hidden="false" customHeight="false" outlineLevel="0" collapsed="false">
      <c r="A60" s="621" t="str">
        <f aca="false">'Plant loading'!A56</f>
        <v>Leyland</v>
      </c>
      <c r="B60" s="621" t="str">
        <f aca="false">'Plant loading'!B56</f>
        <v>LLDMTX-DCSYS01</v>
      </c>
      <c r="C60" s="622" t="n">
        <f aca="false">('Plant loading'!E56*54.5)/1000</f>
        <v>47.0335</v>
      </c>
      <c r="D60" s="623" t="str">
        <f aca="false">CHOOSE(T60,$C$130,$D$130,$E$130,$F$130,$G$130,$H$130,$I$130,$J$130,$K$130,$L$130,$M$130,$N$130,$O$130,$P$130,$Q$130,$R$130)</f>
        <v>2 hours</v>
      </c>
      <c r="E60" s="624" t="n">
        <v>44835</v>
      </c>
      <c r="F60" s="624" t="n">
        <v>44835</v>
      </c>
      <c r="G60" s="624" t="n">
        <v>44835</v>
      </c>
      <c r="H60" s="624" t="n">
        <v>44835</v>
      </c>
      <c r="I60" s="624" t="n">
        <v>44835</v>
      </c>
      <c r="J60" s="624" t="n">
        <v>44835</v>
      </c>
      <c r="K60" s="624" t="n">
        <v>44835</v>
      </c>
      <c r="L60" s="624" t="n">
        <v>44835</v>
      </c>
      <c r="M60" s="624" t="n">
        <v>44835</v>
      </c>
      <c r="N60" s="624"/>
      <c r="O60" s="624"/>
      <c r="P60" s="626" t="s">
        <v>630</v>
      </c>
      <c r="R60" s="595" t="n">
        <f aca="false">COUNT(E60:P60)</f>
        <v>9</v>
      </c>
      <c r="S60" s="595" t="n">
        <f aca="false">C60/R60</f>
        <v>5.22594444444444</v>
      </c>
      <c r="T60" s="595" t="n">
        <f aca="false">MATCH(S60,$C$134:$R$134,-1)</f>
        <v>9</v>
      </c>
      <c r="U60" s="595" t="n">
        <f aca="false">COUNTIFS(E60:P60,"&gt;="&amp;$D$3,E60:P60,"&lt;="&amp;$E$3)</f>
        <v>0</v>
      </c>
      <c r="V60" s="595" t="n">
        <f aca="false">COUNTIFS(E60:P60,"&lt;="&amp;$E$2)</f>
        <v>0</v>
      </c>
      <c r="W60" s="627" t="n">
        <f aca="false">MATCH($E60,$B$177:$Q$177,1)</f>
        <v>11</v>
      </c>
      <c r="X60" s="628"/>
      <c r="Y60" s="627" t="n">
        <f aca="false">MATCH($E60,$B$183:$S$183,1)</f>
        <v>11</v>
      </c>
      <c r="Z60" s="628"/>
      <c r="AA60" s="629" t="str">
        <f aca="false">A60</f>
        <v>Leyland</v>
      </c>
      <c r="AB60" s="0" t="str">
        <f aca="false">B60</f>
        <v>LLDMTX-DCSYS01</v>
      </c>
    </row>
    <row r="61" customFormat="false" ht="10.15" hidden="false" customHeight="false" outlineLevel="0" collapsed="false">
      <c r="A61" s="630" t="str">
        <f aca="false">'Plant loading'!A57</f>
        <v>Leyland</v>
      </c>
      <c r="B61" s="630" t="str">
        <f aca="false">'Plant loading'!B57</f>
        <v>LLDMTX-DCSYS02</v>
      </c>
      <c r="C61" s="631" t="n">
        <f aca="false">('Plant loading'!E57*54.5)/1000</f>
        <v>42.728</v>
      </c>
      <c r="D61" s="632" t="str">
        <f aca="false">CHOOSE(T61,$C$130,$D$130,$E$130,$F$130,$G$130,$H$130,$I$130,$J$130,$K$130,$L$130,$M$130,$N$130,$O$130,$P$130,$Q$130,$R$130)</f>
        <v>2.5 hours</v>
      </c>
      <c r="E61" s="612" t="n">
        <v>44835</v>
      </c>
      <c r="F61" s="612" t="n">
        <v>44835</v>
      </c>
      <c r="G61" s="612" t="n">
        <v>44835</v>
      </c>
      <c r="H61" s="612" t="n">
        <v>44835</v>
      </c>
      <c r="I61" s="612" t="n">
        <v>44835</v>
      </c>
      <c r="J61" s="612" t="n">
        <v>44835</v>
      </c>
      <c r="K61" s="612" t="n">
        <v>44835</v>
      </c>
      <c r="L61" s="612" t="n">
        <v>44835</v>
      </c>
      <c r="M61" s="612" t="n">
        <v>44835</v>
      </c>
      <c r="N61" s="612"/>
      <c r="O61" s="612"/>
      <c r="P61" s="634" t="s">
        <v>630</v>
      </c>
      <c r="R61" s="595" t="n">
        <f aca="false">COUNT(E61:P61)</f>
        <v>9</v>
      </c>
      <c r="S61" s="595" t="n">
        <f aca="false">C61/R61</f>
        <v>4.74755555555556</v>
      </c>
      <c r="T61" s="595" t="n">
        <f aca="false">MATCH(S61,$C$134:$R$134,-1)</f>
        <v>10</v>
      </c>
      <c r="U61" s="595" t="n">
        <f aca="false">COUNTIFS(E61:P61,"&gt;="&amp;$D$3,E61:P61,"&lt;="&amp;$E$3)</f>
        <v>0</v>
      </c>
      <c r="V61" s="595" t="n">
        <f aca="false">COUNTIFS(E61:P61,"&lt;="&amp;$E$2)</f>
        <v>0</v>
      </c>
      <c r="W61" s="627" t="n">
        <f aca="false">MATCH($E61,$B$177:$Q$177,1)</f>
        <v>11</v>
      </c>
      <c r="X61" s="628"/>
      <c r="Y61" s="627" t="n">
        <f aca="false">MATCH($E61,$B$183:$S$183,1)</f>
        <v>11</v>
      </c>
      <c r="Z61" s="628"/>
      <c r="AA61" s="629"/>
      <c r="AB61" s="0" t="str">
        <f aca="false">B61</f>
        <v>LLDMTX-DCSYS02</v>
      </c>
    </row>
    <row r="62" customFormat="false" ht="10.15" hidden="false" customHeight="false" outlineLevel="0" collapsed="false">
      <c r="A62" s="630" t="str">
        <f aca="false">'Plant loading'!A58</f>
        <v>Leyland</v>
      </c>
      <c r="B62" s="630" t="str">
        <f aca="false">'Plant loading'!B58</f>
        <v>LLDMTX-DCSYS03</v>
      </c>
      <c r="C62" s="631" t="n">
        <f aca="false">('Plant loading'!E58*54.5)/1000</f>
        <v>51.3935</v>
      </c>
      <c r="D62" s="632" t="str">
        <f aca="false">CHOOSE(T62,$C$130,$D$130,$E$130,$F$130,$G$130,$H$130,$I$130,$J$130,$K$130,$L$130,$M$130,$N$130,$O$130,$P$130,$Q$130,$R$130)</f>
        <v>2 hours</v>
      </c>
      <c r="E62" s="612" t="n">
        <v>44835</v>
      </c>
      <c r="F62" s="612" t="n">
        <v>44835</v>
      </c>
      <c r="G62" s="612" t="n">
        <v>44835</v>
      </c>
      <c r="H62" s="612" t="n">
        <v>44835</v>
      </c>
      <c r="I62" s="612" t="n">
        <v>44835</v>
      </c>
      <c r="J62" s="612" t="n">
        <v>44835</v>
      </c>
      <c r="K62" s="612" t="n">
        <v>44835</v>
      </c>
      <c r="L62" s="612" t="n">
        <v>44835</v>
      </c>
      <c r="M62" s="612" t="n">
        <v>44835</v>
      </c>
      <c r="N62" s="612"/>
      <c r="O62" s="612"/>
      <c r="P62" s="634" t="s">
        <v>630</v>
      </c>
      <c r="R62" s="595" t="n">
        <f aca="false">COUNT(E62:P62)</f>
        <v>9</v>
      </c>
      <c r="S62" s="595" t="n">
        <f aca="false">C62/R62</f>
        <v>5.71038888888889</v>
      </c>
      <c r="T62" s="595" t="n">
        <f aca="false">MATCH(S62,$C$134:$R$134,-1)</f>
        <v>9</v>
      </c>
      <c r="U62" s="595" t="n">
        <f aca="false">COUNTIFS(E62:P62,"&gt;="&amp;$D$3,E62:P62,"&lt;="&amp;$E$3)</f>
        <v>0</v>
      </c>
      <c r="V62" s="595" t="n">
        <f aca="false">COUNTIFS(E62:P62,"&lt;="&amp;$E$2)</f>
        <v>0</v>
      </c>
      <c r="W62" s="627" t="n">
        <f aca="false">MATCH($E62,$B$177:$Q$177,1)</f>
        <v>11</v>
      </c>
      <c r="X62" s="628"/>
      <c r="Y62" s="627" t="n">
        <f aca="false">MATCH($E62,$B$183:$S$183,1)</f>
        <v>11</v>
      </c>
      <c r="Z62" s="628"/>
      <c r="AA62" s="629"/>
      <c r="AB62" s="0" t="str">
        <f aca="false">B62</f>
        <v>LLDMTX-DCSYS03</v>
      </c>
    </row>
    <row r="63" customFormat="false" ht="10.15" hidden="false" customHeight="false" outlineLevel="0" collapsed="false">
      <c r="A63" s="630" t="str">
        <f aca="false">'Plant loading'!A59</f>
        <v>Leyland</v>
      </c>
      <c r="B63" s="630" t="str">
        <f aca="false">'Plant loading'!B59</f>
        <v>LLDMTX-DCSYS04</v>
      </c>
      <c r="C63" s="631" t="n">
        <f aca="false">('Plant loading'!E59*54.5)/1000</f>
        <v>46.5975</v>
      </c>
      <c r="D63" s="632" t="str">
        <f aca="false">CHOOSE(T63,$C$130,$D$130,$E$130,$F$130,$G$130,$H$130,$I$130,$J$130,$K$130,$L$130,$M$130,$N$130,$O$130,$P$130,$Q$130,$R$130)</f>
        <v>2 hours</v>
      </c>
      <c r="E63" s="612" t="n">
        <v>44378</v>
      </c>
      <c r="F63" s="612" t="n">
        <v>44378</v>
      </c>
      <c r="G63" s="612" t="n">
        <v>44378</v>
      </c>
      <c r="H63" s="612" t="n">
        <v>44378</v>
      </c>
      <c r="I63" s="612" t="n">
        <v>44378</v>
      </c>
      <c r="J63" s="612" t="n">
        <v>44378</v>
      </c>
      <c r="K63" s="612" t="n">
        <v>44378</v>
      </c>
      <c r="L63" s="612" t="n">
        <v>44378</v>
      </c>
      <c r="M63" s="612" t="n">
        <v>44378</v>
      </c>
      <c r="N63" s="612"/>
      <c r="O63" s="612"/>
      <c r="P63" s="634" t="s">
        <v>630</v>
      </c>
      <c r="R63" s="595" t="n">
        <f aca="false">COUNT(E63:P63)</f>
        <v>9</v>
      </c>
      <c r="S63" s="595" t="n">
        <f aca="false">C63/R63</f>
        <v>5.1775</v>
      </c>
      <c r="T63" s="595" t="n">
        <f aca="false">MATCH(S63,$C$134:$R$134,-1)</f>
        <v>9</v>
      </c>
      <c r="U63" s="595" t="n">
        <f aca="false">COUNTIFS(E63:P63,"&gt;="&amp;$D$3,E63:P63,"&lt;="&amp;$E$3)</f>
        <v>0</v>
      </c>
      <c r="V63" s="595" t="n">
        <f aca="false">COUNTIFS(E63:P63,"&lt;="&amp;$E$2)</f>
        <v>0</v>
      </c>
      <c r="W63" s="627" t="n">
        <f aca="false">MATCH($E63,$B$177:$Q$177,1)</f>
        <v>9</v>
      </c>
      <c r="X63" s="628"/>
      <c r="Y63" s="627" t="n">
        <f aca="false">MATCH($E63,$B$183:$S$183,1)</f>
        <v>9</v>
      </c>
      <c r="Z63" s="628"/>
      <c r="AA63" s="629"/>
      <c r="AB63" s="0" t="str">
        <f aca="false">B63</f>
        <v>LLDMTX-DCSYS04</v>
      </c>
    </row>
    <row r="64" customFormat="false" ht="10.15" hidden="false" customHeight="false" outlineLevel="0" collapsed="false">
      <c r="A64" s="630" t="str">
        <f aca="false">'Plant loading'!A60</f>
        <v>Leyland</v>
      </c>
      <c r="B64" s="630" t="str">
        <f aca="false">'Plant loading'!B60</f>
        <v>LLDMTX-DCSYS05</v>
      </c>
      <c r="C64" s="631" t="n">
        <f aca="false">('Plant loading'!E60*54.5)/1000</f>
        <v>49.9765</v>
      </c>
      <c r="D64" s="632" t="str">
        <f aca="false">CHOOSE(T64,$C$130,$D$130,$E$130,$F$130,$G$130,$H$130,$I$130,$J$130,$K$130,$L$130,$M$130,$N$130,$O$130,$P$130,$Q$130,$R$130)</f>
        <v>2 hours</v>
      </c>
      <c r="E64" s="612" t="n">
        <v>44835</v>
      </c>
      <c r="F64" s="612" t="n">
        <v>44835</v>
      </c>
      <c r="G64" s="612" t="n">
        <v>44835</v>
      </c>
      <c r="H64" s="612" t="n">
        <v>44835</v>
      </c>
      <c r="I64" s="612" t="n">
        <v>44835</v>
      </c>
      <c r="J64" s="612" t="n">
        <v>44835</v>
      </c>
      <c r="K64" s="612" t="n">
        <v>44835</v>
      </c>
      <c r="L64" s="612" t="n">
        <v>44835</v>
      </c>
      <c r="M64" s="612" t="n">
        <v>44835</v>
      </c>
      <c r="N64" s="612"/>
      <c r="O64" s="612"/>
      <c r="P64" s="634" t="s">
        <v>630</v>
      </c>
      <c r="R64" s="595" t="n">
        <f aca="false">COUNT(E64:P64)</f>
        <v>9</v>
      </c>
      <c r="S64" s="595" t="n">
        <f aca="false">C64/R64</f>
        <v>5.55294444444445</v>
      </c>
      <c r="T64" s="595" t="n">
        <f aca="false">MATCH(S64,$C$134:$R$134,-1)</f>
        <v>9</v>
      </c>
      <c r="U64" s="595" t="n">
        <f aca="false">COUNTIFS(E64:P64,"&gt;="&amp;$D$3,E64:P64,"&lt;="&amp;$E$3)</f>
        <v>0</v>
      </c>
      <c r="V64" s="595" t="n">
        <f aca="false">COUNTIFS(E64:P64,"&lt;="&amp;$E$2)</f>
        <v>0</v>
      </c>
      <c r="W64" s="627" t="n">
        <f aca="false">MATCH($E64,$B$177:$Q$177,1)</f>
        <v>11</v>
      </c>
      <c r="X64" s="628"/>
      <c r="Y64" s="627" t="n">
        <f aca="false">MATCH($E64,$B$183:$S$183,1)</f>
        <v>11</v>
      </c>
      <c r="Z64" s="628"/>
      <c r="AA64" s="629"/>
      <c r="AB64" s="0" t="str">
        <f aca="false">B64</f>
        <v>LLDMTX-DCSYS05</v>
      </c>
    </row>
    <row r="65" customFormat="false" ht="10.15" hidden="false" customHeight="false" outlineLevel="0" collapsed="false">
      <c r="A65" s="630" t="str">
        <f aca="false">'Plant loading'!A61</f>
        <v>Leyland</v>
      </c>
      <c r="B65" s="630" t="str">
        <f aca="false">'Plant loading'!B61</f>
        <v>LLDMTX-DCSYS06</v>
      </c>
      <c r="C65" s="631" t="n">
        <f aca="false">('Plant loading'!E61*54.5)/1000</f>
        <v>48.505</v>
      </c>
      <c r="D65" s="632" t="str">
        <f aca="false">CHOOSE(T65,$C$130,$D$130,$E$130,$F$130,$G$130,$H$130,$I$130,$J$130,$K$130,$L$130,$M$130,$N$130,$O$130,$P$130,$Q$130,$R$130)</f>
        <v>2 hours</v>
      </c>
      <c r="E65" s="612" t="n">
        <v>44835</v>
      </c>
      <c r="F65" s="612" t="n">
        <v>44835</v>
      </c>
      <c r="G65" s="612" t="n">
        <v>44835</v>
      </c>
      <c r="H65" s="612" t="n">
        <v>44835</v>
      </c>
      <c r="I65" s="612" t="n">
        <v>44835</v>
      </c>
      <c r="J65" s="612" t="n">
        <v>44835</v>
      </c>
      <c r="K65" s="612" t="n">
        <v>44835</v>
      </c>
      <c r="L65" s="612" t="n">
        <v>44835</v>
      </c>
      <c r="M65" s="612" t="n">
        <v>44835</v>
      </c>
      <c r="N65" s="612"/>
      <c r="O65" s="612"/>
      <c r="P65" s="634" t="s">
        <v>630</v>
      </c>
      <c r="R65" s="595" t="n">
        <f aca="false">COUNT(E65:P65)</f>
        <v>9</v>
      </c>
      <c r="S65" s="595" t="n">
        <f aca="false">C65/R65</f>
        <v>5.38944444444445</v>
      </c>
      <c r="T65" s="595" t="n">
        <f aca="false">MATCH(S65,$C$134:$R$134,-1)</f>
        <v>9</v>
      </c>
      <c r="U65" s="595" t="n">
        <f aca="false">COUNTIFS(E65:P65,"&gt;="&amp;$D$3,E65:P65,"&lt;="&amp;$E$3)</f>
        <v>0</v>
      </c>
      <c r="V65" s="595" t="n">
        <f aca="false">COUNTIFS(E65:P65,"&lt;="&amp;$E$2)</f>
        <v>0</v>
      </c>
      <c r="W65" s="627" t="n">
        <f aca="false">MATCH($E65,$B$177:$Q$177,1)</f>
        <v>11</v>
      </c>
      <c r="X65" s="628"/>
      <c r="Y65" s="627" t="n">
        <f aca="false">MATCH($E65,$B$183:$S$183,1)</f>
        <v>11</v>
      </c>
      <c r="Z65" s="628"/>
      <c r="AA65" s="629"/>
      <c r="AB65" s="0" t="str">
        <f aca="false">B65</f>
        <v>LLDMTX-DCSYS06</v>
      </c>
    </row>
    <row r="66" customFormat="false" ht="10.15" hidden="false" customHeight="false" outlineLevel="0" collapsed="false">
      <c r="A66" s="630" t="str">
        <f aca="false">'Plant loading'!A62</f>
        <v>Leyland</v>
      </c>
      <c r="B66" s="630" t="str">
        <f aca="false">'Plant loading'!B62</f>
        <v>LLDMTX-DCSYS07a</v>
      </c>
      <c r="C66" s="631" t="n">
        <f aca="false">('Plant loading'!E62*54.5)/1000</f>
        <v>21.9635</v>
      </c>
      <c r="D66" s="632" t="str">
        <f aca="false">CHOOSE(T66,$C$130,$D$130,$E$130,$F$130,$G$130,$H$130,$I$130,$J$130,$K$130,$L$130,$M$130,$N$130,$O$130,$P$130,$Q$130,$R$130)</f>
        <v>3 hours</v>
      </c>
      <c r="E66" s="612" t="n">
        <v>44256</v>
      </c>
      <c r="F66" s="612" t="n">
        <v>44256</v>
      </c>
      <c r="G66" s="612" t="n">
        <v>44256</v>
      </c>
      <c r="H66" s="612" t="n">
        <v>44256</v>
      </c>
      <c r="I66" s="612" t="n">
        <v>44256</v>
      </c>
      <c r="J66" s="612"/>
      <c r="K66" s="612"/>
      <c r="L66" s="612"/>
      <c r="M66" s="612"/>
      <c r="N66" s="612"/>
      <c r="O66" s="612"/>
      <c r="P66" s="634" t="s">
        <v>630</v>
      </c>
      <c r="R66" s="595" t="n">
        <f aca="false">COUNT(E66:P66)</f>
        <v>5</v>
      </c>
      <c r="S66" s="595" t="n">
        <f aca="false">C66/R66</f>
        <v>4.3927</v>
      </c>
      <c r="T66" s="595" t="n">
        <f aca="false">MATCH(S66,$C$134:$R$134,-1)</f>
        <v>11</v>
      </c>
      <c r="U66" s="595" t="n">
        <f aca="false">COUNTIFS(E66:P66,"&gt;="&amp;$D$3,E66:P66,"&lt;="&amp;$E$3)</f>
        <v>0</v>
      </c>
      <c r="V66" s="595" t="n">
        <f aca="false">COUNTIFS(E66:P66,"&lt;="&amp;$E$2)</f>
        <v>0</v>
      </c>
      <c r="W66" s="627"/>
      <c r="X66" s="628"/>
      <c r="Y66" s="627"/>
      <c r="Z66" s="628"/>
      <c r="AA66" s="653"/>
      <c r="AB66" s="0" t="str">
        <f aca="false">B66</f>
        <v>LLDMTX-DCSYS07a</v>
      </c>
    </row>
    <row r="67" customFormat="false" ht="10.15" hidden="false" customHeight="false" outlineLevel="0" collapsed="false">
      <c r="A67" s="630" t="str">
        <f aca="false">'Plant loading'!A63</f>
        <v>Leyland</v>
      </c>
      <c r="B67" s="630" t="str">
        <f aca="false">'Plant loading'!B63</f>
        <v>LLDMTX-DCSYS07b</v>
      </c>
      <c r="C67" s="631" t="n">
        <f aca="false">('Plant loading'!E63*54.5)/1000</f>
        <v>22.127</v>
      </c>
      <c r="D67" s="632" t="str">
        <f aca="false">CHOOSE(T67,$C$130,$D$130,$E$130,$F$130,$G$130,$H$130,$I$130,$J$130,$K$130,$L$130,$M$130,$N$130,$O$130,$P$130,$Q$130,$R$130)</f>
        <v>2.5 hours</v>
      </c>
      <c r="E67" s="612" t="n">
        <v>44256</v>
      </c>
      <c r="F67" s="612" t="n">
        <v>44256</v>
      </c>
      <c r="G67" s="612" t="n">
        <v>44256</v>
      </c>
      <c r="H67" s="612" t="n">
        <v>44256</v>
      </c>
      <c r="I67" s="612" t="n">
        <v>44256</v>
      </c>
      <c r="J67" s="612"/>
      <c r="K67" s="612"/>
      <c r="L67" s="612"/>
      <c r="M67" s="612"/>
      <c r="N67" s="612"/>
      <c r="O67" s="612"/>
      <c r="P67" s="634" t="s">
        <v>630</v>
      </c>
      <c r="R67" s="595" t="n">
        <f aca="false">COUNT(E67:P67)</f>
        <v>5</v>
      </c>
      <c r="S67" s="595" t="n">
        <f aca="false">C67/R67</f>
        <v>4.4254</v>
      </c>
      <c r="T67" s="595" t="n">
        <f aca="false">MATCH(S67,$C$134:$R$134,-1)</f>
        <v>10</v>
      </c>
      <c r="U67" s="595" t="n">
        <f aca="false">COUNTIFS(E67:P67,"&gt;="&amp;$D$3,E67:P67,"&lt;="&amp;$E$3)</f>
        <v>0</v>
      </c>
      <c r="V67" s="595" t="n">
        <f aca="false">COUNTIFS(E67:P67,"&lt;="&amp;$E$2)</f>
        <v>0</v>
      </c>
      <c r="W67" s="627"/>
      <c r="X67" s="628"/>
      <c r="Y67" s="627"/>
      <c r="Z67" s="628"/>
      <c r="AA67" s="653"/>
      <c r="AB67" s="0" t="str">
        <f aca="false">B67</f>
        <v>LLDMTX-DCSYS07b</v>
      </c>
    </row>
    <row r="68" customFormat="false" ht="10.15" hidden="false" customHeight="false" outlineLevel="0" collapsed="false">
      <c r="A68" s="636" t="str">
        <f aca="false">'Plant loading'!A64</f>
        <v>Milton Keynes</v>
      </c>
      <c r="B68" s="636" t="str">
        <f aca="false">'Plant loading'!B64</f>
        <v>PEAMS</v>
      </c>
      <c r="C68" s="637" t="n">
        <f aca="false">('Plant loading'!E64*54.5)/1000</f>
        <v>60.4405</v>
      </c>
      <c r="D68" s="638" t="str">
        <f aca="false">CHOOSE(T68,$C$130,$D$130,$E$130,$F$130,$G$130,$H$130,$I$130,$J$130,$K$130,$L$130,$M$130,$N$130,$O$130,$P$130,$Q$130,$R$130)</f>
        <v>1.5 hours</v>
      </c>
      <c r="E68" s="624" t="n">
        <v>45139</v>
      </c>
      <c r="F68" s="624" t="n">
        <v>45139</v>
      </c>
      <c r="G68" s="624" t="n">
        <v>45139</v>
      </c>
      <c r="H68" s="624" t="n">
        <v>45139</v>
      </c>
      <c r="I68" s="624" t="n">
        <v>45139</v>
      </c>
      <c r="J68" s="624" t="n">
        <v>45139</v>
      </c>
      <c r="K68" s="624" t="n">
        <v>45139</v>
      </c>
      <c r="L68" s="624" t="n">
        <v>45139</v>
      </c>
      <c r="M68" s="624" t="n">
        <v>45139</v>
      </c>
      <c r="N68" s="624" t="n">
        <v>45139</v>
      </c>
      <c r="O68" s="624"/>
      <c r="P68" s="626" t="s">
        <v>630</v>
      </c>
      <c r="R68" s="595" t="n">
        <f aca="false">COUNT(E68:P68)</f>
        <v>10</v>
      </c>
      <c r="S68" s="595" t="n">
        <f aca="false">C68/R68</f>
        <v>6.04405</v>
      </c>
      <c r="T68" s="595" t="n">
        <f aca="false">MATCH(S68,$C$134:$R$134,-1)</f>
        <v>8</v>
      </c>
      <c r="U68" s="595" t="n">
        <f aca="false">COUNTIFS(E68:P68,"&gt;="&amp;$D$3,E68:P68,"&lt;="&amp;$E$3)</f>
        <v>0</v>
      </c>
      <c r="V68" s="595" t="n">
        <f aca="false">COUNTIFS(E68:P68,"&lt;="&amp;$E$2)</f>
        <v>0</v>
      </c>
      <c r="W68" s="627" t="n">
        <f aca="false">MATCH($E68,$B$177:$Q$177,1)</f>
        <v>13</v>
      </c>
      <c r="X68" s="639" t="str">
        <f aca="false">CHOOSE(ROUNDUP((W68/2),0),$B$179,$D$179,$F$179,$H$179,$J$179,$L$179,$N$179,$P$179)</f>
        <v>IR+HC</v>
      </c>
      <c r="Y68" s="627" t="n">
        <f aca="false">MATCH($E68,$B$183:$S$183,1)</f>
        <v>13</v>
      </c>
      <c r="Z68" s="639" t="str">
        <f aca="false">CHOOSE(ROUNDUP((Y68/2),0),$B$185,$D$185,$F$185,$H$185,$J$185,$L$185,$N$185,$P$185,$R$185)</f>
        <v>Discharge</v>
      </c>
      <c r="AA68" s="640" t="str">
        <f aca="false">A68</f>
        <v>Milton Keynes</v>
      </c>
      <c r="AB68" s="0" t="str">
        <f aca="false">B68</f>
        <v>PEAMS</v>
      </c>
    </row>
    <row r="69" customFormat="false" ht="10.15" hidden="false" customHeight="false" outlineLevel="0" collapsed="false">
      <c r="A69" s="641" t="str">
        <f aca="false">'Plant loading'!A65</f>
        <v>Milton Keynes</v>
      </c>
      <c r="B69" s="641" t="str">
        <f aca="false">'Plant loading'!B65</f>
        <v>PEBMS</v>
      </c>
      <c r="C69" s="642" t="n">
        <f aca="false">('Plant loading'!E65*54.5)/1000</f>
        <v>55.9715</v>
      </c>
      <c r="D69" s="643" t="str">
        <f aca="false">CHOOSE(T69,$C$130,$D$130,$E$130,$F$130,$G$130,$H$130,$I$130,$J$130,$K$130,$L$130,$M$130,$N$130,$O$130,$P$130,$Q$130,$R$130)</f>
        <v>2 hours</v>
      </c>
      <c r="E69" s="612" t="n">
        <v>45139</v>
      </c>
      <c r="F69" s="612" t="n">
        <v>45139</v>
      </c>
      <c r="G69" s="612" t="n">
        <v>45139</v>
      </c>
      <c r="H69" s="612" t="n">
        <v>45139</v>
      </c>
      <c r="I69" s="612" t="n">
        <v>45139</v>
      </c>
      <c r="J69" s="612" t="n">
        <v>45139</v>
      </c>
      <c r="K69" s="612" t="n">
        <v>45139</v>
      </c>
      <c r="L69" s="612" t="n">
        <v>45139</v>
      </c>
      <c r="M69" s="612" t="n">
        <v>45139</v>
      </c>
      <c r="N69" s="612" t="n">
        <v>45139</v>
      </c>
      <c r="O69" s="612"/>
      <c r="P69" s="634" t="s">
        <v>630</v>
      </c>
      <c r="R69" s="595" t="n">
        <f aca="false">COUNT(E69:P69)</f>
        <v>10</v>
      </c>
      <c r="S69" s="595" t="n">
        <f aca="false">C69/R69</f>
        <v>5.59715</v>
      </c>
      <c r="T69" s="595" t="n">
        <f aca="false">MATCH(S69,$C$134:$R$134,-1)</f>
        <v>9</v>
      </c>
      <c r="U69" s="595" t="n">
        <f aca="false">COUNTIFS(E69:P69,"&gt;="&amp;$D$3,E69:P69,"&lt;="&amp;$E$3)</f>
        <v>0</v>
      </c>
      <c r="V69" s="595" t="n">
        <f aca="false">COUNTIFS(E69:P69,"&lt;="&amp;$E$2)</f>
        <v>0</v>
      </c>
      <c r="W69" s="627" t="n">
        <f aca="false">MATCH($E69,$B$177:$Q$177,1)</f>
        <v>13</v>
      </c>
      <c r="X69" s="639" t="str">
        <f aca="false">CHOOSE(ROUNDUP((W69/2),0),$B$179,$D$179,$F$179,$H$179,$J$179,$L$179,$N$179,$P$179)</f>
        <v>IR+HC</v>
      </c>
      <c r="Y69" s="627" t="n">
        <f aca="false">MATCH($E69,$B$183:$S$183,1)</f>
        <v>13</v>
      </c>
      <c r="Z69" s="639" t="str">
        <f aca="false">CHOOSE(ROUNDUP((Y69/2),0),$B$185,$D$185,$F$185,$H$185,$J$185,$L$185,$N$185,$P$185,$R$185)</f>
        <v>Discharge</v>
      </c>
      <c r="AA69" s="640"/>
      <c r="AB69" s="0" t="str">
        <f aca="false">B69</f>
        <v>PEBMS</v>
      </c>
    </row>
    <row r="70" customFormat="false" ht="10.15" hidden="false" customHeight="false" outlineLevel="0" collapsed="false">
      <c r="A70" s="641" t="str">
        <f aca="false">'Plant loading'!A66</f>
        <v>Milton Keynes</v>
      </c>
      <c r="B70" s="641" t="str">
        <f aca="false">'Plant loading'!B66</f>
        <v>PECMS</v>
      </c>
      <c r="C70" s="642" t="n">
        <f aca="false">('Plant loading'!E66*54.5)/1000</f>
        <v>58.969</v>
      </c>
      <c r="D70" s="643" t="str">
        <f aca="false">CHOOSE(T70,$C$130,$D$130,$E$130,$F$130,$G$130,$H$130,$I$130,$J$130,$K$130,$L$130,$M$130,$N$130,$O$130,$P$130,$Q$130,$R$130)</f>
        <v>2 hours</v>
      </c>
      <c r="E70" s="612" t="n">
        <v>45139</v>
      </c>
      <c r="F70" s="612" t="n">
        <v>45139</v>
      </c>
      <c r="G70" s="612" t="n">
        <v>45139</v>
      </c>
      <c r="H70" s="612" t="n">
        <v>45139</v>
      </c>
      <c r="I70" s="612" t="n">
        <v>45139</v>
      </c>
      <c r="J70" s="612" t="n">
        <v>45139</v>
      </c>
      <c r="K70" s="612" t="n">
        <v>45139</v>
      </c>
      <c r="L70" s="612" t="n">
        <v>45139</v>
      </c>
      <c r="M70" s="612" t="n">
        <v>45139</v>
      </c>
      <c r="N70" s="612" t="n">
        <v>45139</v>
      </c>
      <c r="O70" s="612"/>
      <c r="P70" s="634" t="s">
        <v>630</v>
      </c>
      <c r="R70" s="595" t="n">
        <f aca="false">COUNT(E70:P70)</f>
        <v>10</v>
      </c>
      <c r="S70" s="595" t="n">
        <f aca="false">C70/R70</f>
        <v>5.8969</v>
      </c>
      <c r="T70" s="595" t="n">
        <f aca="false">MATCH(S70,$C$134:$R$134,-1)</f>
        <v>9</v>
      </c>
      <c r="U70" s="595" t="n">
        <f aca="false">COUNTIFS(E70:P70,"&gt;="&amp;$D$3,E70:P70,"&lt;="&amp;$E$3)</f>
        <v>0</v>
      </c>
      <c r="V70" s="595" t="n">
        <f aca="false">COUNTIFS(E70:P70,"&lt;="&amp;$E$2)</f>
        <v>0</v>
      </c>
      <c r="W70" s="627" t="n">
        <f aca="false">MATCH($E70,$B$177:$Q$177,1)</f>
        <v>13</v>
      </c>
      <c r="X70" s="639" t="str">
        <f aca="false">CHOOSE(ROUNDUP((W70/2),0),$B$179,$D$179,$F$179,$H$179,$J$179,$L$179,$N$179,$P$179)</f>
        <v>IR+HC</v>
      </c>
      <c r="Y70" s="627" t="n">
        <f aca="false">MATCH($E70,$B$183:$S$183,1)</f>
        <v>13</v>
      </c>
      <c r="Z70" s="639" t="str">
        <f aca="false">CHOOSE(ROUNDUP((Y70/2),0),$B$185,$D$185,$F$185,$H$185,$J$185,$L$185,$N$185,$P$185,$R$185)</f>
        <v>Discharge</v>
      </c>
      <c r="AA70" s="640"/>
      <c r="AB70" s="0" t="str">
        <f aca="false">B70</f>
        <v>PECMS</v>
      </c>
    </row>
    <row r="71" customFormat="false" ht="10.15" hidden="false" customHeight="false" outlineLevel="0" collapsed="false">
      <c r="A71" s="641" t="str">
        <f aca="false">'Plant loading'!A67</f>
        <v>Milton Keynes</v>
      </c>
      <c r="B71" s="641" t="str">
        <f aca="false">'Plant loading'!B67</f>
        <v>PEDMS</v>
      </c>
      <c r="C71" s="642" t="n">
        <f aca="false">('Plant loading'!E67*54.5)/1000</f>
        <v>61.7485</v>
      </c>
      <c r="D71" s="643" t="str">
        <f aca="false">CHOOSE(T71,$C$130,$D$130,$E$130,$F$130,$G$130,$H$130,$I$130,$J$130,$K$130,$L$130,$M$130,$N$130,$O$130,$P$130,$Q$130,$R$130)</f>
        <v>1.5 hours</v>
      </c>
      <c r="E71" s="612" t="n">
        <v>45139</v>
      </c>
      <c r="F71" s="612" t="n">
        <v>45139</v>
      </c>
      <c r="G71" s="612" t="n">
        <v>45139</v>
      </c>
      <c r="H71" s="612" t="n">
        <v>45139</v>
      </c>
      <c r="I71" s="612" t="n">
        <v>45139</v>
      </c>
      <c r="J71" s="612" t="n">
        <v>45139</v>
      </c>
      <c r="K71" s="612" t="n">
        <v>45139</v>
      </c>
      <c r="L71" s="612" t="n">
        <v>45139</v>
      </c>
      <c r="M71" s="612" t="n">
        <v>45139</v>
      </c>
      <c r="N71" s="612" t="n">
        <v>45139</v>
      </c>
      <c r="O71" s="612"/>
      <c r="P71" s="634" t="s">
        <v>630</v>
      </c>
      <c r="R71" s="595" t="n">
        <f aca="false">COUNT(E71:P71)</f>
        <v>10</v>
      </c>
      <c r="S71" s="595" t="n">
        <f aca="false">C71/R71</f>
        <v>6.17485</v>
      </c>
      <c r="T71" s="595" t="n">
        <f aca="false">MATCH(S71,$C$134:$R$134,-1)</f>
        <v>8</v>
      </c>
      <c r="U71" s="595" t="n">
        <f aca="false">COUNTIFS(E71:P71,"&gt;="&amp;$D$3,E71:P71,"&lt;="&amp;$E$3)</f>
        <v>0</v>
      </c>
      <c r="V71" s="595" t="n">
        <f aca="false">COUNTIFS(E71:P71,"&lt;="&amp;$E$2)</f>
        <v>0</v>
      </c>
      <c r="W71" s="627" t="n">
        <f aca="false">MATCH($E71,$B$177:$Q$177,1)</f>
        <v>13</v>
      </c>
      <c r="X71" s="639" t="str">
        <f aca="false">CHOOSE(ROUNDUP((W71/2),0),$B$179,$D$179,$F$179,$H$179,$J$179,$L$179,$N$179,$P$179)</f>
        <v>IR+HC</v>
      </c>
      <c r="Y71" s="627" t="n">
        <f aca="false">MATCH($E71,$B$183:$S$183,1)</f>
        <v>13</v>
      </c>
      <c r="Z71" s="639" t="str">
        <f aca="false">CHOOSE(ROUNDUP((Y71/2),0),$B$185,$D$185,$F$185,$H$185,$J$185,$L$185,$N$185,$P$185,$R$185)</f>
        <v>Discharge</v>
      </c>
      <c r="AA71" s="640"/>
      <c r="AB71" s="0" t="str">
        <f aca="false">B71</f>
        <v>PEDMS</v>
      </c>
    </row>
    <row r="72" customFormat="false" ht="10.15" hidden="false" customHeight="false" outlineLevel="0" collapsed="false">
      <c r="A72" s="641" t="str">
        <f aca="false">'Plant loading'!A68</f>
        <v>Milton Keynes</v>
      </c>
      <c r="B72" s="641" t="str">
        <f aca="false">'Plant loading'!B68</f>
        <v>PEEMS</v>
      </c>
      <c r="C72" s="642" t="n">
        <f aca="false">('Plant loading'!E68*54.5)/1000</f>
        <v>58.2605</v>
      </c>
      <c r="D72" s="643" t="str">
        <f aca="false">CHOOSE(T72,$C$130,$D$130,$E$130,$F$130,$G$130,$H$130,$I$130,$J$130,$K$130,$L$130,$M$130,$N$130,$O$130,$P$130,$Q$130,$R$130)</f>
        <v>2 hours</v>
      </c>
      <c r="E72" s="612" t="n">
        <v>45139</v>
      </c>
      <c r="F72" s="612" t="n">
        <v>45139</v>
      </c>
      <c r="G72" s="612" t="n">
        <v>45139</v>
      </c>
      <c r="H72" s="612" t="n">
        <v>45139</v>
      </c>
      <c r="I72" s="612" t="n">
        <v>45139</v>
      </c>
      <c r="J72" s="612" t="n">
        <v>45139</v>
      </c>
      <c r="K72" s="612" t="n">
        <v>45139</v>
      </c>
      <c r="L72" s="612" t="n">
        <v>45139</v>
      </c>
      <c r="M72" s="612" t="n">
        <v>45139</v>
      </c>
      <c r="N72" s="612" t="n">
        <v>45139</v>
      </c>
      <c r="O72" s="612"/>
      <c r="P72" s="634" t="s">
        <v>630</v>
      </c>
      <c r="R72" s="595" t="n">
        <f aca="false">COUNT(E72:P72)</f>
        <v>10</v>
      </c>
      <c r="S72" s="595" t="n">
        <f aca="false">C72/R72</f>
        <v>5.82605</v>
      </c>
      <c r="T72" s="595" t="n">
        <f aca="false">MATCH(S72,$C$134:$R$134,-1)</f>
        <v>9</v>
      </c>
      <c r="U72" s="595" t="n">
        <f aca="false">COUNTIFS(E72:P72,"&gt;="&amp;$D$3,E72:P72,"&lt;="&amp;$E$3)</f>
        <v>0</v>
      </c>
      <c r="V72" s="595" t="n">
        <f aca="false">COUNTIFS(E72:P72,"&lt;="&amp;$E$2)</f>
        <v>0</v>
      </c>
      <c r="W72" s="627" t="n">
        <f aca="false">MATCH($E72,$B$177:$Q$177,1)</f>
        <v>13</v>
      </c>
      <c r="X72" s="639" t="str">
        <f aca="false">CHOOSE(ROUNDUP((W72/2),0),$B$179,$D$179,$F$179,$H$179,$J$179,$L$179,$N$179,$P$179)</f>
        <v>IR+HC</v>
      </c>
      <c r="Y72" s="627" t="n">
        <f aca="false">MATCH($E72,$B$183:$S$183,1)</f>
        <v>13</v>
      </c>
      <c r="Z72" s="639" t="str">
        <f aca="false">CHOOSE(ROUNDUP((Y72/2),0),$B$185,$D$185,$F$185,$H$185,$J$185,$L$185,$N$185,$P$185,$R$185)</f>
        <v>Discharge</v>
      </c>
      <c r="AA72" s="640"/>
      <c r="AB72" s="0" t="str">
        <f aca="false">B72</f>
        <v>PEEMS</v>
      </c>
    </row>
    <row r="73" customFormat="false" ht="10.15" hidden="false" customHeight="false" outlineLevel="0" collapsed="false">
      <c r="A73" s="641" t="str">
        <f aca="false">'Plant loading'!A69</f>
        <v>Milton Keynes</v>
      </c>
      <c r="B73" s="641" t="str">
        <f aca="false">'Plant loading'!B69</f>
        <v>PEFMS</v>
      </c>
      <c r="C73" s="642" t="n">
        <f aca="false">('Plant loading'!E69*54.5)/1000</f>
        <v>57.3885</v>
      </c>
      <c r="D73" s="643" t="str">
        <f aca="false">CHOOSE(T73,$C$130,$D$130,$E$130,$F$130,$G$130,$H$130,$I$130,$J$130,$K$130,$L$130,$M$130,$N$130,$O$130,$P$130,$Q$130,$R$130)</f>
        <v>2 hours</v>
      </c>
      <c r="E73" s="612" t="n">
        <v>45139</v>
      </c>
      <c r="F73" s="612" t="n">
        <v>45139</v>
      </c>
      <c r="G73" s="612" t="n">
        <v>45139</v>
      </c>
      <c r="H73" s="612" t="n">
        <v>45139</v>
      </c>
      <c r="I73" s="612" t="n">
        <v>45139</v>
      </c>
      <c r="J73" s="612" t="n">
        <v>45139</v>
      </c>
      <c r="K73" s="612" t="n">
        <v>45139</v>
      </c>
      <c r="L73" s="612" t="n">
        <v>45139</v>
      </c>
      <c r="M73" s="612" t="n">
        <v>45139</v>
      </c>
      <c r="N73" s="612" t="n">
        <v>45139</v>
      </c>
      <c r="O73" s="612"/>
      <c r="P73" s="634" t="s">
        <v>630</v>
      </c>
      <c r="R73" s="595" t="n">
        <f aca="false">COUNT(E73:P73)</f>
        <v>10</v>
      </c>
      <c r="S73" s="595" t="n">
        <f aca="false">C73/R73</f>
        <v>5.73885</v>
      </c>
      <c r="T73" s="595" t="n">
        <f aca="false">MATCH(S73,$C$134:$R$134,-1)</f>
        <v>9</v>
      </c>
      <c r="U73" s="595" t="n">
        <f aca="false">COUNTIFS(E73:P73,"&gt;="&amp;$D$3,E73:P73,"&lt;="&amp;$E$3)</f>
        <v>0</v>
      </c>
      <c r="V73" s="595" t="n">
        <f aca="false">COUNTIFS(E73:P73,"&lt;="&amp;$E$2)</f>
        <v>0</v>
      </c>
      <c r="W73" s="627" t="n">
        <f aca="false">MATCH($E73,$B$177:$Q$177,1)</f>
        <v>13</v>
      </c>
      <c r="X73" s="639" t="str">
        <f aca="false">CHOOSE(ROUNDUP((W73/2),0),$B$179,$D$179,$F$179,$H$179,$J$179,$L$179,$N$179,$P$179)</f>
        <v>IR+HC</v>
      </c>
      <c r="Y73" s="627" t="n">
        <f aca="false">MATCH($E73,$B$183:$S$183,1)</f>
        <v>13</v>
      </c>
      <c r="Z73" s="639" t="str">
        <f aca="false">CHOOSE(ROUNDUP((Y73/2),0),$B$185,$D$185,$F$185,$H$185,$J$185,$L$185,$N$185,$P$185,$R$185)</f>
        <v>Discharge</v>
      </c>
      <c r="AA73" s="640"/>
      <c r="AB73" s="0" t="str">
        <f aca="false">B73</f>
        <v>PEFMS</v>
      </c>
    </row>
    <row r="74" customFormat="false" ht="10.15" hidden="false" customHeight="false" outlineLevel="0" collapsed="false">
      <c r="A74" s="641" t="str">
        <f aca="false">'Plant loading'!A70</f>
        <v>Milton Keynes</v>
      </c>
      <c r="B74" s="641" t="str">
        <f aca="false">'Plant loading'!B70</f>
        <v>MKSMTX-DCSYS07a</v>
      </c>
      <c r="C74" s="642" t="n">
        <f aca="false">('Plant loading'!E70*54.5)/1000</f>
        <v>16.132</v>
      </c>
      <c r="D74" s="643" t="str">
        <f aca="false">CHOOSE(T74,$C$130,$D$130,$E$130,$F$130,$G$130,$H$130,$I$130,$J$130,$K$130,$L$130,$M$130,$N$130,$O$130,$P$130,$Q$130,$R$130)</f>
        <v>4 hours</v>
      </c>
      <c r="E74" s="612" t="n">
        <v>44256</v>
      </c>
      <c r="F74" s="612" t="n">
        <v>44256</v>
      </c>
      <c r="G74" s="612" t="n">
        <v>44256</v>
      </c>
      <c r="H74" s="612" t="n">
        <v>44256</v>
      </c>
      <c r="I74" s="612" t="n">
        <v>44256</v>
      </c>
      <c r="J74" s="612"/>
      <c r="K74" s="612"/>
      <c r="L74" s="612"/>
      <c r="M74" s="612"/>
      <c r="N74" s="612"/>
      <c r="O74" s="612"/>
      <c r="P74" s="634" t="s">
        <v>630</v>
      </c>
      <c r="R74" s="595" t="n">
        <f aca="false">COUNT(E74:P74)</f>
        <v>5</v>
      </c>
      <c r="S74" s="595" t="n">
        <f aca="false">C74/R74</f>
        <v>3.2264</v>
      </c>
      <c r="T74" s="595" t="n">
        <f aca="false">MATCH(S74,$C$134:$R$134,-1)</f>
        <v>12</v>
      </c>
      <c r="U74" s="595" t="n">
        <f aca="false">COUNTIFS(E74:P74,"&gt;="&amp;$D$3,E74:P74,"&lt;="&amp;$E$3)</f>
        <v>0</v>
      </c>
      <c r="V74" s="595" t="n">
        <f aca="false">COUNTIFS(E74:P74,"&lt;="&amp;$E$2)</f>
        <v>0</v>
      </c>
      <c r="W74" s="627"/>
      <c r="X74" s="639"/>
      <c r="Y74" s="627"/>
      <c r="Z74" s="639"/>
      <c r="AA74" s="651"/>
      <c r="AB74" s="0" t="str">
        <f aca="false">B74</f>
        <v>MKSMTX-DCSYS07a</v>
      </c>
    </row>
    <row r="75" customFormat="false" ht="10.15" hidden="false" customHeight="false" outlineLevel="0" collapsed="false">
      <c r="A75" s="641" t="str">
        <f aca="false">'Plant loading'!A71</f>
        <v>Milton Keynes</v>
      </c>
      <c r="B75" s="641" t="str">
        <f aca="false">'Plant loading'!B71</f>
        <v>MKSMTX-DCSYS07b</v>
      </c>
      <c r="C75" s="642" t="n">
        <f aca="false">('Plant loading'!E71*54.5)/1000</f>
        <v>15.7505</v>
      </c>
      <c r="D75" s="643" t="str">
        <f aca="false">CHOOSE(T75,$C$130,$D$130,$E$130,$F$130,$G$130,$H$130,$I$130,$J$130,$K$130,$L$130,$M$130,$N$130,$O$130,$P$130,$Q$130,$R$130)</f>
        <v>4 hours</v>
      </c>
      <c r="E75" s="612" t="n">
        <v>44256</v>
      </c>
      <c r="F75" s="612" t="n">
        <v>44256</v>
      </c>
      <c r="G75" s="612" t="n">
        <v>44256</v>
      </c>
      <c r="H75" s="612" t="n">
        <v>44256</v>
      </c>
      <c r="I75" s="612" t="n">
        <v>44256</v>
      </c>
      <c r="J75" s="612"/>
      <c r="K75" s="612"/>
      <c r="L75" s="612"/>
      <c r="M75" s="612"/>
      <c r="N75" s="612"/>
      <c r="O75" s="612"/>
      <c r="P75" s="634" t="s">
        <v>630</v>
      </c>
      <c r="R75" s="595" t="n">
        <f aca="false">COUNT(E75:P75)</f>
        <v>5</v>
      </c>
      <c r="S75" s="595" t="n">
        <f aca="false">C75/R75</f>
        <v>3.1501</v>
      </c>
      <c r="T75" s="595" t="n">
        <f aca="false">MATCH(S75,$C$134:$R$134,-1)</f>
        <v>12</v>
      </c>
      <c r="U75" s="595" t="n">
        <f aca="false">COUNTIFS(E75:P75,"&gt;="&amp;$D$3,E75:P75,"&lt;="&amp;$E$3)</f>
        <v>0</v>
      </c>
      <c r="V75" s="595" t="n">
        <f aca="false">COUNTIFS(E75:P75,"&lt;="&amp;$E$2)</f>
        <v>0</v>
      </c>
      <c r="W75" s="627"/>
      <c r="X75" s="639"/>
      <c r="Y75" s="627"/>
      <c r="Z75" s="639"/>
      <c r="AA75" s="651"/>
      <c r="AB75" s="0" t="str">
        <f aca="false">B75</f>
        <v>MKSMTX-DCSYS07b</v>
      </c>
    </row>
    <row r="76" customFormat="false" ht="10.15" hidden="false" customHeight="false" outlineLevel="0" collapsed="false">
      <c r="A76" s="621" t="str">
        <f aca="false">'Plant loading'!A72</f>
        <v>Oldham</v>
      </c>
      <c r="B76" s="621" t="str">
        <f aca="false">'Plant loading'!B72</f>
        <v>OLDMTX-DCSYS01</v>
      </c>
      <c r="C76" s="622" t="n">
        <f aca="false">('Plant loading'!E72*54.5)/1000</f>
        <v>42.837</v>
      </c>
      <c r="D76" s="623" t="str">
        <f aca="false">CHOOSE(T76,$C$130,$D$130,$E$130,$F$130,$G$130,$H$130,$I$130,$J$130,$K$130,$L$130,$M$130,$N$130,$O$130,$P$130,$Q$130,$R$130)</f>
        <v>2.5 hours</v>
      </c>
      <c r="E76" s="624" t="n">
        <v>43891</v>
      </c>
      <c r="F76" s="624" t="n">
        <v>43891</v>
      </c>
      <c r="G76" s="624" t="n">
        <v>43891</v>
      </c>
      <c r="H76" s="624" t="n">
        <v>43891</v>
      </c>
      <c r="I76" s="624" t="n">
        <v>43891</v>
      </c>
      <c r="J76" s="624" t="n">
        <v>43891</v>
      </c>
      <c r="K76" s="624" t="n">
        <v>43891</v>
      </c>
      <c r="L76" s="624" t="n">
        <v>43891</v>
      </c>
      <c r="M76" s="624" t="n">
        <v>43891</v>
      </c>
      <c r="N76" s="624"/>
      <c r="O76" s="624"/>
      <c r="P76" s="626" t="s">
        <v>630</v>
      </c>
      <c r="R76" s="595" t="n">
        <f aca="false">COUNT(E76:P76)</f>
        <v>9</v>
      </c>
      <c r="S76" s="595" t="n">
        <f aca="false">C76/R76</f>
        <v>4.75966666666667</v>
      </c>
      <c r="T76" s="595" t="n">
        <f aca="false">MATCH(S76,$C$134:$R$134,-1)</f>
        <v>10</v>
      </c>
      <c r="U76" s="595" t="n">
        <f aca="false">COUNTIFS(E76:P76,"&gt;="&amp;$D$3,E76:P76,"&lt;="&amp;$E$3)</f>
        <v>0</v>
      </c>
      <c r="V76" s="595" t="n">
        <f aca="false">COUNTIFS(E76:P76,"&lt;="&amp;$E$2)</f>
        <v>0</v>
      </c>
      <c r="W76" s="627" t="n">
        <f aca="false">MATCH($E76,$B$177:$Q$177,1)</f>
        <v>5</v>
      </c>
      <c r="X76" s="628" t="str">
        <f aca="false">CHOOSE(ROUNDUP((W76/2),0),$B$179,$D$179,$F$179,$H$179,$J$179,$L$179,$N$179,$P$179)</f>
        <v>IR+HC</v>
      </c>
      <c r="Y76" s="627" t="n">
        <f aca="false">MATCH($E76,$B$183:$S$183,1)</f>
        <v>5</v>
      </c>
      <c r="Z76" s="628"/>
      <c r="AA76" s="629" t="str">
        <f aca="false">A76</f>
        <v>Oldham</v>
      </c>
      <c r="AB76" s="0" t="str">
        <f aca="false">B76</f>
        <v>OLDMTX-DCSYS01</v>
      </c>
    </row>
    <row r="77" customFormat="false" ht="10.15" hidden="false" customHeight="false" outlineLevel="0" collapsed="false">
      <c r="A77" s="630" t="str">
        <f aca="false">'Plant loading'!A73</f>
        <v>Oldham</v>
      </c>
      <c r="B77" s="630" t="str">
        <f aca="false">'Plant loading'!B73</f>
        <v>OLDMTX-DCSYS02</v>
      </c>
      <c r="C77" s="631" t="n">
        <f aca="false">('Plant loading'!E73*54.5)/1000</f>
        <v>39.6215</v>
      </c>
      <c r="D77" s="632" t="str">
        <f aca="false">CHOOSE(T77,$C$130,$D$130,$E$130,$F$130,$G$130,$H$130,$I$130,$J$130,$K$130,$L$130,$M$130,$N$130,$O$130,$P$130,$Q$130,$R$130)</f>
        <v>3 hours</v>
      </c>
      <c r="E77" s="612" t="n">
        <v>43891</v>
      </c>
      <c r="F77" s="612" t="n">
        <v>43891</v>
      </c>
      <c r="G77" s="612" t="n">
        <v>43891</v>
      </c>
      <c r="H77" s="612" t="n">
        <v>43891</v>
      </c>
      <c r="I77" s="612" t="n">
        <v>43891</v>
      </c>
      <c r="J77" s="612" t="n">
        <v>43891</v>
      </c>
      <c r="K77" s="612" t="n">
        <v>43891</v>
      </c>
      <c r="L77" s="612" t="n">
        <v>43891</v>
      </c>
      <c r="M77" s="612" t="n">
        <v>43891</v>
      </c>
      <c r="N77" s="612"/>
      <c r="O77" s="612"/>
      <c r="P77" s="634" t="s">
        <v>630</v>
      </c>
      <c r="R77" s="595" t="n">
        <f aca="false">COUNT(E77:P77)</f>
        <v>9</v>
      </c>
      <c r="S77" s="595" t="n">
        <f aca="false">C77/R77</f>
        <v>4.40238888888889</v>
      </c>
      <c r="T77" s="595" t="n">
        <f aca="false">MATCH(S77,$C$134:$R$134,-1)</f>
        <v>11</v>
      </c>
      <c r="U77" s="595" t="n">
        <f aca="false">COUNTIFS(E77:P77,"&gt;="&amp;$D$3,E77:P77,"&lt;="&amp;$E$3)</f>
        <v>0</v>
      </c>
      <c r="V77" s="595" t="n">
        <f aca="false">COUNTIFS(E77:P77,"&lt;="&amp;$E$2)</f>
        <v>0</v>
      </c>
      <c r="W77" s="627" t="n">
        <f aca="false">MATCH($E77,$B$177:$Q$177,1)</f>
        <v>5</v>
      </c>
      <c r="X77" s="628" t="str">
        <f aca="false">CHOOSE(ROUNDUP((W77/2),0),$B$179,$D$179,$F$179,$H$179,$J$179,$L$179,$N$179,$P$179)</f>
        <v>IR+HC</v>
      </c>
      <c r="Y77" s="627" t="n">
        <f aca="false">MATCH($E77,$B$183:$S$183,1)</f>
        <v>5</v>
      </c>
      <c r="Z77" s="628"/>
      <c r="AA77" s="629"/>
      <c r="AB77" s="0" t="str">
        <f aca="false">B77</f>
        <v>OLDMTX-DCSYS02</v>
      </c>
    </row>
    <row r="78" customFormat="false" ht="10.15" hidden="false" customHeight="false" outlineLevel="0" collapsed="false">
      <c r="A78" s="630" t="str">
        <f aca="false">'Plant loading'!A74</f>
        <v>Oldham</v>
      </c>
      <c r="B78" s="630" t="str">
        <f aca="false">'Plant loading'!B74</f>
        <v>OLDMTX-DCSYS03</v>
      </c>
      <c r="C78" s="631" t="n">
        <f aca="false">('Plant loading'!E74*54.5)/1000</f>
        <v>43.491</v>
      </c>
      <c r="D78" s="632" t="str">
        <f aca="false">CHOOSE(T78,$C$130,$D$130,$E$130,$F$130,$G$130,$H$130,$I$130,$J$130,$K$130,$L$130,$M$130,$N$130,$O$130,$P$130,$Q$130,$R$130)</f>
        <v>2.5 hours</v>
      </c>
      <c r="E78" s="612" t="n">
        <v>44835</v>
      </c>
      <c r="F78" s="612" t="n">
        <v>44835</v>
      </c>
      <c r="G78" s="612" t="n">
        <v>44835</v>
      </c>
      <c r="H78" s="612" t="n">
        <v>44835</v>
      </c>
      <c r="I78" s="612" t="n">
        <v>44835</v>
      </c>
      <c r="J78" s="612" t="n">
        <v>44835</v>
      </c>
      <c r="K78" s="612" t="n">
        <v>44835</v>
      </c>
      <c r="L78" s="612" t="n">
        <v>44835</v>
      </c>
      <c r="M78" s="612" t="n">
        <v>44835</v>
      </c>
      <c r="N78" s="612"/>
      <c r="O78" s="612"/>
      <c r="P78" s="634" t="s">
        <v>630</v>
      </c>
      <c r="R78" s="595" t="n">
        <f aca="false">COUNT(E78:P78)</f>
        <v>9</v>
      </c>
      <c r="S78" s="595" t="n">
        <f aca="false">C78/R78</f>
        <v>4.83233333333333</v>
      </c>
      <c r="T78" s="595" t="n">
        <f aca="false">MATCH(S78,$C$134:$R$134,-1)</f>
        <v>10</v>
      </c>
      <c r="U78" s="595" t="n">
        <f aca="false">COUNTIFS(E78:P78,"&gt;="&amp;$D$3,E78:P78,"&lt;="&amp;$E$3)</f>
        <v>0</v>
      </c>
      <c r="V78" s="595" t="n">
        <f aca="false">COUNTIFS(E78:P78,"&lt;="&amp;$E$2)</f>
        <v>0</v>
      </c>
      <c r="W78" s="627" t="n">
        <f aca="false">MATCH($E78,$B$177:$Q$177,1)</f>
        <v>11</v>
      </c>
      <c r="X78" s="628" t="str">
        <f aca="false">CHOOSE(ROUNDUP((W78/2),0),$B$179,$D$179,$F$179,$H$179,$J$179,$L$179,$N$179,$P$179)</f>
        <v>Discharge</v>
      </c>
      <c r="Y78" s="627" t="n">
        <f aca="false">MATCH($E78,$B$183:$S$183,1)</f>
        <v>11</v>
      </c>
      <c r="Z78" s="628"/>
      <c r="AA78" s="629"/>
      <c r="AB78" s="0" t="str">
        <f aca="false">B78</f>
        <v>OLDMTX-DCSYS03</v>
      </c>
    </row>
    <row r="79" customFormat="false" ht="10.15" hidden="false" customHeight="false" outlineLevel="0" collapsed="false">
      <c r="A79" s="630" t="str">
        <f aca="false">'Plant loading'!A75</f>
        <v>Oldham</v>
      </c>
      <c r="B79" s="630" t="str">
        <f aca="false">'Plant loading'!B75</f>
        <v>OLDMTX-DCSYS04</v>
      </c>
      <c r="C79" s="631" t="n">
        <f aca="false">('Plant loading'!E75*54.5)/1000</f>
        <v>31.174</v>
      </c>
      <c r="D79" s="632" t="str">
        <f aca="false">CHOOSE(T79,$C$130,$D$130,$E$130,$F$130,$G$130,$H$130,$I$130,$J$130,$K$130,$L$130,$M$130,$N$130,$O$130,$P$130,$Q$130,$R$130)</f>
        <v>4 hours</v>
      </c>
      <c r="E79" s="612" t="n">
        <v>44835</v>
      </c>
      <c r="F79" s="612" t="n">
        <v>44835</v>
      </c>
      <c r="G79" s="612" t="n">
        <v>44835</v>
      </c>
      <c r="H79" s="612" t="n">
        <v>44835</v>
      </c>
      <c r="I79" s="612" t="n">
        <v>44835</v>
      </c>
      <c r="J79" s="612" t="n">
        <v>44835</v>
      </c>
      <c r="K79" s="612" t="n">
        <v>44835</v>
      </c>
      <c r="L79" s="612" t="n">
        <v>44835</v>
      </c>
      <c r="M79" s="612" t="n">
        <v>44835</v>
      </c>
      <c r="N79" s="612"/>
      <c r="O79" s="612"/>
      <c r="P79" s="634" t="s">
        <v>630</v>
      </c>
      <c r="R79" s="595" t="n">
        <f aca="false">COUNT(E79:P79)</f>
        <v>9</v>
      </c>
      <c r="S79" s="595" t="n">
        <f aca="false">C79/R79</f>
        <v>3.46377777777778</v>
      </c>
      <c r="T79" s="595" t="n">
        <f aca="false">MATCH(S79,$C$134:$R$134,-1)</f>
        <v>12</v>
      </c>
      <c r="U79" s="595" t="n">
        <f aca="false">COUNTIFS(E79:P79,"&gt;="&amp;$D$3,E79:P79,"&lt;="&amp;$E$3)</f>
        <v>0</v>
      </c>
      <c r="V79" s="595" t="n">
        <f aca="false">COUNTIFS(E79:P79,"&lt;="&amp;$E$2)</f>
        <v>0</v>
      </c>
      <c r="W79" s="627" t="n">
        <f aca="false">MATCH($E79,$B$177:$Q$177,1)</f>
        <v>11</v>
      </c>
      <c r="X79" s="628" t="str">
        <f aca="false">CHOOSE(ROUNDUP((W79/2),0),$B$179,$D$179,$F$179,$H$179,$J$179,$L$179,$N$179,$P$179)</f>
        <v>Discharge</v>
      </c>
      <c r="Y79" s="627" t="n">
        <f aca="false">MATCH($E79,$B$183:$S$183,1)</f>
        <v>11</v>
      </c>
      <c r="Z79" s="628"/>
      <c r="AA79" s="629"/>
      <c r="AB79" s="0" t="str">
        <f aca="false">B79</f>
        <v>OLDMTX-DCSYS04</v>
      </c>
    </row>
    <row r="80" customFormat="false" ht="10.15" hidden="false" customHeight="false" outlineLevel="0" collapsed="false">
      <c r="A80" s="630" t="str">
        <f aca="false">'Plant loading'!A76</f>
        <v>Oldham</v>
      </c>
      <c r="B80" s="630" t="str">
        <f aca="false">'Plant loading'!B76</f>
        <v>OLDMTX-DCSYS05</v>
      </c>
      <c r="C80" s="631" t="n">
        <f aca="false">('Plant loading'!E76*54.5)/1000</f>
        <v>28.449</v>
      </c>
      <c r="D80" s="632" t="str">
        <f aca="false">CHOOSE(T80,$C$130,$D$130,$E$130,$F$130,$G$130,$H$130,$I$130,$J$130,$K$130,$L$130,$M$130,$N$130,$O$130,$P$130,$Q$130,$R$130)</f>
        <v>4 hours</v>
      </c>
      <c r="E80" s="612" t="n">
        <v>44835</v>
      </c>
      <c r="F80" s="612" t="n">
        <v>44835</v>
      </c>
      <c r="G80" s="612" t="n">
        <v>44835</v>
      </c>
      <c r="H80" s="612" t="n">
        <v>44835</v>
      </c>
      <c r="I80" s="612" t="n">
        <v>44835</v>
      </c>
      <c r="J80" s="612" t="n">
        <v>44835</v>
      </c>
      <c r="K80" s="612" t="n">
        <v>44835</v>
      </c>
      <c r="L80" s="612" t="n">
        <v>44835</v>
      </c>
      <c r="M80" s="612" t="n">
        <v>44835</v>
      </c>
      <c r="N80" s="612"/>
      <c r="O80" s="612"/>
      <c r="P80" s="634" t="s">
        <v>630</v>
      </c>
      <c r="R80" s="595" t="n">
        <f aca="false">COUNT(E80:P80)</f>
        <v>9</v>
      </c>
      <c r="S80" s="595" t="n">
        <f aca="false">C80/R80</f>
        <v>3.161</v>
      </c>
      <c r="T80" s="595" t="n">
        <f aca="false">MATCH(S80,$C$134:$R$134,-1)</f>
        <v>12</v>
      </c>
      <c r="U80" s="595" t="n">
        <f aca="false">COUNTIFS(E80:P80,"&gt;="&amp;$D$3,E80:P80,"&lt;="&amp;$E$3)</f>
        <v>0</v>
      </c>
      <c r="V80" s="595" t="n">
        <f aca="false">COUNTIFS(E80:P80,"&lt;="&amp;$E$2)</f>
        <v>0</v>
      </c>
      <c r="W80" s="627" t="n">
        <f aca="false">MATCH($E80,$B$177:$Q$177,1)</f>
        <v>11</v>
      </c>
      <c r="X80" s="628" t="str">
        <f aca="false">CHOOSE(ROUNDUP((W80/2),0),$B$179,$D$179,$F$179,$H$179,$J$179,$L$179,$N$179,$P$179)</f>
        <v>Discharge</v>
      </c>
      <c r="Y80" s="627" t="n">
        <f aca="false">MATCH($E80,$B$183:$S$183,1)</f>
        <v>11</v>
      </c>
      <c r="Z80" s="628"/>
      <c r="AA80" s="629"/>
      <c r="AB80" s="0" t="str">
        <f aca="false">B80</f>
        <v>OLDMTX-DCSYS05</v>
      </c>
    </row>
    <row r="81" customFormat="false" ht="10.15" hidden="false" customHeight="false" outlineLevel="0" collapsed="false">
      <c r="A81" s="630" t="str">
        <f aca="false">'Plant loading'!A77</f>
        <v>Oldham</v>
      </c>
      <c r="B81" s="630" t="str">
        <f aca="false">'Plant loading'!B77</f>
        <v>OLDMTX-DCSYS06</v>
      </c>
      <c r="C81" s="631" t="n">
        <f aca="false">('Plant loading'!E77*54.5)/1000</f>
        <v>34.2805</v>
      </c>
      <c r="D81" s="632" t="str">
        <f aca="false">CHOOSE(T81,$C$130,$D$130,$E$130,$F$130,$G$130,$H$130,$I$130,$J$130,$K$130,$L$130,$M$130,$N$130,$O$130,$P$130,$Q$130,$R$130)</f>
        <v>3 hours</v>
      </c>
      <c r="E81" s="612" t="n">
        <v>44835</v>
      </c>
      <c r="F81" s="612" t="n">
        <v>44835</v>
      </c>
      <c r="G81" s="612" t="n">
        <v>44835</v>
      </c>
      <c r="H81" s="612" t="n">
        <v>44835</v>
      </c>
      <c r="I81" s="612" t="n">
        <v>44835</v>
      </c>
      <c r="J81" s="612" t="n">
        <v>44835</v>
      </c>
      <c r="K81" s="612" t="n">
        <v>44835</v>
      </c>
      <c r="L81" s="612" t="n">
        <v>44835</v>
      </c>
      <c r="M81" s="612" t="n">
        <v>44835</v>
      </c>
      <c r="N81" s="612"/>
      <c r="O81" s="612"/>
      <c r="P81" s="634" t="s">
        <v>630</v>
      </c>
      <c r="R81" s="595" t="n">
        <f aca="false">COUNT(E81:P81)</f>
        <v>9</v>
      </c>
      <c r="S81" s="595" t="n">
        <f aca="false">C81/R81</f>
        <v>3.80894444444444</v>
      </c>
      <c r="T81" s="595" t="n">
        <f aca="false">MATCH(S81,$C$134:$R$134,-1)</f>
        <v>11</v>
      </c>
      <c r="U81" s="595" t="n">
        <f aca="false">COUNTIFS(E81:P81,"&gt;="&amp;$D$3,E81:P81,"&lt;="&amp;$E$3)</f>
        <v>0</v>
      </c>
      <c r="V81" s="595" t="n">
        <f aca="false">COUNTIFS(E81:P81,"&lt;="&amp;$E$2)</f>
        <v>0</v>
      </c>
      <c r="W81" s="627" t="n">
        <f aca="false">MATCH($E81,$B$177:$Q$177,1)</f>
        <v>11</v>
      </c>
      <c r="X81" s="628" t="str">
        <f aca="false">CHOOSE(ROUNDUP((W81/2),0),$B$179,$D$179,$F$179,$H$179,$J$179,$L$179,$N$179,$P$179)</f>
        <v>Discharge</v>
      </c>
      <c r="Y81" s="627" t="n">
        <f aca="false">MATCH($E81,$B$183:$S$183,1)</f>
        <v>11</v>
      </c>
      <c r="Z81" s="628"/>
      <c r="AA81" s="629"/>
      <c r="AB81" s="0" t="str">
        <f aca="false">B81</f>
        <v>OLDMTX-DCSYS06</v>
      </c>
    </row>
    <row r="82" customFormat="false" ht="10.15" hidden="false" customHeight="false" outlineLevel="0" collapsed="false">
      <c r="A82" s="630" t="str">
        <f aca="false">'Plant loading'!A78</f>
        <v>Oldham</v>
      </c>
      <c r="B82" s="630" t="str">
        <f aca="false">'Plant loading'!B78</f>
        <v>OLDMTX-DCSYS07a</v>
      </c>
      <c r="C82" s="631" t="n">
        <f aca="false">('Plant loading'!E78*54.5)/1000</f>
        <v>26.1055</v>
      </c>
      <c r="D82" s="632" t="str">
        <f aca="false">CHOOSE(T82,$C$130,$D$130,$E$130,$F$130,$G$130,$H$130,$I$130,$J$130,$K$130,$L$130,$M$130,$N$130,$O$130,$P$130,$Q$130,$R$130)</f>
        <v>2 hours</v>
      </c>
      <c r="E82" s="612" t="n">
        <v>44501</v>
      </c>
      <c r="F82" s="612" t="n">
        <v>44501</v>
      </c>
      <c r="G82" s="612" t="n">
        <v>44501</v>
      </c>
      <c r="H82" s="612" t="n">
        <v>44501</v>
      </c>
      <c r="I82" s="612" t="n">
        <v>44501</v>
      </c>
      <c r="J82" s="612"/>
      <c r="K82" s="612"/>
      <c r="L82" s="612"/>
      <c r="M82" s="612"/>
      <c r="N82" s="612"/>
      <c r="O82" s="612"/>
      <c r="P82" s="634" t="s">
        <v>630</v>
      </c>
      <c r="R82" s="595" t="n">
        <f aca="false">COUNT(E82:P82)</f>
        <v>5</v>
      </c>
      <c r="S82" s="595" t="n">
        <f aca="false">C82/R82</f>
        <v>5.2211</v>
      </c>
      <c r="T82" s="595" t="n">
        <f aca="false">MATCH(S82,$C$134:$R$134,-1)</f>
        <v>9</v>
      </c>
      <c r="U82" s="595" t="n">
        <f aca="false">COUNTIFS(E82:P82,"&gt;="&amp;$D$3,E82:P82,"&lt;="&amp;$E$3)</f>
        <v>0</v>
      </c>
      <c r="V82" s="595" t="n">
        <f aca="false">COUNTIFS(E82:P82,"&lt;="&amp;$E$2)</f>
        <v>0</v>
      </c>
      <c r="W82" s="627"/>
      <c r="X82" s="628"/>
      <c r="Y82" s="627"/>
      <c r="Z82" s="628"/>
      <c r="AA82" s="653"/>
      <c r="AB82" s="0" t="str">
        <f aca="false">B82</f>
        <v>OLDMTX-DCSYS07a</v>
      </c>
    </row>
    <row r="83" customFormat="false" ht="10.15" hidden="false" customHeight="false" outlineLevel="0" collapsed="false">
      <c r="A83" s="630" t="str">
        <f aca="false">'Plant loading'!A79</f>
        <v>Oldham</v>
      </c>
      <c r="B83" s="630" t="str">
        <f aca="false">'Plant loading'!B79</f>
        <v>OLDMTX-DCSYS07b</v>
      </c>
      <c r="C83" s="631" t="n">
        <f aca="false">('Plant loading'!E79*54.5)/1000</f>
        <v>25.7785</v>
      </c>
      <c r="D83" s="632" t="str">
        <f aca="false">CHOOSE(T83,$C$130,$D$130,$E$130,$F$130,$G$130,$H$130,$I$130,$J$130,$K$130,$L$130,$M$130,$N$130,$O$130,$P$130,$Q$130,$R$130)</f>
        <v>2 hours</v>
      </c>
      <c r="E83" s="612" t="n">
        <v>44501</v>
      </c>
      <c r="F83" s="612" t="n">
        <v>44501</v>
      </c>
      <c r="G83" s="612" t="n">
        <v>44501</v>
      </c>
      <c r="H83" s="612" t="n">
        <v>44501</v>
      </c>
      <c r="I83" s="612" t="n">
        <v>44501</v>
      </c>
      <c r="J83" s="612"/>
      <c r="K83" s="612"/>
      <c r="L83" s="612"/>
      <c r="M83" s="612"/>
      <c r="N83" s="612"/>
      <c r="O83" s="612"/>
      <c r="P83" s="634" t="s">
        <v>630</v>
      </c>
      <c r="R83" s="595" t="n">
        <f aca="false">COUNT(E83:P83)</f>
        <v>5</v>
      </c>
      <c r="S83" s="595" t="n">
        <f aca="false">C83/R83</f>
        <v>5.1557</v>
      </c>
      <c r="T83" s="595" t="n">
        <f aca="false">MATCH(S83,$C$134:$R$134,-1)</f>
        <v>9</v>
      </c>
      <c r="U83" s="595" t="n">
        <f aca="false">COUNTIFS(E83:P83,"&gt;="&amp;$D$3,E83:P83,"&lt;="&amp;$E$3)</f>
        <v>0</v>
      </c>
      <c r="V83" s="595" t="n">
        <f aca="false">COUNTIFS(E83:P83,"&lt;="&amp;$E$2)</f>
        <v>0</v>
      </c>
      <c r="W83" s="627"/>
      <c r="X83" s="628"/>
      <c r="Y83" s="627"/>
      <c r="Z83" s="628"/>
      <c r="AA83" s="653"/>
      <c r="AB83" s="0" t="str">
        <f aca="false">B83</f>
        <v>OLDMTX-DCSYS07b</v>
      </c>
    </row>
    <row r="84" customFormat="false" ht="10.15" hidden="false" customHeight="false" outlineLevel="0" collapsed="false">
      <c r="A84" s="636" t="str">
        <f aca="false">'Plant loading'!A80</f>
        <v>Rotherham</v>
      </c>
      <c r="B84" s="636" t="str">
        <f aca="false">'Plant loading'!B80</f>
        <v>PEARM</v>
      </c>
      <c r="C84" s="637" t="n">
        <f aca="false">('Plant loading'!E80*54.5)/1000</f>
        <v>20.492</v>
      </c>
      <c r="D84" s="638" t="str">
        <f aca="false">CHOOSE(T84,$C$130,$D$130,$E$130,$F$130,$G$130,$H$130,$I$130,$J$130,$K$130,$L$130,$M$130,$N$130,$O$130,$P$130,$Q$130,$R$130)</f>
        <v>6 hours</v>
      </c>
      <c r="E84" s="624" t="n">
        <v>44409</v>
      </c>
      <c r="F84" s="624" t="n">
        <v>44409</v>
      </c>
      <c r="G84" s="624" t="n">
        <v>44409</v>
      </c>
      <c r="H84" s="624" t="n">
        <v>44440</v>
      </c>
      <c r="I84" s="624" t="n">
        <v>44440</v>
      </c>
      <c r="J84" s="624" t="n">
        <v>44440</v>
      </c>
      <c r="K84" s="624" t="n">
        <v>44440</v>
      </c>
      <c r="L84" s="624" t="n">
        <v>43891</v>
      </c>
      <c r="M84" s="624" t="n">
        <v>43891</v>
      </c>
      <c r="N84" s="624"/>
      <c r="O84" s="624"/>
      <c r="P84" s="626" t="s">
        <v>630</v>
      </c>
      <c r="R84" s="595" t="n">
        <f aca="false">COUNT(E84:P84)</f>
        <v>9</v>
      </c>
      <c r="S84" s="595" t="n">
        <f aca="false">C84/R84</f>
        <v>2.27688888888889</v>
      </c>
      <c r="T84" s="595" t="n">
        <f aca="false">MATCH(S84,$C$134:$R$134,-1)</f>
        <v>14</v>
      </c>
      <c r="U84" s="595" t="n">
        <f aca="false">COUNTIFS(E84:P84,"&gt;="&amp;$D$3,E84:P84,"&lt;="&amp;$E$3)</f>
        <v>0</v>
      </c>
      <c r="V84" s="595" t="n">
        <f aca="false">COUNTIFS(E84:P84,"&lt;="&amp;$E$2)</f>
        <v>0</v>
      </c>
      <c r="W84" s="627" t="n">
        <f aca="false">MATCH($E84,$B$177:$Q$177,1)</f>
        <v>9</v>
      </c>
      <c r="X84" s="639" t="str">
        <f aca="false">CHOOSE(ROUNDUP((W84/2),0),$B$179,$D$179,$F$179,$H$179,$J$179,$L$179,$N$179,$P$179)</f>
        <v>IR+HC</v>
      </c>
      <c r="Y84" s="627" t="n">
        <f aca="false">MATCH($E84,$B$183:$S$183,1)</f>
        <v>9</v>
      </c>
      <c r="Z84" s="639" t="str">
        <f aca="false">CHOOSE(ROUNDUP((Y84/2),0),$B$185,$D$185,$F$185,$H$185,$J$185,$L$185,$N$185,$P$185,$R$185)</f>
        <v>Discharge</v>
      </c>
      <c r="AA84" s="640" t="str">
        <f aca="false">A84</f>
        <v>Rotherham</v>
      </c>
      <c r="AB84" s="0" t="str">
        <f aca="false">B84</f>
        <v>PEARM</v>
      </c>
    </row>
    <row r="85" customFormat="false" ht="10.15" hidden="false" customHeight="false" outlineLevel="0" collapsed="false">
      <c r="A85" s="641" t="str">
        <f aca="false">'Plant loading'!A81</f>
        <v>Rotherham</v>
      </c>
      <c r="B85" s="641" t="str">
        <f aca="false">'Plant loading'!B81</f>
        <v>PEBRM</v>
      </c>
      <c r="C85" s="642" t="n">
        <f aca="false">('Plant loading'!E81*54.5)/1000</f>
        <v>25.5605</v>
      </c>
      <c r="D85" s="643" t="str">
        <f aca="false">CHOOSE(T85,$C$130,$D$130,$E$130,$F$130,$G$130,$H$130,$I$130,$J$130,$K$130,$L$130,$M$130,$N$130,$O$130,$P$130,$Q$130,$R$130)</f>
        <v>5 hours</v>
      </c>
      <c r="E85" s="612" t="n">
        <v>44440</v>
      </c>
      <c r="F85" s="612" t="n">
        <v>44440</v>
      </c>
      <c r="G85" s="612" t="n">
        <v>44440</v>
      </c>
      <c r="H85" s="612" t="n">
        <v>44440</v>
      </c>
      <c r="I85" s="612" t="n">
        <v>44440</v>
      </c>
      <c r="J85" s="612" t="n">
        <v>44440</v>
      </c>
      <c r="K85" s="612" t="n">
        <v>44440</v>
      </c>
      <c r="L85" s="612" t="n">
        <v>44440</v>
      </c>
      <c r="M85" s="612" t="n">
        <v>44440</v>
      </c>
      <c r="N85" s="612"/>
      <c r="O85" s="612"/>
      <c r="P85" s="634" t="s">
        <v>630</v>
      </c>
      <c r="R85" s="595" t="n">
        <f aca="false">COUNT(E85:P85)</f>
        <v>9</v>
      </c>
      <c r="S85" s="595" t="n">
        <f aca="false">C85/R85</f>
        <v>2.84005555555556</v>
      </c>
      <c r="T85" s="595" t="n">
        <f aca="false">MATCH(S85,$C$134:$R$134,-1)</f>
        <v>13</v>
      </c>
      <c r="U85" s="595" t="n">
        <f aca="false">COUNTIFS(E85:P85,"&gt;="&amp;$D$3,E85:P85,"&lt;="&amp;$E$3)</f>
        <v>0</v>
      </c>
      <c r="V85" s="595" t="n">
        <f aca="false">COUNTIFS(E85:P85,"&lt;="&amp;$E$2)</f>
        <v>0</v>
      </c>
      <c r="W85" s="627" t="n">
        <f aca="false">MATCH($E85,$B$177:$Q$177,1)</f>
        <v>9</v>
      </c>
      <c r="X85" s="639" t="str">
        <f aca="false">CHOOSE(ROUNDUP((W85/2),0),$B$179,$D$179,$F$179,$H$179,$J$179,$L$179,$N$179,$P$179)</f>
        <v>IR+HC</v>
      </c>
      <c r="Y85" s="627" t="n">
        <f aca="false">MATCH($E85,$B$183:$S$183,1)</f>
        <v>9</v>
      </c>
      <c r="Z85" s="639" t="str">
        <f aca="false">CHOOSE(ROUNDUP((Y85/2),0),$B$185,$D$185,$F$185,$H$185,$J$185,$L$185,$N$185,$P$185,$R$185)</f>
        <v>Discharge</v>
      </c>
      <c r="AA85" s="640"/>
      <c r="AB85" s="0" t="str">
        <f aca="false">B85</f>
        <v>PEBRM</v>
      </c>
    </row>
    <row r="86" customFormat="false" ht="10.15" hidden="false" customHeight="false" outlineLevel="0" collapsed="false">
      <c r="A86" s="641" t="str">
        <f aca="false">'Plant loading'!A82</f>
        <v>Rotherham</v>
      </c>
      <c r="B86" s="641" t="str">
        <f aca="false">'Plant loading'!B82</f>
        <v>PECRM</v>
      </c>
      <c r="C86" s="642" t="n">
        <f aca="false">('Plant loading'!E82*54.5)/1000</f>
        <v>28.994</v>
      </c>
      <c r="D86" s="643" t="str">
        <f aca="false">CHOOSE(T86,$C$130,$D$130,$E$130,$F$130,$G$130,$H$130,$I$130,$J$130,$K$130,$L$130,$M$130,$N$130,$O$130,$P$130,$Q$130,$R$130)</f>
        <v>4 hours</v>
      </c>
      <c r="E86" s="612" t="n">
        <v>44440</v>
      </c>
      <c r="F86" s="612" t="n">
        <v>44440</v>
      </c>
      <c r="G86" s="612" t="n">
        <v>44440</v>
      </c>
      <c r="H86" s="612" t="n">
        <v>44440</v>
      </c>
      <c r="I86" s="612" t="n">
        <v>44440</v>
      </c>
      <c r="J86" s="612" t="n">
        <v>44440</v>
      </c>
      <c r="K86" s="612" t="n">
        <v>44440</v>
      </c>
      <c r="L86" s="612" t="n">
        <v>44440</v>
      </c>
      <c r="M86" s="612" t="n">
        <v>44440</v>
      </c>
      <c r="N86" s="612"/>
      <c r="O86" s="612"/>
      <c r="P86" s="634" t="s">
        <v>630</v>
      </c>
      <c r="R86" s="595" t="n">
        <f aca="false">COUNT(E86:P86)</f>
        <v>9</v>
      </c>
      <c r="S86" s="595" t="n">
        <f aca="false">C86/R86</f>
        <v>3.22155555555556</v>
      </c>
      <c r="T86" s="595" t="n">
        <f aca="false">MATCH(S86,$C$134:$R$134,-1)</f>
        <v>12</v>
      </c>
      <c r="U86" s="595" t="n">
        <f aca="false">COUNTIFS(E86:P86,"&gt;="&amp;$D$3,E86:P86,"&lt;="&amp;$E$3)</f>
        <v>0</v>
      </c>
      <c r="V86" s="595" t="n">
        <f aca="false">COUNTIFS(E86:P86,"&lt;="&amp;$E$2)</f>
        <v>0</v>
      </c>
      <c r="W86" s="627" t="n">
        <f aca="false">MATCH($E86,$B$177:$Q$177,1)</f>
        <v>9</v>
      </c>
      <c r="X86" s="639" t="str">
        <f aca="false">CHOOSE(ROUNDUP((W86/2),0),$B$179,$D$179,$F$179,$H$179,$J$179,$L$179,$N$179,$P$179)</f>
        <v>IR+HC</v>
      </c>
      <c r="Y86" s="627" t="n">
        <f aca="false">MATCH($E86,$B$183:$S$183,1)</f>
        <v>9</v>
      </c>
      <c r="Z86" s="639" t="str">
        <f aca="false">CHOOSE(ROUNDUP((Y86/2),0),$B$185,$D$185,$F$185,$H$185,$J$185,$L$185,$N$185,$P$185,$R$185)</f>
        <v>Discharge</v>
      </c>
      <c r="AA86" s="640"/>
      <c r="AB86" s="0" t="str">
        <f aca="false">B86</f>
        <v>PECRM</v>
      </c>
    </row>
    <row r="87" customFormat="false" ht="10.15" hidden="false" customHeight="false" outlineLevel="0" collapsed="false">
      <c r="A87" s="641" t="str">
        <f aca="false">'Plant loading'!A83</f>
        <v>Rotherham</v>
      </c>
      <c r="B87" s="641" t="str">
        <f aca="false">'Plant loading'!B83</f>
        <v>PEDRM</v>
      </c>
      <c r="C87" s="642" t="n">
        <f aca="false">('Plant loading'!E83*54.5)/1000</f>
        <v>13.7885</v>
      </c>
      <c r="D87" s="643" t="str">
        <f aca="false">CHOOSE(T87,$C$130,$D$130,$E$130,$F$130,$G$130,$H$130,$I$130,$J$130,$K$130,$L$130,$M$130,$N$130,$O$130,$P$130,$Q$130,$R$130)</f>
        <v>8 hours</v>
      </c>
      <c r="E87" s="612" t="n">
        <v>44409</v>
      </c>
      <c r="F87" s="612" t="n">
        <v>44409</v>
      </c>
      <c r="G87" s="612" t="n">
        <v>44409</v>
      </c>
      <c r="H87" s="612" t="n">
        <v>44440</v>
      </c>
      <c r="I87" s="612" t="n">
        <v>44440</v>
      </c>
      <c r="J87" s="612" t="n">
        <v>44440</v>
      </c>
      <c r="K87" s="612" t="n">
        <v>44440</v>
      </c>
      <c r="L87" s="612" t="n">
        <v>44440</v>
      </c>
      <c r="M87" s="612" t="n">
        <v>44440</v>
      </c>
      <c r="N87" s="612"/>
      <c r="O87" s="612"/>
      <c r="P87" s="634" t="s">
        <v>630</v>
      </c>
      <c r="R87" s="595" t="n">
        <f aca="false">COUNT(E87:P87)</f>
        <v>9</v>
      </c>
      <c r="S87" s="595" t="n">
        <f aca="false">C87/R87</f>
        <v>1.53205555555556</v>
      </c>
      <c r="T87" s="595" t="n">
        <f aca="false">MATCH(S87,$C$134:$R$134,-1)</f>
        <v>16</v>
      </c>
      <c r="U87" s="595" t="n">
        <f aca="false">COUNTIFS(E87:P87,"&gt;="&amp;$D$3,E87:P87,"&lt;="&amp;$E$3)</f>
        <v>0</v>
      </c>
      <c r="V87" s="595" t="n">
        <f aca="false">COUNTIFS(E87:P87,"&lt;="&amp;$E$2)</f>
        <v>0</v>
      </c>
      <c r="W87" s="627" t="n">
        <f aca="false">MATCH($E87,$B$177:$Q$177,1)</f>
        <v>9</v>
      </c>
      <c r="X87" s="639" t="str">
        <f aca="false">CHOOSE(ROUNDUP((W87/2),0),$B$179,$D$179,$F$179,$H$179,$J$179,$L$179,$N$179,$P$179)</f>
        <v>IR+HC</v>
      </c>
      <c r="Y87" s="627" t="n">
        <f aca="false">MATCH($E87,$B$183:$S$183,1)</f>
        <v>9</v>
      </c>
      <c r="Z87" s="639" t="str">
        <f aca="false">CHOOSE(ROUNDUP((Y87/2),0),$B$185,$D$185,$F$185,$H$185,$J$185,$L$185,$N$185,$P$185,$R$185)</f>
        <v>Discharge</v>
      </c>
      <c r="AA87" s="640"/>
      <c r="AB87" s="0" t="str">
        <f aca="false">B87</f>
        <v>PEDRM</v>
      </c>
    </row>
    <row r="88" customFormat="false" ht="10.15" hidden="false" customHeight="false" outlineLevel="0" collapsed="false">
      <c r="A88" s="641" t="str">
        <f aca="false">'Plant loading'!A84</f>
        <v>Rotherham</v>
      </c>
      <c r="B88" s="641" t="str">
        <f aca="false">'Plant loading'!B84</f>
        <v>PEERM</v>
      </c>
      <c r="C88" s="642" t="n">
        <f aca="false">('Plant loading'!E84*54.5)/1000</f>
        <v>11.554</v>
      </c>
      <c r="D88" s="643" t="str">
        <f aca="false">CHOOSE(T88,$C$130,$D$130,$E$130,$F$130,$G$130,$H$130,$I$130,$J$130,$K$130,$L$130,$M$130,$N$130,$O$130,$P$130,$Q$130,$R$130)</f>
        <v>8 hours</v>
      </c>
      <c r="E88" s="612" t="n">
        <v>44440</v>
      </c>
      <c r="F88" s="612" t="n">
        <v>44440</v>
      </c>
      <c r="G88" s="612" t="n">
        <v>44440</v>
      </c>
      <c r="H88" s="612" t="n">
        <v>44440</v>
      </c>
      <c r="I88" s="612" t="n">
        <v>44440</v>
      </c>
      <c r="J88" s="612" t="n">
        <v>44440</v>
      </c>
      <c r="K88" s="612" t="n">
        <v>44440</v>
      </c>
      <c r="L88" s="612" t="n">
        <v>44440</v>
      </c>
      <c r="M88" s="612" t="n">
        <v>44440</v>
      </c>
      <c r="N88" s="612"/>
      <c r="O88" s="612"/>
      <c r="P88" s="634" t="s">
        <v>630</v>
      </c>
      <c r="R88" s="595" t="n">
        <f aca="false">COUNT(E88:P88)</f>
        <v>9</v>
      </c>
      <c r="S88" s="595" t="n">
        <f aca="false">C88/R88</f>
        <v>1.28377777777778</v>
      </c>
      <c r="T88" s="595" t="n">
        <f aca="false">MATCH(S88,$C$134:$R$134,-1)</f>
        <v>16</v>
      </c>
      <c r="U88" s="595" t="n">
        <f aca="false">COUNTIFS(E88:P88,"&gt;="&amp;$D$3,E88:P88,"&lt;="&amp;$E$3)</f>
        <v>0</v>
      </c>
      <c r="V88" s="595" t="n">
        <f aca="false">COUNTIFS(E88:P88,"&lt;="&amp;$E$2)</f>
        <v>0</v>
      </c>
      <c r="W88" s="627" t="n">
        <f aca="false">MATCH($E88,$B$177:$Q$177,1)</f>
        <v>9</v>
      </c>
      <c r="X88" s="639" t="str">
        <f aca="false">CHOOSE(ROUNDUP((W88/2),0),$B$179,$D$179,$F$179,$H$179,$J$179,$L$179,$N$179,$P$179)</f>
        <v>IR+HC</v>
      </c>
      <c r="Y88" s="627" t="n">
        <f aca="false">MATCH($E88,$B$183:$S$183,1)</f>
        <v>9</v>
      </c>
      <c r="Z88" s="639" t="str">
        <f aca="false">CHOOSE(ROUNDUP((Y88/2),0),$B$185,$D$185,$F$185,$H$185,$J$185,$L$185,$N$185,$P$185,$R$185)</f>
        <v>Discharge</v>
      </c>
      <c r="AA88" s="640"/>
      <c r="AB88" s="0" t="str">
        <f aca="false">B88</f>
        <v>PEERM</v>
      </c>
    </row>
    <row r="89" customFormat="false" ht="10.15" hidden="false" customHeight="false" outlineLevel="0" collapsed="false">
      <c r="A89" s="621" t="str">
        <f aca="false">'Plant loading'!A85</f>
        <v>Southampton</v>
      </c>
      <c r="B89" s="621" t="str">
        <f aca="false">'Plant loading'!B85</f>
        <v>PEASN</v>
      </c>
      <c r="C89" s="622" t="n">
        <f aca="false">('Plant loading'!E85*54.5)/1000</f>
        <v>19.4565</v>
      </c>
      <c r="D89" s="623" t="str">
        <f aca="false">CHOOSE(T89,$C$130,$D$130,$E$130,$F$130,$G$130,$H$130,$I$130,$J$130,$K$130,$L$130,$M$130,$N$130,$O$130,$P$130,$Q$130,$R$130)</f>
        <v>6 hours</v>
      </c>
      <c r="E89" s="624" t="n">
        <v>44136</v>
      </c>
      <c r="F89" s="624" t="n">
        <v>44136</v>
      </c>
      <c r="G89" s="624" t="n">
        <v>44136</v>
      </c>
      <c r="H89" s="624" t="n">
        <v>44136</v>
      </c>
      <c r="I89" s="624" t="n">
        <v>44136</v>
      </c>
      <c r="J89" s="624" t="n">
        <v>44136</v>
      </c>
      <c r="K89" s="624" t="n">
        <v>44136</v>
      </c>
      <c r="L89" s="624" t="n">
        <v>44136</v>
      </c>
      <c r="M89" s="624" t="n">
        <v>44136</v>
      </c>
      <c r="N89" s="624"/>
      <c r="O89" s="624"/>
      <c r="P89" s="626" t="s">
        <v>630</v>
      </c>
      <c r="R89" s="595" t="n">
        <f aca="false">COUNT(E89:P89)</f>
        <v>9</v>
      </c>
      <c r="S89" s="595" t="n">
        <f aca="false">C89/R89</f>
        <v>2.16183333333333</v>
      </c>
      <c r="T89" s="595" t="n">
        <f aca="false">MATCH(S89,$C$134:$R$134,-1)</f>
        <v>14</v>
      </c>
      <c r="U89" s="595" t="n">
        <f aca="false">COUNTIFS(E89:P89,"&gt;="&amp;$D$3,E89:P89,"&lt;="&amp;$E$3)</f>
        <v>0</v>
      </c>
      <c r="V89" s="595" t="n">
        <f aca="false">COUNTIFS(E89:P89,"&lt;="&amp;$E$2)</f>
        <v>0</v>
      </c>
      <c r="W89" s="627" t="n">
        <f aca="false">MATCH($E89,$B$177:$Q$177,1)</f>
        <v>7</v>
      </c>
      <c r="X89" s="628" t="str">
        <f aca="false">CHOOSE(ROUNDUP((W89/2),0),$B$179,$D$179,$F$179,$H$179,$J$179,$L$179,$N$179,$P$179)</f>
        <v>Discharge</v>
      </c>
      <c r="Y89" s="627" t="n">
        <f aca="false">MATCH($E89,$B$183:$S$183,1)</f>
        <v>7</v>
      </c>
      <c r="Z89" s="628" t="str">
        <f aca="false">CHOOSE(ROUNDUP((Y89/2),0),$B$185,$D$185,$F$185,$H$185,$J$185,$L$185,$N$185,$P$185,$R$185)</f>
        <v>IR+HC</v>
      </c>
      <c r="AA89" s="629" t="str">
        <f aca="false">A89</f>
        <v>Southampton</v>
      </c>
      <c r="AB89" s="0" t="str">
        <f aca="false">B89</f>
        <v>PEASN</v>
      </c>
    </row>
    <row r="90" customFormat="false" ht="10.15" hidden="false" customHeight="false" outlineLevel="0" collapsed="false">
      <c r="A90" s="630" t="str">
        <f aca="false">'Plant loading'!A86</f>
        <v>Southampton</v>
      </c>
      <c r="B90" s="630" t="str">
        <f aca="false">'Plant loading'!B86</f>
        <v>PEBSN</v>
      </c>
      <c r="C90" s="631" t="n">
        <f aca="false">('Plant loading'!E86*54.5)/1000</f>
        <v>26.596</v>
      </c>
      <c r="D90" s="632" t="str">
        <f aca="false">CHOOSE(T90,$C$130,$D$130,$E$130,$F$130,$G$130,$H$130,$I$130,$J$130,$K$130,$L$130,$M$130,$N$130,$O$130,$P$130,$Q$130,$R$130)</f>
        <v>4 hours</v>
      </c>
      <c r="E90" s="612" t="n">
        <v>44136</v>
      </c>
      <c r="F90" s="612" t="n">
        <v>44136</v>
      </c>
      <c r="G90" s="612" t="n">
        <v>44136</v>
      </c>
      <c r="H90" s="612" t="n">
        <v>44136</v>
      </c>
      <c r="I90" s="612" t="n">
        <v>44136</v>
      </c>
      <c r="J90" s="612" t="n">
        <v>44136</v>
      </c>
      <c r="K90" s="612" t="n">
        <v>44136</v>
      </c>
      <c r="L90" s="612" t="n">
        <v>44136</v>
      </c>
      <c r="M90" s="612" t="n">
        <v>44136</v>
      </c>
      <c r="N90" s="612"/>
      <c r="O90" s="612"/>
      <c r="P90" s="634" t="s">
        <v>630</v>
      </c>
      <c r="R90" s="595" t="n">
        <f aca="false">COUNT(E90:P90)</f>
        <v>9</v>
      </c>
      <c r="S90" s="595" t="n">
        <f aca="false">C90/R90</f>
        <v>2.95511111111111</v>
      </c>
      <c r="T90" s="595" t="n">
        <f aca="false">MATCH(S90,$C$134:$R$134,-1)</f>
        <v>12</v>
      </c>
      <c r="U90" s="595" t="n">
        <f aca="false">COUNTIFS(E90:P90,"&gt;="&amp;$D$3,E90:P90,"&lt;="&amp;$E$3)</f>
        <v>0</v>
      </c>
      <c r="V90" s="595" t="n">
        <f aca="false">COUNTIFS(E90:P90,"&lt;="&amp;$E$2)</f>
        <v>0</v>
      </c>
      <c r="W90" s="627" t="n">
        <f aca="false">MATCH($E90,$B$177:$Q$177,1)</f>
        <v>7</v>
      </c>
      <c r="X90" s="628" t="str">
        <f aca="false">CHOOSE(ROUNDUP((W90/2),0),$B$179,$D$179,$F$179,$H$179,$J$179,$L$179,$N$179,$P$179)</f>
        <v>Discharge</v>
      </c>
      <c r="Y90" s="627" t="n">
        <f aca="false">MATCH($E90,$B$183:$S$183,1)</f>
        <v>7</v>
      </c>
      <c r="Z90" s="628" t="str">
        <f aca="false">CHOOSE(ROUNDUP((Y90/2),0),$B$185,$D$185,$F$185,$H$185,$J$185,$L$185,$N$185,$P$185,$R$185)</f>
        <v>IR+HC</v>
      </c>
      <c r="AA90" s="629"/>
      <c r="AB90" s="0" t="str">
        <f aca="false">B90</f>
        <v>PEBSN</v>
      </c>
    </row>
    <row r="91" customFormat="false" ht="10.15" hidden="false" customHeight="false" outlineLevel="0" collapsed="false">
      <c r="A91" s="630" t="str">
        <f aca="false">'Plant loading'!A87</f>
        <v>Southampton</v>
      </c>
      <c r="B91" s="630" t="str">
        <f aca="false">'Plant loading'!B87</f>
        <v>PECSN</v>
      </c>
      <c r="C91" s="631" t="n">
        <f aca="false">('Plant loading'!E87*54.5)/1000</f>
        <v>24.4705</v>
      </c>
      <c r="D91" s="632" t="str">
        <f aca="false">CHOOSE(T91,$C$130,$D$130,$E$130,$F$130,$G$130,$H$130,$I$130,$J$130,$K$130,$L$130,$M$130,$N$130,$O$130,$P$130,$Q$130,$R$130)</f>
        <v>5 hours</v>
      </c>
      <c r="E91" s="612" t="n">
        <v>44136</v>
      </c>
      <c r="F91" s="612" t="n">
        <v>44136</v>
      </c>
      <c r="G91" s="612" t="n">
        <v>44136</v>
      </c>
      <c r="H91" s="612" t="n">
        <v>44136</v>
      </c>
      <c r="I91" s="612" t="n">
        <v>44136</v>
      </c>
      <c r="J91" s="612" t="n">
        <v>44136</v>
      </c>
      <c r="K91" s="612" t="n">
        <v>44136</v>
      </c>
      <c r="L91" s="612" t="n">
        <v>44136</v>
      </c>
      <c r="M91" s="612" t="n">
        <v>44136</v>
      </c>
      <c r="N91" s="612"/>
      <c r="O91" s="612"/>
      <c r="P91" s="634" t="s">
        <v>630</v>
      </c>
      <c r="R91" s="595" t="n">
        <f aca="false">COUNT(E91:P91)</f>
        <v>9</v>
      </c>
      <c r="S91" s="595" t="n">
        <f aca="false">C91/R91</f>
        <v>2.71894444444444</v>
      </c>
      <c r="T91" s="595" t="n">
        <f aca="false">MATCH(S91,$C$134:$R$134,-1)</f>
        <v>13</v>
      </c>
      <c r="U91" s="595" t="n">
        <f aca="false">COUNTIFS(E91:P91,"&gt;="&amp;$D$3,E91:P91,"&lt;="&amp;$E$3)</f>
        <v>0</v>
      </c>
      <c r="V91" s="595" t="n">
        <f aca="false">COUNTIFS(E91:P91,"&lt;="&amp;$E$2)</f>
        <v>0</v>
      </c>
      <c r="W91" s="627" t="n">
        <f aca="false">MATCH($E91,$B$177:$Q$177,1)</f>
        <v>7</v>
      </c>
      <c r="X91" s="628" t="str">
        <f aca="false">CHOOSE(ROUNDUP((W91/2),0),$B$179,$D$179,$F$179,$H$179,$J$179,$L$179,$N$179,$P$179)</f>
        <v>Discharge</v>
      </c>
      <c r="Y91" s="627" t="n">
        <f aca="false">MATCH($E91,$B$183:$S$183,1)</f>
        <v>7</v>
      </c>
      <c r="Z91" s="628" t="str">
        <f aca="false">CHOOSE(ROUNDUP((Y91/2),0),$B$185,$D$185,$F$185,$H$185,$J$185,$L$185,$N$185,$P$185,$R$185)</f>
        <v>IR+HC</v>
      </c>
      <c r="AA91" s="629"/>
      <c r="AB91" s="0" t="str">
        <f aca="false">B91</f>
        <v>PECSN</v>
      </c>
    </row>
    <row r="92" customFormat="false" ht="10.15" hidden="false" customHeight="false" outlineLevel="0" collapsed="false">
      <c r="A92" s="630" t="str">
        <f aca="false">'Plant loading'!A88</f>
        <v>Southampton</v>
      </c>
      <c r="B92" s="630" t="str">
        <f aca="false">'Plant loading'!B88</f>
        <v>PEESN</v>
      </c>
      <c r="C92" s="631" t="n">
        <f aca="false">('Plant loading'!E88*54.5)/1000</f>
        <v>17.1675</v>
      </c>
      <c r="D92" s="632" t="str">
        <f aca="false">CHOOSE(T92,$C$130,$D$130,$E$130,$F$130,$G$130,$H$130,$I$130,$J$130,$K$130,$L$130,$M$130,$N$130,$O$130,$P$130,$Q$130,$R$130)</f>
        <v>8 hours</v>
      </c>
      <c r="E92" s="612" t="n">
        <v>44136</v>
      </c>
      <c r="F92" s="612" t="n">
        <v>44136</v>
      </c>
      <c r="G92" s="612" t="n">
        <v>44136</v>
      </c>
      <c r="H92" s="612" t="n">
        <v>44136</v>
      </c>
      <c r="I92" s="612" t="n">
        <v>44136</v>
      </c>
      <c r="J92" s="612" t="n">
        <v>44136</v>
      </c>
      <c r="K92" s="612" t="n">
        <v>44136</v>
      </c>
      <c r="L92" s="612" t="n">
        <v>44136</v>
      </c>
      <c r="M92" s="612" t="n">
        <v>44136</v>
      </c>
      <c r="N92" s="612"/>
      <c r="O92" s="612"/>
      <c r="P92" s="634" t="s">
        <v>630</v>
      </c>
      <c r="R92" s="595" t="n">
        <f aca="false">COUNT(E92:P92)</f>
        <v>9</v>
      </c>
      <c r="S92" s="595" t="n">
        <f aca="false">C92/R92</f>
        <v>1.9075</v>
      </c>
      <c r="T92" s="595" t="n">
        <f aca="false">MATCH(S92,$C$134:$R$134,-1)</f>
        <v>16</v>
      </c>
      <c r="U92" s="595" t="n">
        <f aca="false">COUNTIFS(E92:P92,"&gt;="&amp;$D$3,E92:P92,"&lt;="&amp;$E$3)</f>
        <v>0</v>
      </c>
      <c r="V92" s="595" t="n">
        <f aca="false">COUNTIFS(E92:P92,"&lt;="&amp;$E$2)</f>
        <v>0</v>
      </c>
      <c r="W92" s="627" t="n">
        <f aca="false">MATCH($E92,$B$177:$Q$177,1)</f>
        <v>7</v>
      </c>
      <c r="X92" s="628" t="str">
        <f aca="false">CHOOSE(ROUNDUP((W92/2),0),$B$179,$D$179,$F$179,$H$179,$J$179,$L$179,$N$179,$P$179)</f>
        <v>Discharge</v>
      </c>
      <c r="Y92" s="627" t="n">
        <f aca="false">MATCH($E92,$B$183:$S$183,1)</f>
        <v>7</v>
      </c>
      <c r="Z92" s="628" t="str">
        <f aca="false">CHOOSE(ROUNDUP((Y92/2),0),$B$185,$D$185,$F$185,$H$185,$J$185,$L$185,$N$185,$P$185,$R$185)</f>
        <v>IR+HC</v>
      </c>
      <c r="AA92" s="629"/>
      <c r="AB92" s="0" t="str">
        <f aca="false">B92</f>
        <v>PEESN</v>
      </c>
    </row>
    <row r="93" customFormat="false" ht="10.15" hidden="false" customHeight="false" outlineLevel="0" collapsed="false">
      <c r="A93" s="636" t="str">
        <f aca="false">'Plant loading'!A89</f>
        <v>Swanley</v>
      </c>
      <c r="B93" s="636" t="str">
        <f aca="false">'Plant loading'!B89</f>
        <v>PEASY</v>
      </c>
      <c r="C93" s="637" t="n">
        <f aca="false">('Plant loading'!E89*54.5)/1000</f>
        <v>29.3755</v>
      </c>
      <c r="D93" s="638" t="str">
        <f aca="false">CHOOSE(T93,$C$130,$D$130,$E$130,$F$130,$G$130,$H$130,$I$130,$J$130,$K$130,$L$130,$M$130,$N$130,$O$130,$P$130,$Q$130,$R$130)</f>
        <v>4 hours</v>
      </c>
      <c r="E93" s="624" t="n">
        <v>44562</v>
      </c>
      <c r="F93" s="624" t="n">
        <v>44562</v>
      </c>
      <c r="G93" s="624" t="n">
        <v>44562</v>
      </c>
      <c r="H93" s="624" t="n">
        <v>44562</v>
      </c>
      <c r="I93" s="624" t="n">
        <v>44562</v>
      </c>
      <c r="J93" s="624" t="n">
        <v>44562</v>
      </c>
      <c r="K93" s="624" t="n">
        <v>44562</v>
      </c>
      <c r="L93" s="624" t="n">
        <v>44562</v>
      </c>
      <c r="M93" s="624" t="n">
        <v>44562</v>
      </c>
      <c r="N93" s="624"/>
      <c r="O93" s="624"/>
      <c r="P93" s="626" t="s">
        <v>630</v>
      </c>
      <c r="R93" s="595" t="n">
        <f aca="false">COUNT(E93:P93)</f>
        <v>9</v>
      </c>
      <c r="S93" s="595" t="n">
        <f aca="false">C93/R93</f>
        <v>3.26394444444444</v>
      </c>
      <c r="T93" s="595" t="n">
        <f aca="false">MATCH(S93,$C$134:$R$134,-1)</f>
        <v>12</v>
      </c>
      <c r="U93" s="595" t="n">
        <f aca="false">COUNTIFS(E93:P93,"&gt;="&amp;$D$3,E93:P93,"&lt;="&amp;$E$3)</f>
        <v>0</v>
      </c>
      <c r="V93" s="595" t="n">
        <f aca="false">COUNTIFS(E93:P93,"&lt;="&amp;$E$2)</f>
        <v>0</v>
      </c>
      <c r="W93" s="627" t="n">
        <f aca="false">MATCH($E93,$B$177:$Q$177,1)</f>
        <v>9</v>
      </c>
      <c r="X93" s="639" t="str">
        <f aca="false">CHOOSE(ROUNDUP((W93/2),0),$B$179,$D$179,$F$179,$H$179,$J$179,$L$179,$N$179,$P$179)</f>
        <v>IR+HC</v>
      </c>
      <c r="Y93" s="627" t="n">
        <f aca="false">MATCH($E93,$B$183:$S$183,1)</f>
        <v>9</v>
      </c>
      <c r="Z93" s="639" t="str">
        <f aca="false">CHOOSE(ROUNDUP((Y93/2),0),$B$185,$D$185,$F$185,$H$185,$J$185,$L$185,$N$185,$P$185,$R$185)</f>
        <v>Discharge</v>
      </c>
      <c r="AA93" s="640" t="str">
        <f aca="false">A93</f>
        <v>Swanley</v>
      </c>
      <c r="AB93" s="0" t="str">
        <f aca="false">B93</f>
        <v>PEASY</v>
      </c>
    </row>
    <row r="94" customFormat="false" ht="10.15" hidden="false" customHeight="false" outlineLevel="0" collapsed="false">
      <c r="A94" s="641" t="str">
        <f aca="false">'Plant loading'!A90</f>
        <v>Swanley</v>
      </c>
      <c r="B94" s="641" t="str">
        <f aca="false">'Plant loading'!B90</f>
        <v>PEBSY</v>
      </c>
      <c r="C94" s="642" t="n">
        <f aca="false">('Plant loading'!E90*54.5)/1000</f>
        <v>25.179</v>
      </c>
      <c r="D94" s="643" t="str">
        <f aca="false">CHOOSE(T94,$C$130,$D$130,$E$130,$F$130,$G$130,$H$130,$I$130,$J$130,$K$130,$L$130,$M$130,$N$130,$O$130,$P$130,$Q$130,$R$130)</f>
        <v>5 hours</v>
      </c>
      <c r="E94" s="612" t="n">
        <v>44562</v>
      </c>
      <c r="F94" s="612" t="n">
        <v>44562</v>
      </c>
      <c r="G94" s="612" t="n">
        <v>44562</v>
      </c>
      <c r="H94" s="612" t="n">
        <v>44562</v>
      </c>
      <c r="I94" s="612" t="n">
        <v>44562</v>
      </c>
      <c r="J94" s="612" t="n">
        <v>44562</v>
      </c>
      <c r="K94" s="612" t="n">
        <v>44562</v>
      </c>
      <c r="L94" s="612" t="n">
        <v>44562</v>
      </c>
      <c r="M94" s="612" t="n">
        <v>44562</v>
      </c>
      <c r="N94" s="612"/>
      <c r="O94" s="612"/>
      <c r="P94" s="634" t="s">
        <v>630</v>
      </c>
      <c r="R94" s="595" t="n">
        <f aca="false">COUNT(E94:P94)</f>
        <v>9</v>
      </c>
      <c r="S94" s="595" t="n">
        <f aca="false">C94/R94</f>
        <v>2.79766666666667</v>
      </c>
      <c r="T94" s="595" t="n">
        <f aca="false">MATCH(S94,$C$134:$R$134,-1)</f>
        <v>13</v>
      </c>
      <c r="U94" s="595" t="n">
        <f aca="false">COUNTIFS(E94:P94,"&gt;="&amp;$D$3,E94:P94,"&lt;="&amp;$E$3)</f>
        <v>0</v>
      </c>
      <c r="V94" s="595" t="n">
        <f aca="false">COUNTIFS(E94:P94,"&lt;="&amp;$E$2)</f>
        <v>0</v>
      </c>
      <c r="W94" s="627" t="n">
        <f aca="false">MATCH($E94,$B$177:$Q$177,1)</f>
        <v>9</v>
      </c>
      <c r="X94" s="639" t="str">
        <f aca="false">CHOOSE(ROUNDUP((W94/2),0),$B$179,$D$179,$F$179,$H$179,$J$179,$L$179,$N$179,$P$179)</f>
        <v>IR+HC</v>
      </c>
      <c r="Y94" s="627" t="n">
        <f aca="false">MATCH($E94,$B$183:$S$183,1)</f>
        <v>9</v>
      </c>
      <c r="Z94" s="639" t="str">
        <f aca="false">CHOOSE(ROUNDUP((Y94/2),0),$B$185,$D$185,$F$185,$H$185,$J$185,$L$185,$N$185,$P$185,$R$185)</f>
        <v>Discharge</v>
      </c>
      <c r="AA94" s="640"/>
      <c r="AB94" s="0" t="str">
        <f aca="false">B94</f>
        <v>PEBSY</v>
      </c>
    </row>
    <row r="95" customFormat="false" ht="10.15" hidden="false" customHeight="false" outlineLevel="0" collapsed="false">
      <c r="A95" s="641" t="str">
        <f aca="false">'Plant loading'!A91</f>
        <v>Swanley</v>
      </c>
      <c r="B95" s="641" t="str">
        <f aca="false">'Plant loading'!B91</f>
        <v>PECSY</v>
      </c>
      <c r="C95" s="642" t="n">
        <f aca="false">('Plant loading'!E91*54.5)/1000</f>
        <v>21.6365</v>
      </c>
      <c r="D95" s="643" t="str">
        <f aca="false">CHOOSE(T95,$C$130,$D$130,$E$130,$F$130,$G$130,$H$130,$I$130,$J$130,$K$130,$L$130,$M$130,$N$130,$O$130,$P$130,$Q$130,$R$130)</f>
        <v>6 hours</v>
      </c>
      <c r="E95" s="612" t="n">
        <v>44562</v>
      </c>
      <c r="F95" s="612" t="n">
        <v>44562</v>
      </c>
      <c r="G95" s="612" t="n">
        <v>44562</v>
      </c>
      <c r="H95" s="612" t="n">
        <v>44562</v>
      </c>
      <c r="I95" s="612" t="n">
        <v>44562</v>
      </c>
      <c r="J95" s="612" t="n">
        <v>44562</v>
      </c>
      <c r="K95" s="612" t="n">
        <v>44562</v>
      </c>
      <c r="L95" s="612" t="n">
        <v>44562</v>
      </c>
      <c r="M95" s="612" t="n">
        <v>44562</v>
      </c>
      <c r="N95" s="612"/>
      <c r="O95" s="612"/>
      <c r="P95" s="634" t="s">
        <v>630</v>
      </c>
      <c r="R95" s="595" t="n">
        <f aca="false">COUNT(E95:P95)</f>
        <v>9</v>
      </c>
      <c r="S95" s="595" t="n">
        <f aca="false">C95/R95</f>
        <v>2.40405555555556</v>
      </c>
      <c r="T95" s="595" t="n">
        <f aca="false">MATCH(S95,$C$134:$R$134,-1)</f>
        <v>14</v>
      </c>
      <c r="U95" s="595" t="n">
        <f aca="false">COUNTIFS(E95:P95,"&gt;="&amp;$D$3,E95:P95,"&lt;="&amp;$E$3)</f>
        <v>0</v>
      </c>
      <c r="V95" s="595" t="n">
        <f aca="false">COUNTIFS(E95:P95,"&lt;="&amp;$E$2)</f>
        <v>0</v>
      </c>
      <c r="W95" s="627" t="n">
        <f aca="false">MATCH($E95,$B$177:$Q$177,1)</f>
        <v>9</v>
      </c>
      <c r="X95" s="639" t="str">
        <f aca="false">CHOOSE(ROUNDUP((W95/2),0),$B$179,$D$179,$F$179,$H$179,$J$179,$L$179,$N$179,$P$179)</f>
        <v>IR+HC</v>
      </c>
      <c r="Y95" s="627" t="n">
        <f aca="false">MATCH($E95,$B$183:$S$183,1)</f>
        <v>9</v>
      </c>
      <c r="Z95" s="639" t="str">
        <f aca="false">CHOOSE(ROUNDUP((Y95/2),0),$B$185,$D$185,$F$185,$H$185,$J$185,$L$185,$N$185,$P$185,$R$185)</f>
        <v>Discharge</v>
      </c>
      <c r="AA95" s="640"/>
      <c r="AB95" s="0" t="str">
        <f aca="false">B95</f>
        <v>PECSY</v>
      </c>
    </row>
    <row r="96" customFormat="false" ht="10.15" hidden="false" customHeight="false" outlineLevel="0" collapsed="false">
      <c r="A96" s="641" t="str">
        <f aca="false">'Plant loading'!A92</f>
        <v>Swanley</v>
      </c>
      <c r="B96" s="641" t="str">
        <f aca="false">'Plant loading'!B92</f>
        <v>PEDSY</v>
      </c>
      <c r="C96" s="642" t="n">
        <f aca="false">('Plant loading'!E92*54.5)/1000</f>
        <v>15.369</v>
      </c>
      <c r="D96" s="643" t="str">
        <f aca="false">CHOOSE(T96,$C$130,$D$130,$E$130,$F$130,$G$130,$H$130,$I$130,$J$130,$K$130,$L$130,$M$130,$N$130,$O$130,$P$130,$Q$130,$R$130)</f>
        <v>8 hours</v>
      </c>
      <c r="E96" s="612" t="n">
        <v>44562</v>
      </c>
      <c r="F96" s="612" t="n">
        <v>44562</v>
      </c>
      <c r="G96" s="612" t="n">
        <v>44562</v>
      </c>
      <c r="H96" s="612" t="n">
        <v>44562</v>
      </c>
      <c r="I96" s="612" t="n">
        <v>44562</v>
      </c>
      <c r="J96" s="612" t="n">
        <v>44562</v>
      </c>
      <c r="K96" s="612" t="n">
        <v>44562</v>
      </c>
      <c r="L96" s="612" t="n">
        <v>44562</v>
      </c>
      <c r="M96" s="612" t="n">
        <v>44562</v>
      </c>
      <c r="N96" s="612"/>
      <c r="O96" s="612"/>
      <c r="P96" s="634" t="s">
        <v>630</v>
      </c>
      <c r="R96" s="595" t="n">
        <f aca="false">COUNT(E96:P96)</f>
        <v>9</v>
      </c>
      <c r="S96" s="595" t="n">
        <f aca="false">C96/R96</f>
        <v>1.70766666666667</v>
      </c>
      <c r="T96" s="595" t="n">
        <f aca="false">MATCH(S96,$C$134:$R$134,-1)</f>
        <v>16</v>
      </c>
      <c r="U96" s="595" t="n">
        <f aca="false">COUNTIFS(E96:P96,"&gt;="&amp;$D$3,E96:P96,"&lt;="&amp;$E$3)</f>
        <v>0</v>
      </c>
      <c r="V96" s="595" t="n">
        <f aca="false">COUNTIFS(E96:P96,"&lt;="&amp;$E$2)</f>
        <v>0</v>
      </c>
      <c r="W96" s="627" t="n">
        <f aca="false">MATCH($E96,$B$177:$Q$177,1)</f>
        <v>9</v>
      </c>
      <c r="X96" s="639" t="str">
        <f aca="false">CHOOSE(ROUNDUP((W96/2),0),$B$179,$D$179,$F$179,$H$179,$J$179,$L$179,$N$179,$P$179)</f>
        <v>IR+HC</v>
      </c>
      <c r="Y96" s="627" t="n">
        <f aca="false">MATCH($E96,$B$183:$S$183,1)</f>
        <v>9</v>
      </c>
      <c r="Z96" s="639" t="str">
        <f aca="false">CHOOSE(ROUNDUP((Y96/2),0),$B$185,$D$185,$F$185,$H$185,$J$185,$L$185,$N$185,$P$185,$R$185)</f>
        <v>Discharge</v>
      </c>
      <c r="AA96" s="640"/>
      <c r="AB96" s="0" t="str">
        <f aca="false">B96</f>
        <v>PEDSY</v>
      </c>
    </row>
    <row r="97" customFormat="false" ht="10.15" hidden="false" customHeight="false" outlineLevel="0" collapsed="false">
      <c r="A97" s="641" t="str">
        <f aca="false">'Plant loading'!A93</f>
        <v>Swanley</v>
      </c>
      <c r="B97" s="641" t="str">
        <f aca="false">'Plant loading'!B93</f>
        <v>PEESY</v>
      </c>
      <c r="C97" s="642" t="n">
        <f aca="false">('Plant loading'!E93*54.5)/1000</f>
        <v>17.2765</v>
      </c>
      <c r="D97" s="643" t="str">
        <f aca="false">CHOOSE(T97,$C$130,$D$130,$E$130,$F$130,$G$130,$H$130,$I$130,$J$130,$K$130,$L$130,$M$130,$N$130,$O$130,$P$130,$Q$130,$R$130)</f>
        <v>5 hours</v>
      </c>
      <c r="E97" s="612" t="n">
        <v>44562</v>
      </c>
      <c r="F97" s="612" t="n">
        <v>44562</v>
      </c>
      <c r="G97" s="612" t="n">
        <v>44562</v>
      </c>
      <c r="H97" s="612" t="n">
        <v>44562</v>
      </c>
      <c r="I97" s="612" t="n">
        <v>44562</v>
      </c>
      <c r="J97" s="612" t="n">
        <v>44562</v>
      </c>
      <c r="K97" s="612" t="n">
        <v>44562</v>
      </c>
      <c r="L97" s="612"/>
      <c r="M97" s="612"/>
      <c r="N97" s="612"/>
      <c r="O97" s="612"/>
      <c r="P97" s="634" t="s">
        <v>630</v>
      </c>
      <c r="R97" s="595" t="n">
        <f aca="false">COUNT(E97:P97)</f>
        <v>7</v>
      </c>
      <c r="S97" s="595" t="n">
        <f aca="false">C97/R97</f>
        <v>2.46807142857143</v>
      </c>
      <c r="T97" s="595" t="n">
        <f aca="false">MATCH(S97,$C$134:$R$134,-1)</f>
        <v>13</v>
      </c>
      <c r="U97" s="595" t="n">
        <f aca="false">COUNTIFS(E97:P97,"&gt;="&amp;$D$3,E97:P97,"&lt;="&amp;$E$3)</f>
        <v>0</v>
      </c>
      <c r="V97" s="595" t="n">
        <f aca="false">COUNTIFS(E97:P97,"&lt;="&amp;$E$2)</f>
        <v>0</v>
      </c>
      <c r="W97" s="627" t="n">
        <f aca="false">MATCH($E97,$B$177:$Q$177,1)</f>
        <v>9</v>
      </c>
      <c r="X97" s="639" t="str">
        <f aca="false">CHOOSE(ROUNDUP((W97/2),0),$B$179,$D$179,$F$179,$H$179,$J$179,$L$179,$N$179,$P$179)</f>
        <v>IR+HC</v>
      </c>
      <c r="Y97" s="627" t="n">
        <f aca="false">MATCH($E97,$B$183:$S$183,1)</f>
        <v>9</v>
      </c>
      <c r="Z97" s="639" t="str">
        <f aca="false">CHOOSE(ROUNDUP((Y97/2),0),$B$185,$D$185,$F$185,$H$185,$J$185,$L$185,$N$185,$P$185,$R$185)</f>
        <v>Discharge</v>
      </c>
      <c r="AA97" s="640"/>
      <c r="AB97" s="0" t="str">
        <f aca="false">B97</f>
        <v>PEESY</v>
      </c>
    </row>
    <row r="98" customFormat="false" ht="10.15" hidden="false" customHeight="false" outlineLevel="0" collapsed="false">
      <c r="A98" s="621" t="str">
        <f aca="false">'Plant loading'!A94</f>
        <v>Bristol</v>
      </c>
      <c r="B98" s="621" t="str">
        <f aca="false">'Plant loading'!B94</f>
        <v>PEFBL</v>
      </c>
      <c r="C98" s="622" t="n">
        <f aca="false">('Plant loading'!E94*54.5)/1000</f>
        <v>23.762</v>
      </c>
      <c r="D98" s="623" t="str">
        <f aca="false">CHOOSE(T98,$C$130,$D$130,$E$130,$F$130,$G$130,$H$130,$I$130,$J$130,$K$130,$L$130,$M$130,$N$130,$O$130,$P$130,$Q$130,$R$130)</f>
        <v>5 hours</v>
      </c>
      <c r="E98" s="624" t="n">
        <v>44501</v>
      </c>
      <c r="F98" s="624" t="n">
        <v>44501</v>
      </c>
      <c r="G98" s="624" t="n">
        <v>44501</v>
      </c>
      <c r="H98" s="624" t="n">
        <v>44501</v>
      </c>
      <c r="I98" s="624" t="n">
        <v>44501</v>
      </c>
      <c r="J98" s="624" t="n">
        <v>44501</v>
      </c>
      <c r="K98" s="624" t="n">
        <v>44501</v>
      </c>
      <c r="L98" s="624" t="n">
        <v>44501</v>
      </c>
      <c r="M98" s="624" t="n">
        <v>44501</v>
      </c>
      <c r="N98" s="624"/>
      <c r="O98" s="624"/>
      <c r="P98" s="626" t="s">
        <v>630</v>
      </c>
      <c r="R98" s="595" t="n">
        <f aca="false">COUNT(E98:P98)</f>
        <v>9</v>
      </c>
      <c r="S98" s="595" t="n">
        <f aca="false">C98/R98</f>
        <v>2.64022222222222</v>
      </c>
      <c r="T98" s="595" t="n">
        <f aca="false">MATCH(S98,$C$134:$R$134,-1)</f>
        <v>13</v>
      </c>
      <c r="U98" s="595" t="n">
        <f aca="false">COUNTIFS(E98:P98,"&gt;="&amp;$D$3,E98:P98,"&lt;="&amp;$E$3)</f>
        <v>0</v>
      </c>
      <c r="V98" s="595" t="n">
        <f aca="false">COUNTIFS(E98:P98,"&lt;="&amp;$E$2)</f>
        <v>0</v>
      </c>
      <c r="W98" s="627" t="n">
        <f aca="false">MATCH($E98,$B$177:$Q$177,1)</f>
        <v>9</v>
      </c>
      <c r="X98" s="628" t="str">
        <f aca="false">CHOOSE(ROUNDUP((W98/2),0),$B$179,$D$179,$F$179,$H$179,$J$179,$L$179,$N$179,$P$179)</f>
        <v>IR+HC</v>
      </c>
      <c r="Y98" s="627" t="n">
        <f aca="false">MATCH($E98,$B$183:$S$183,1)</f>
        <v>9</v>
      </c>
      <c r="Z98" s="628" t="str">
        <f aca="false">CHOOSE(ROUNDUP((Y98/2),0),$B$185,$D$185,$F$185,$H$185,$J$185,$L$185,$N$185,$P$185,$R$185)</f>
        <v>Discharge</v>
      </c>
      <c r="AA98" s="654" t="str">
        <f aca="false">A98</f>
        <v>Bristol</v>
      </c>
      <c r="AB98" s="0" t="str">
        <f aca="false">B98</f>
        <v>PEFBL</v>
      </c>
    </row>
    <row r="99" customFormat="false" ht="10.15" hidden="false" customHeight="false" outlineLevel="0" collapsed="false">
      <c r="A99" s="630" t="str">
        <f aca="false">'Plant loading'!A95</f>
        <v>Bristol</v>
      </c>
      <c r="B99" s="630" t="str">
        <f aca="false">'Plant loading'!B95</f>
        <v>PEHBL</v>
      </c>
      <c r="C99" s="631" t="n">
        <f aca="false">('Plant loading'!E95*54.5)/1000</f>
        <v>17.4945</v>
      </c>
      <c r="D99" s="632" t="str">
        <f aca="false">CHOOSE(T99,$C$130,$D$130,$E$130,$F$130,$G$130,$H$130,$I$130,$J$130,$K$130,$L$130,$M$130,$N$130,$O$130,$P$130,$Q$130,$R$130)</f>
        <v>8 hours</v>
      </c>
      <c r="E99" s="612" t="n">
        <v>44531</v>
      </c>
      <c r="F99" s="612" t="n">
        <v>44531</v>
      </c>
      <c r="G99" s="612" t="n">
        <v>44531</v>
      </c>
      <c r="H99" s="612" t="n">
        <v>44531</v>
      </c>
      <c r="I99" s="612" t="n">
        <v>44531</v>
      </c>
      <c r="J99" s="612" t="n">
        <v>44531</v>
      </c>
      <c r="K99" s="612" t="n">
        <v>44531</v>
      </c>
      <c r="L99" s="612" t="n">
        <v>44531</v>
      </c>
      <c r="M99" s="612" t="n">
        <v>44531</v>
      </c>
      <c r="N99" s="612"/>
      <c r="O99" s="612"/>
      <c r="P99" s="634" t="s">
        <v>630</v>
      </c>
      <c r="R99" s="595" t="n">
        <f aca="false">COUNT(E99:P99)</f>
        <v>9</v>
      </c>
      <c r="S99" s="595" t="n">
        <f aca="false">C99/R99</f>
        <v>1.94383333333333</v>
      </c>
      <c r="T99" s="595" t="n">
        <f aca="false">MATCH(S99,$C$134:$R$134,-1)</f>
        <v>16</v>
      </c>
      <c r="U99" s="595" t="n">
        <f aca="false">COUNTIFS(E99:P99,"&gt;="&amp;$D$3,E99:P99,"&lt;="&amp;$E$3)</f>
        <v>0</v>
      </c>
      <c r="V99" s="595" t="n">
        <f aca="false">COUNTIFS(E99:P99,"&lt;="&amp;$E$2)</f>
        <v>0</v>
      </c>
      <c r="W99" s="627" t="n">
        <f aca="false">MATCH($E99,$B$177:$Q$177,1)</f>
        <v>9</v>
      </c>
      <c r="X99" s="628" t="str">
        <f aca="false">CHOOSE(ROUNDUP((W99/2),0),$B$179,$D$179,$F$179,$H$179,$J$179,$L$179,$N$179,$P$179)</f>
        <v>IR+HC</v>
      </c>
      <c r="Y99" s="627" t="n">
        <f aca="false">MATCH($E99,$B$183:$S$183,1)</f>
        <v>9</v>
      </c>
      <c r="Z99" s="628" t="str">
        <f aca="false">CHOOSE(ROUNDUP((Y99/2),0),$B$185,$D$185,$F$185,$H$185,$J$185,$L$185,$N$185,$P$185,$R$185)</f>
        <v>Discharge</v>
      </c>
      <c r="AA99" s="654"/>
      <c r="AB99" s="0" t="str">
        <f aca="false">B99</f>
        <v>PEHBL</v>
      </c>
    </row>
    <row r="100" customFormat="false" ht="10.15" hidden="false" customHeight="false" outlineLevel="0" collapsed="false">
      <c r="A100" s="636" t="str">
        <f aca="false">'Plant loading'!A96</f>
        <v>Cardiff</v>
      </c>
      <c r="B100" s="636" t="str">
        <f aca="false">'Plant loading'!B96</f>
        <v>PECCF</v>
      </c>
      <c r="C100" s="637" t="n">
        <f aca="false">('Plant loading'!E96*54.5)/1000</f>
        <v>19.2385</v>
      </c>
      <c r="D100" s="638" t="str">
        <f aca="false">CHOOSE(T100,$C$130,$D$130,$E$130,$F$130,$G$130,$H$130,$I$130,$J$130,$K$130,$L$130,$M$130,$N$130,$O$130,$P$130,$Q$130,$R$130)</f>
        <v>3 hours</v>
      </c>
      <c r="E100" s="624" t="n">
        <v>45597</v>
      </c>
      <c r="F100" s="624" t="n">
        <v>45597</v>
      </c>
      <c r="G100" s="624" t="n">
        <v>45597</v>
      </c>
      <c r="H100" s="624" t="n">
        <v>45597</v>
      </c>
      <c r="I100" s="624" t="n">
        <v>45597</v>
      </c>
      <c r="J100" s="624"/>
      <c r="K100" s="624"/>
      <c r="L100" s="624"/>
      <c r="M100" s="624"/>
      <c r="N100" s="624"/>
      <c r="O100" s="624"/>
      <c r="P100" s="626" t="s">
        <v>630</v>
      </c>
      <c r="R100" s="595" t="n">
        <f aca="false">COUNT(E100:P100)</f>
        <v>5</v>
      </c>
      <c r="S100" s="595" t="n">
        <f aca="false">C100/R100</f>
        <v>3.8477</v>
      </c>
      <c r="T100" s="595" t="n">
        <f aca="false">MATCH(S100,$C$134:$R$134,-1)</f>
        <v>11</v>
      </c>
      <c r="U100" s="595" t="n">
        <f aca="false">COUNTIFS(E100:P100,"&gt;="&amp;$D$3,E100:P100,"&lt;="&amp;$E$3)</f>
        <v>0</v>
      </c>
      <c r="V100" s="595" t="n">
        <f aca="false">COUNTIFS(E100:P100,"&lt;="&amp;$E$2)</f>
        <v>0</v>
      </c>
      <c r="W100" s="627" t="n">
        <f aca="false">MATCH($E100,$B$177:$Q$177,1)</f>
        <v>15</v>
      </c>
      <c r="X100" s="639" t="str">
        <f aca="false">CHOOSE(ROUNDUP((W100/2),0),$B$179,$D$179,$F$179,$H$179,$J$179,$L$179,$N$179,$P$179)</f>
        <v>New</v>
      </c>
      <c r="Y100" s="627" t="n">
        <f aca="false">MATCH($E100,$B$183:$S$183,1)</f>
        <v>15</v>
      </c>
      <c r="Z100" s="639" t="str">
        <f aca="false">CHOOSE(ROUNDUP((Y100/2),0),$B$185,$D$185,$F$185,$H$185,$J$185,$L$185,$N$185,$P$185,$R$185)</f>
        <v>IR+HC</v>
      </c>
      <c r="AA100" s="640" t="str">
        <f aca="false">A100</f>
        <v>Cardiff</v>
      </c>
      <c r="AB100" s="0" t="str">
        <f aca="false">B100</f>
        <v>PECCF</v>
      </c>
    </row>
    <row r="101" customFormat="false" ht="10.15" hidden="false" customHeight="false" outlineLevel="0" collapsed="false">
      <c r="A101" s="641" t="str">
        <f aca="false">'Plant loading'!A97</f>
        <v>Cardiff</v>
      </c>
      <c r="B101" s="641" t="str">
        <f aca="false">'Plant loading'!B97</f>
        <v>PEDCF</v>
      </c>
      <c r="C101" s="642" t="n">
        <f aca="false">('Plant loading'!E97*54.5)/1000</f>
        <v>9.156</v>
      </c>
      <c r="D101" s="643" t="str">
        <f aca="false">CHOOSE(T101,$C$130,$D$130,$E$130,$F$130,$G$130,$H$130,$I$130,$J$130,$K$130,$L$130,$M$130,$N$130,$O$130,$P$130,$Q$130,$R$130)</f>
        <v>8 hours</v>
      </c>
      <c r="E101" s="612" t="n">
        <v>44896</v>
      </c>
      <c r="F101" s="612" t="n">
        <v>44896</v>
      </c>
      <c r="G101" s="612" t="n">
        <v>44896</v>
      </c>
      <c r="H101" s="612" t="n">
        <v>44896</v>
      </c>
      <c r="I101" s="612" t="n">
        <v>44896</v>
      </c>
      <c r="J101" s="612"/>
      <c r="K101" s="612"/>
      <c r="L101" s="612"/>
      <c r="M101" s="612"/>
      <c r="N101" s="612"/>
      <c r="O101" s="612"/>
      <c r="P101" s="634" t="s">
        <v>630</v>
      </c>
      <c r="R101" s="595" t="n">
        <f aca="false">COUNT(E101:J101)</f>
        <v>5</v>
      </c>
      <c r="S101" s="595" t="n">
        <f aca="false">C101/R101</f>
        <v>1.8312</v>
      </c>
      <c r="T101" s="595" t="n">
        <f aca="false">MATCH(S101,$C$134:$R$134,-1)</f>
        <v>16</v>
      </c>
      <c r="U101" s="595" t="n">
        <f aca="false">COUNTIFS(E101:J101,"&gt;="&amp;$D$3,E101:J101,"&lt;="&amp;$E$3)</f>
        <v>0</v>
      </c>
      <c r="V101" s="595" t="n">
        <f aca="false">COUNTIFS(E101:J101,"&lt;="&amp;$E$2)</f>
        <v>0</v>
      </c>
      <c r="W101" s="627" t="n">
        <f aca="false">MATCH($E101,$B$177:$Q$177,1)</f>
        <v>11</v>
      </c>
      <c r="X101" s="639" t="str">
        <f aca="false">CHOOSE(ROUNDUP((W101/2),0),$B$179,$D$179,$F$179,$H$179,$J$179,$L$179,$N$179,$P$179)</f>
        <v>Discharge</v>
      </c>
      <c r="Y101" s="627" t="n">
        <f aca="false">MATCH($E101,$B$183:$S$183,1)</f>
        <v>11</v>
      </c>
      <c r="Z101" s="639" t="str">
        <f aca="false">CHOOSE(ROUNDUP((Y101/2),0),$B$185,$D$185,$F$185,$H$185,$J$185,$L$185,$N$185,$P$185,$R$185)</f>
        <v>IR+HC</v>
      </c>
      <c r="AA101" s="640"/>
      <c r="AB101" s="0" t="str">
        <f aca="false">B101</f>
        <v>PEDCF</v>
      </c>
    </row>
    <row r="102" customFormat="false" ht="10.15" hidden="false" customHeight="false" outlineLevel="0" collapsed="false">
      <c r="A102" s="641" t="str">
        <f aca="false">'Plant loading'!A98</f>
        <v>Cardiff</v>
      </c>
      <c r="B102" s="641" t="str">
        <f aca="false">'Plant loading'!B98</f>
        <v>PEECF</v>
      </c>
      <c r="C102" s="642" t="n">
        <f aca="false">('Plant loading'!E98*54.5)/1000</f>
        <v>11.118</v>
      </c>
      <c r="D102" s="643" t="str">
        <f aca="false">CHOOSE(T102,$C$130,$D$130,$E$130,$F$130,$G$130,$H$130,$I$130,$J$130,$K$130,$L$130,$M$130,$N$130,$O$130,$P$130,$Q$130,$R$130)</f>
        <v>6 hours</v>
      </c>
      <c r="E102" s="612" t="n">
        <v>44896</v>
      </c>
      <c r="F102" s="612" t="n">
        <v>44896</v>
      </c>
      <c r="G102" s="612" t="n">
        <v>44896</v>
      </c>
      <c r="H102" s="612" t="n">
        <v>44896</v>
      </c>
      <c r="I102" s="612" t="n">
        <v>44896</v>
      </c>
      <c r="J102" s="612"/>
      <c r="K102" s="612"/>
      <c r="L102" s="612"/>
      <c r="M102" s="612"/>
      <c r="N102" s="612"/>
      <c r="O102" s="612"/>
      <c r="P102" s="634" t="s">
        <v>630</v>
      </c>
      <c r="R102" s="595" t="n">
        <f aca="false">COUNT(E102:P102)</f>
        <v>5</v>
      </c>
      <c r="S102" s="595" t="n">
        <f aca="false">C102/R102</f>
        <v>2.2236</v>
      </c>
      <c r="T102" s="595" t="n">
        <f aca="false">MATCH(S102,$C$134:$R$134,-1)</f>
        <v>14</v>
      </c>
      <c r="U102" s="595" t="n">
        <f aca="false">COUNTIFS(E102:P102,"&gt;="&amp;$D$3,E102:P102,"&lt;="&amp;$E$3)</f>
        <v>0</v>
      </c>
      <c r="V102" s="595" t="n">
        <f aca="false">COUNTIFS(E102:P102,"&lt;="&amp;$E$2)</f>
        <v>0</v>
      </c>
      <c r="W102" s="627" t="n">
        <f aca="false">MATCH($E102,$B$177:$Q$177,1)</f>
        <v>11</v>
      </c>
      <c r="X102" s="639" t="str">
        <f aca="false">CHOOSE(ROUNDUP((W102/2),0),$B$179,$D$179,$F$179,$H$179,$J$179,$L$179,$N$179,$P$179)</f>
        <v>Discharge</v>
      </c>
      <c r="Y102" s="627" t="n">
        <f aca="false">MATCH($E102,$B$183:$S$183,1)</f>
        <v>11</v>
      </c>
      <c r="Z102" s="639" t="str">
        <f aca="false">CHOOSE(ROUNDUP((Y102/2),0),$B$185,$D$185,$F$185,$H$185,$J$185,$L$185,$N$185,$P$185,$R$185)</f>
        <v>IR+HC</v>
      </c>
      <c r="AA102" s="640"/>
      <c r="AB102" s="0" t="str">
        <f aca="false">B102</f>
        <v>PEECF</v>
      </c>
    </row>
    <row r="103" customFormat="false" ht="10.15" hidden="false" customHeight="false" outlineLevel="0" collapsed="false">
      <c r="A103" s="621" t="str">
        <f aca="false">'Plant loading'!A99</f>
        <v>Carlisle</v>
      </c>
      <c r="B103" s="621" t="str">
        <f aca="false">'Plant loading'!B99</f>
        <v>PEACE</v>
      </c>
      <c r="C103" s="622" t="n">
        <f aca="false">('Plant loading'!E99*54.5)/1000</f>
        <v>20.5465</v>
      </c>
      <c r="D103" s="623" t="str">
        <f aca="false">CHOOSE(T103,$C$130,$D$130,$E$130,$F$130,$G$130,$H$130,$I$130,$J$130,$K$130,$L$130,$M$130,$N$130,$O$130,$P$130,$Q$130,$R$130)</f>
        <v>6 hours</v>
      </c>
      <c r="E103" s="624" t="n">
        <v>45108</v>
      </c>
      <c r="F103" s="624" t="n">
        <v>45108</v>
      </c>
      <c r="G103" s="624" t="n">
        <v>45108</v>
      </c>
      <c r="H103" s="624" t="n">
        <v>45108</v>
      </c>
      <c r="I103" s="624" t="n">
        <v>45108</v>
      </c>
      <c r="J103" s="624" t="n">
        <v>45108</v>
      </c>
      <c r="K103" s="624" t="n">
        <v>45108</v>
      </c>
      <c r="L103" s="624" t="n">
        <v>45108</v>
      </c>
      <c r="M103" s="624" t="n">
        <v>45108</v>
      </c>
      <c r="N103" s="624"/>
      <c r="O103" s="624"/>
      <c r="P103" s="626" t="s">
        <v>630</v>
      </c>
      <c r="R103" s="595" t="n">
        <f aca="false">COUNT(E103:P103)</f>
        <v>9</v>
      </c>
      <c r="S103" s="595" t="n">
        <f aca="false">C103/R103</f>
        <v>2.28294444444444</v>
      </c>
      <c r="T103" s="595" t="n">
        <f aca="false">MATCH(S103,$C$134:$R$134,-1)</f>
        <v>14</v>
      </c>
      <c r="U103" s="595" t="n">
        <f aca="false">COUNTIFS(E103:P103,"&gt;="&amp;$D$3,E103:P103,"&lt;="&amp;$E$3)</f>
        <v>0</v>
      </c>
      <c r="V103" s="595" t="n">
        <f aca="false">COUNTIFS(E103:P103,"&lt;="&amp;$E$2)</f>
        <v>0</v>
      </c>
      <c r="W103" s="627" t="n">
        <f aca="false">MATCH($E103,$B$177:$Q$177,1)</f>
        <v>13</v>
      </c>
      <c r="X103" s="628" t="str">
        <f aca="false">CHOOSE(ROUNDUP((W103/2),0),$B$179,$D$179,$F$179,$H$179,$J$179,$L$179,$N$179,$P$179)</f>
        <v>IR+HC</v>
      </c>
      <c r="Y103" s="627" t="n">
        <f aca="false">MATCH($E103,$B$183:$S$183,1)</f>
        <v>13</v>
      </c>
      <c r="Z103" s="628" t="str">
        <f aca="false">CHOOSE(ROUNDUP((Y103/2),0),$B$185,$D$185,$F$185,$H$185,$J$185,$L$185,$N$185,$P$185,$R$185)</f>
        <v>Discharge</v>
      </c>
      <c r="AA103" s="629" t="str">
        <f aca="false">A103</f>
        <v>Carlisle</v>
      </c>
      <c r="AB103" s="0" t="str">
        <f aca="false">B103</f>
        <v>PEACE</v>
      </c>
    </row>
    <row r="104" customFormat="false" ht="10.15" hidden="false" customHeight="false" outlineLevel="0" collapsed="false">
      <c r="A104" s="630" t="str">
        <f aca="false">'Plant loading'!A100</f>
        <v>Carlisle</v>
      </c>
      <c r="B104" s="630" t="str">
        <f aca="false">'Plant loading'!B100</f>
        <v>PEBCE</v>
      </c>
      <c r="C104" s="631" t="n">
        <f aca="false">('Plant loading'!E100*54.5)/1000</f>
        <v>23.544</v>
      </c>
      <c r="D104" s="632" t="str">
        <f aca="false">CHOOSE(T104,$C$130,$D$130,$E$130,$F$130,$G$130,$H$130,$I$130,$J$130,$K$130,$L$130,$M$130,$N$130,$O$130,$P$130,$Q$130,$R$130)</f>
        <v>5 hours</v>
      </c>
      <c r="E104" s="612" t="n">
        <v>45108</v>
      </c>
      <c r="F104" s="612" t="n">
        <v>45108</v>
      </c>
      <c r="G104" s="612" t="n">
        <v>45108</v>
      </c>
      <c r="H104" s="612" t="n">
        <v>45108</v>
      </c>
      <c r="I104" s="612" t="n">
        <v>45108</v>
      </c>
      <c r="J104" s="612" t="n">
        <v>45108</v>
      </c>
      <c r="K104" s="612" t="n">
        <v>45108</v>
      </c>
      <c r="L104" s="612" t="n">
        <v>45108</v>
      </c>
      <c r="M104" s="612" t="n">
        <v>45108</v>
      </c>
      <c r="N104" s="612"/>
      <c r="O104" s="612"/>
      <c r="P104" s="634" t="s">
        <v>630</v>
      </c>
      <c r="R104" s="595" t="n">
        <f aca="false">COUNT(E104:P104)</f>
        <v>9</v>
      </c>
      <c r="S104" s="595" t="n">
        <f aca="false">C104/R104</f>
        <v>2.616</v>
      </c>
      <c r="T104" s="595" t="n">
        <f aca="false">MATCH(S104,$C$134:$R$134,-1)</f>
        <v>13</v>
      </c>
      <c r="U104" s="595" t="n">
        <f aca="false">COUNTIFS(E104:P104,"&gt;="&amp;$D$3,E104:P104,"&lt;="&amp;$E$3)</f>
        <v>0</v>
      </c>
      <c r="V104" s="595" t="n">
        <f aca="false">COUNTIFS(E104:P104,"&lt;="&amp;$E$2)</f>
        <v>0</v>
      </c>
      <c r="W104" s="627" t="n">
        <f aca="false">MATCH($E104,$B$177:$Q$177,1)</f>
        <v>13</v>
      </c>
      <c r="X104" s="628" t="str">
        <f aca="false">CHOOSE(ROUNDUP((W104/2),0),$B$179,$D$179,$F$179,$H$179,$J$179,$L$179,$N$179,$P$179)</f>
        <v>IR+HC</v>
      </c>
      <c r="Y104" s="627" t="n">
        <f aca="false">MATCH($E104,$B$183:$S$183,1)</f>
        <v>13</v>
      </c>
      <c r="Z104" s="628" t="str">
        <f aca="false">CHOOSE(ROUNDUP((Y104/2),0),$B$185,$D$185,$F$185,$H$185,$J$185,$L$185,$N$185,$P$185,$R$185)</f>
        <v>Discharge</v>
      </c>
      <c r="AA104" s="629"/>
      <c r="AB104" s="0" t="str">
        <f aca="false">B104</f>
        <v>PEBCE</v>
      </c>
    </row>
    <row r="105" customFormat="false" ht="10.15" hidden="false" customHeight="false" outlineLevel="0" collapsed="false">
      <c r="A105" s="636" t="str">
        <f aca="false">'Plant loading'!A101</f>
        <v>Croydon</v>
      </c>
      <c r="B105" s="636" t="str">
        <f aca="false">'Plant loading'!B101</f>
        <v>PEFCN</v>
      </c>
      <c r="C105" s="637" t="n">
        <f aca="false">('Plant loading'!E101*54.5)/1000</f>
        <v>14.2245</v>
      </c>
      <c r="D105" s="638" t="str">
        <f aca="false">CHOOSE(T105,$C$130,$D$130,$E$130,$F$130,$G$130,$H$130,$I$130,$J$130,$K$130,$L$130,$M$130,$N$130,$O$130,$P$130,$Q$130,$R$130)</f>
        <v>8 hours</v>
      </c>
      <c r="E105" s="624" t="n">
        <v>44896</v>
      </c>
      <c r="F105" s="624" t="n">
        <v>44896</v>
      </c>
      <c r="G105" s="624" t="n">
        <v>44896</v>
      </c>
      <c r="H105" s="624" t="n">
        <v>44896</v>
      </c>
      <c r="I105" s="624" t="n">
        <v>44896</v>
      </c>
      <c r="J105" s="624" t="n">
        <v>44896</v>
      </c>
      <c r="K105" s="624" t="n">
        <v>44896</v>
      </c>
      <c r="L105" s="624" t="n">
        <v>44896</v>
      </c>
      <c r="M105" s="624" t="n">
        <v>44896</v>
      </c>
      <c r="N105" s="624"/>
      <c r="O105" s="624"/>
      <c r="P105" s="626" t="s">
        <v>630</v>
      </c>
      <c r="R105" s="595" t="n">
        <f aca="false">COUNT(E105:P105)</f>
        <v>9</v>
      </c>
      <c r="S105" s="595" t="n">
        <f aca="false">C105/R105</f>
        <v>1.5805</v>
      </c>
      <c r="T105" s="595" t="n">
        <f aca="false">MATCH(S105,$C$134:$R$134,-1)</f>
        <v>16</v>
      </c>
      <c r="U105" s="595" t="n">
        <f aca="false">COUNTIFS(E105:P105,"&gt;="&amp;$D$3,E105:P105,"&lt;="&amp;$E$3)</f>
        <v>0</v>
      </c>
      <c r="V105" s="595" t="n">
        <f aca="false">COUNTIFS(E105:P105,"&lt;="&amp;$E$2)</f>
        <v>0</v>
      </c>
      <c r="W105" s="627" t="n">
        <f aca="false">MATCH($E105,$B$177:$Q$177,1)</f>
        <v>11</v>
      </c>
      <c r="X105" s="639" t="str">
        <f aca="false">CHOOSE(ROUNDUP((W105/2),0),$B$179,$D$179,$F$179,$H$179,$J$179,$L$179,$N$179,$P$179)</f>
        <v>Discharge</v>
      </c>
      <c r="Y105" s="627" t="n">
        <f aca="false">MATCH($E105,$B$183:$S$183,1)</f>
        <v>11</v>
      </c>
      <c r="Z105" s="639" t="str">
        <f aca="false">CHOOSE(ROUNDUP((Y105/2),0),$B$185,$D$185,$F$185,$H$185,$J$185,$L$185,$N$185,$P$185,$R$185)</f>
        <v>IR+HC</v>
      </c>
      <c r="AA105" s="640" t="str">
        <f aca="false">A105</f>
        <v>Croydon</v>
      </c>
      <c r="AB105" s="0" t="str">
        <f aca="false">B105</f>
        <v>PEFCN</v>
      </c>
    </row>
    <row r="106" customFormat="false" ht="10.15" hidden="false" customHeight="false" outlineLevel="0" collapsed="false">
      <c r="A106" s="641" t="str">
        <f aca="false">'Plant loading'!A102</f>
        <v>Croydon</v>
      </c>
      <c r="B106" s="641" t="str">
        <f aca="false">'Plant loading'!B102</f>
        <v>PEGCN</v>
      </c>
      <c r="C106" s="642" t="n">
        <f aca="false">('Plant loading'!E102*54.5)/1000</f>
        <v>18.9115</v>
      </c>
      <c r="D106" s="643" t="str">
        <f aca="false">CHOOSE(T106,$C$130,$D$130,$E$130,$F$130,$G$130,$H$130,$I$130,$J$130,$K$130,$L$130,$M$130,$N$130,$O$130,$P$130,$Q$130,$R$130)</f>
        <v>7 hours</v>
      </c>
      <c r="E106" s="612" t="n">
        <v>44896</v>
      </c>
      <c r="F106" s="612" t="n">
        <v>44896</v>
      </c>
      <c r="G106" s="612" t="n">
        <v>44896</v>
      </c>
      <c r="H106" s="612" t="n">
        <v>44896</v>
      </c>
      <c r="I106" s="612" t="n">
        <v>44896</v>
      </c>
      <c r="J106" s="612" t="n">
        <v>44896</v>
      </c>
      <c r="K106" s="612" t="n">
        <v>44896</v>
      </c>
      <c r="L106" s="612" t="n">
        <v>44896</v>
      </c>
      <c r="M106" s="612" t="n">
        <v>44896</v>
      </c>
      <c r="N106" s="612"/>
      <c r="O106" s="612"/>
      <c r="P106" s="634" t="s">
        <v>630</v>
      </c>
      <c r="R106" s="595" t="n">
        <f aca="false">COUNT(E106:P106)</f>
        <v>9</v>
      </c>
      <c r="S106" s="595" t="n">
        <f aca="false">C106/R106</f>
        <v>2.10127777777778</v>
      </c>
      <c r="T106" s="595" t="n">
        <f aca="false">MATCH(S106,$C$134:$R$134,-1)</f>
        <v>15</v>
      </c>
      <c r="U106" s="595" t="n">
        <f aca="false">COUNTIFS(E106:P106,"&gt;="&amp;$D$3,E106:P106,"&lt;="&amp;$E$3)</f>
        <v>0</v>
      </c>
      <c r="V106" s="595" t="n">
        <f aca="false">COUNTIFS(E106:P106,"&lt;="&amp;$E$2)</f>
        <v>0</v>
      </c>
      <c r="W106" s="627" t="n">
        <f aca="false">MATCH($E106,$B$177:$Q$177,1)</f>
        <v>11</v>
      </c>
      <c r="X106" s="639" t="str">
        <f aca="false">CHOOSE(ROUNDUP((W106/2),0),$B$179,$D$179,$F$179,$H$179,$J$179,$L$179,$N$179,$P$179)</f>
        <v>Discharge</v>
      </c>
      <c r="Y106" s="627" t="n">
        <f aca="false">MATCH($E106,$B$183:$S$183,1)</f>
        <v>11</v>
      </c>
      <c r="Z106" s="639" t="str">
        <f aca="false">CHOOSE(ROUNDUP((Y106/2),0),$B$185,$D$185,$F$185,$H$185,$J$185,$L$185,$N$185,$P$185,$R$185)</f>
        <v>IR+HC</v>
      </c>
      <c r="AA106" s="640"/>
      <c r="AB106" s="0" t="str">
        <f aca="false">B106</f>
        <v>PEGCN</v>
      </c>
    </row>
    <row r="107" customFormat="false" ht="10.15" hidden="false" customHeight="false" outlineLevel="0" collapsed="false">
      <c r="A107" s="621" t="str">
        <f aca="false">'Plant loading'!A103</f>
        <v>Glasgow TXO</v>
      </c>
      <c r="B107" s="621" t="str">
        <f aca="false">'Plant loading'!B103</f>
        <v>PEJGW</v>
      </c>
      <c r="C107" s="622" t="n">
        <f aca="false">('Plant loading'!E103*54.5)/1000</f>
        <v>5.014</v>
      </c>
      <c r="D107" s="623" t="str">
        <f aca="false">CHOOSE(T107,$C$130,$D$130,$E$130,$F$130,$G$130,$H$130,$I$130,$J$130,$K$130,$L$130,$M$130,$N$130,$O$130,$P$130,$Q$130,$R$130)</f>
        <v>5 hours</v>
      </c>
      <c r="E107" s="624" t="n">
        <v>44440</v>
      </c>
      <c r="F107" s="624" t="n">
        <v>44440</v>
      </c>
      <c r="G107" s="624"/>
      <c r="H107" s="624"/>
      <c r="I107" s="624"/>
      <c r="J107" s="624"/>
      <c r="K107" s="624"/>
      <c r="L107" s="624"/>
      <c r="M107" s="624"/>
      <c r="N107" s="624"/>
      <c r="O107" s="624"/>
      <c r="P107" s="626" t="s">
        <v>630</v>
      </c>
      <c r="R107" s="595" t="n">
        <f aca="false">COUNT(E107:P107)</f>
        <v>2</v>
      </c>
      <c r="S107" s="595" t="n">
        <f aca="false">C107/R107</f>
        <v>2.507</v>
      </c>
      <c r="T107" s="595" t="n">
        <f aca="false">MATCH(S107,$C$134:$R$134,-1)</f>
        <v>13</v>
      </c>
      <c r="U107" s="595" t="n">
        <f aca="false">COUNTIFS(E107:P107,"&gt;="&amp;$D$3,E107:P107,"&lt;="&amp;$E$3)</f>
        <v>0</v>
      </c>
      <c r="V107" s="595" t="n">
        <f aca="false">COUNTIFS(E107:P107,"&lt;="&amp;$E$2)</f>
        <v>0</v>
      </c>
      <c r="W107" s="627" t="n">
        <f aca="false">MATCH($E107,$B$177:$Q$177,1)</f>
        <v>9</v>
      </c>
      <c r="X107" s="628" t="str">
        <f aca="false">CHOOSE(ROUNDUP((W107/2),0),$B$179,$D$179,$F$179,$H$179,$J$179,$L$179,$N$179,$P$179)</f>
        <v>IR+HC</v>
      </c>
      <c r="Y107" s="627" t="n">
        <f aca="false">MATCH($E107,$B$183:$S$183,1)</f>
        <v>9</v>
      </c>
      <c r="Z107" s="628" t="str">
        <f aca="false">CHOOSE(ROUNDUP((Y107/2),0),$B$185,$D$185,$F$185,$H$185,$J$185,$L$185,$N$185,$P$185,$R$185)</f>
        <v>Discharge</v>
      </c>
      <c r="AA107" s="629" t="str">
        <f aca="false">A107</f>
        <v>Glasgow TXO</v>
      </c>
      <c r="AB107" s="0" t="str">
        <f aca="false">B107</f>
        <v>PEJGW</v>
      </c>
    </row>
    <row r="108" customFormat="false" ht="10.15" hidden="false" customHeight="false" outlineLevel="0" collapsed="false">
      <c r="A108" s="630" t="str">
        <f aca="false">'Plant loading'!A104</f>
        <v>Glasgow TXO</v>
      </c>
      <c r="B108" s="630" t="str">
        <f aca="false">'Plant loading'!B104</f>
        <v>PEKGW</v>
      </c>
      <c r="C108" s="631" t="n">
        <f aca="false">('Plant loading'!E104*54.5)/1000</f>
        <v>4.7415</v>
      </c>
      <c r="D108" s="632" t="str">
        <f aca="false">CHOOSE(T108,$C$130,$D$130,$E$130,$F$130,$G$130,$H$130,$I$130,$J$130,$K$130,$L$130,$M$130,$N$130,$O$130,$P$130,$Q$130,$R$130)</f>
        <v>6 hours</v>
      </c>
      <c r="E108" s="612" t="n">
        <v>44440</v>
      </c>
      <c r="F108" s="612" t="n">
        <v>44440</v>
      </c>
      <c r="G108" s="612"/>
      <c r="H108" s="612"/>
      <c r="I108" s="612"/>
      <c r="J108" s="612"/>
      <c r="K108" s="612"/>
      <c r="L108" s="612"/>
      <c r="M108" s="612"/>
      <c r="N108" s="612"/>
      <c r="O108" s="612"/>
      <c r="P108" s="634" t="s">
        <v>630</v>
      </c>
      <c r="R108" s="595" t="n">
        <f aca="false">COUNT(E108:P108)</f>
        <v>2</v>
      </c>
      <c r="S108" s="595" t="n">
        <f aca="false">C108/R108</f>
        <v>2.37075</v>
      </c>
      <c r="T108" s="595" t="n">
        <f aca="false">MATCH(S108,$C$134:$R$134,-1)</f>
        <v>14</v>
      </c>
      <c r="U108" s="595" t="n">
        <f aca="false">COUNTIFS(E108:P108,"&gt;="&amp;$D$3,E108:P108,"&lt;="&amp;$E$3)</f>
        <v>0</v>
      </c>
      <c r="V108" s="595" t="n">
        <f aca="false">COUNTIFS(E108:P108,"&lt;="&amp;$E$2)</f>
        <v>0</v>
      </c>
      <c r="W108" s="627" t="n">
        <f aca="false">MATCH($E108,$B$177:$Q$177,1)</f>
        <v>9</v>
      </c>
      <c r="X108" s="628" t="str">
        <f aca="false">CHOOSE(ROUNDUP((W108/2),0),$B$179,$D$179,$F$179,$H$179,$J$179,$L$179,$N$179,$P$179)</f>
        <v>IR+HC</v>
      </c>
      <c r="Y108" s="627" t="n">
        <f aca="false">MATCH($E108,$B$183:$S$183,1)</f>
        <v>9</v>
      </c>
      <c r="Z108" s="628" t="str">
        <f aca="false">CHOOSE(ROUNDUP((Y108/2),0),$B$185,$D$185,$F$185,$H$185,$J$185,$L$185,$N$185,$P$185,$R$185)</f>
        <v>Discharge</v>
      </c>
      <c r="AA108" s="629"/>
      <c r="AB108" s="0" t="str">
        <f aca="false">B108</f>
        <v>PEKGW</v>
      </c>
    </row>
    <row r="109" customFormat="false" ht="10.15" hidden="false" customHeight="false" outlineLevel="0" collapsed="false">
      <c r="A109" s="636" t="str">
        <f aca="false">'Plant loading'!A105</f>
        <v>Leicester</v>
      </c>
      <c r="B109" s="636" t="str">
        <f aca="false">'Plant loading'!B105</f>
        <v>PEFLR</v>
      </c>
      <c r="C109" s="637" t="n">
        <f aca="false">('Plant loading'!E105*54.5)/1000</f>
        <v>29.757</v>
      </c>
      <c r="D109" s="638" t="str">
        <f aca="false">CHOOSE(T109,$C$130,$D$130,$E$130,$F$130,$G$130,$H$130,$I$130,$J$130,$K$130,$L$130,$M$130,$N$130,$O$130,$P$130,$Q$130,$R$130)</f>
        <v>4 hours</v>
      </c>
      <c r="E109" s="624" t="n">
        <v>44531</v>
      </c>
      <c r="F109" s="624" t="n">
        <v>44531</v>
      </c>
      <c r="G109" s="624" t="n">
        <v>44531</v>
      </c>
      <c r="H109" s="624" t="n">
        <v>44531</v>
      </c>
      <c r="I109" s="624" t="n">
        <v>44531</v>
      </c>
      <c r="J109" s="624" t="n">
        <v>44531</v>
      </c>
      <c r="K109" s="624" t="n">
        <v>44531</v>
      </c>
      <c r="L109" s="624" t="n">
        <v>44531</v>
      </c>
      <c r="M109" s="624" t="n">
        <v>44531</v>
      </c>
      <c r="N109" s="624"/>
      <c r="O109" s="624"/>
      <c r="P109" s="626" t="s">
        <v>630</v>
      </c>
      <c r="R109" s="595" t="n">
        <f aca="false">COUNT(E109:P109)</f>
        <v>9</v>
      </c>
      <c r="S109" s="595" t="n">
        <f aca="false">C109/R109</f>
        <v>3.30633333333333</v>
      </c>
      <c r="T109" s="595" t="n">
        <f aca="false">MATCH(S109,$C$134:$R$134,-1)</f>
        <v>12</v>
      </c>
      <c r="U109" s="595" t="n">
        <f aca="false">COUNTIFS(E109:P109,"&gt;="&amp;$D$3,E109:P109,"&lt;="&amp;$E$3)</f>
        <v>0</v>
      </c>
      <c r="V109" s="595" t="n">
        <f aca="false">COUNTIFS(E109:P109,"&lt;="&amp;$E$2)</f>
        <v>0</v>
      </c>
      <c r="W109" s="627" t="n">
        <f aca="false">MATCH($E109,$B$177:$Q$177,1)</f>
        <v>9</v>
      </c>
      <c r="X109" s="639" t="str">
        <f aca="false">CHOOSE(ROUNDUP((W109/2),0),$B$179,$D$179,$F$179,$H$179,$J$179,$L$179,$N$179,$P$179)</f>
        <v>IR+HC</v>
      </c>
      <c r="Y109" s="627" t="n">
        <f aca="false">MATCH($E109,$B$183:$S$183,1)</f>
        <v>9</v>
      </c>
      <c r="Z109" s="639" t="str">
        <f aca="false">CHOOSE(ROUNDUP((Y109/2),0),$B$185,$D$185,$F$185,$H$185,$J$185,$L$185,$N$185,$P$185,$R$185)</f>
        <v>Discharge</v>
      </c>
      <c r="AA109" s="640" t="str">
        <f aca="false">A109</f>
        <v>Leicester</v>
      </c>
      <c r="AB109" s="0" t="str">
        <f aca="false">B109</f>
        <v>PEFLR</v>
      </c>
    </row>
    <row r="110" customFormat="false" ht="10.15" hidden="false" customHeight="false" outlineLevel="0" collapsed="false">
      <c r="A110" s="641" t="str">
        <f aca="false">'Plant loading'!A106</f>
        <v>Leicester</v>
      </c>
      <c r="B110" s="641" t="str">
        <f aca="false">'Plant loading'!B106</f>
        <v>PEGLR</v>
      </c>
      <c r="C110" s="642" t="n">
        <f aca="false">('Plant loading'!E106*54.5)/1000</f>
        <v>24.7975</v>
      </c>
      <c r="D110" s="643" t="str">
        <f aca="false">CHOOSE(T110,$C$130,$D$130,$E$130,$F$130,$G$130,$H$130,$I$130,$J$130,$K$130,$L$130,$M$130,$N$130,$O$130,$P$130,$Q$130,$R$130)</f>
        <v>5 hours</v>
      </c>
      <c r="E110" s="612" t="n">
        <v>44866</v>
      </c>
      <c r="F110" s="612" t="n">
        <v>44866</v>
      </c>
      <c r="G110" s="612" t="n">
        <v>44866</v>
      </c>
      <c r="H110" s="612" t="n">
        <v>44866</v>
      </c>
      <c r="I110" s="612" t="n">
        <v>44866</v>
      </c>
      <c r="J110" s="612" t="n">
        <v>44866</v>
      </c>
      <c r="K110" s="612" t="n">
        <v>44866</v>
      </c>
      <c r="L110" s="612" t="n">
        <v>44866</v>
      </c>
      <c r="M110" s="612" t="n">
        <v>44866</v>
      </c>
      <c r="N110" s="612"/>
      <c r="O110" s="612"/>
      <c r="P110" s="634" t="s">
        <v>630</v>
      </c>
      <c r="R110" s="595" t="n">
        <f aca="false">COUNT(E110:P110)</f>
        <v>9</v>
      </c>
      <c r="S110" s="595" t="n">
        <f aca="false">C110/R110</f>
        <v>2.75527777777778</v>
      </c>
      <c r="T110" s="595" t="n">
        <f aca="false">MATCH(S110,$C$134:$R$134,-1)</f>
        <v>13</v>
      </c>
      <c r="U110" s="595" t="n">
        <f aca="false">COUNTIFS(E110:P110,"&gt;="&amp;$D$3,E110:P110,"&lt;="&amp;$E$3)</f>
        <v>0</v>
      </c>
      <c r="V110" s="595" t="n">
        <f aca="false">COUNTIFS(E110:P110,"&lt;="&amp;$E$2)</f>
        <v>0</v>
      </c>
      <c r="W110" s="627" t="n">
        <f aca="false">MATCH($E110,$B$177:$Q$177,1)</f>
        <v>11</v>
      </c>
      <c r="X110" s="639" t="str">
        <f aca="false">CHOOSE(ROUNDUP((W110/2),0),$B$179,$D$179,$F$179,$H$179,$J$179,$L$179,$N$179,$P$179)</f>
        <v>Discharge</v>
      </c>
      <c r="Y110" s="627" t="n">
        <f aca="false">MATCH($E110,$B$183:$S$183,1)</f>
        <v>11</v>
      </c>
      <c r="Z110" s="639" t="str">
        <f aca="false">CHOOSE(ROUNDUP((Y110/2),0),$B$185,$D$185,$F$185,$H$185,$J$185,$L$185,$N$185,$P$185,$R$185)</f>
        <v>IR+HC</v>
      </c>
      <c r="AA110" s="640"/>
      <c r="AB110" s="0" t="str">
        <f aca="false">B110</f>
        <v>PEGLR</v>
      </c>
    </row>
    <row r="111" customFormat="false" ht="10.15" hidden="false" customHeight="false" outlineLevel="0" collapsed="false">
      <c r="A111" s="621" t="str">
        <f aca="false">'Plant loading'!A107</f>
        <v>Newbury</v>
      </c>
      <c r="B111" s="621" t="str">
        <f aca="false">'Plant loading'!B107</f>
        <v>PEGNY</v>
      </c>
      <c r="C111" s="622" t="n">
        <f aca="false">('Plant loading'!E107*54.5)/1000</f>
        <v>15.042</v>
      </c>
      <c r="D111" s="623" t="str">
        <f aca="false">CHOOSE(T111,$C$130,$D$130,$E$130,$F$130,$G$130,$H$130,$I$130,$J$130,$K$130,$L$130,$M$130,$N$130,$O$130,$P$130,$Q$130,$R$130)</f>
        <v>8 hours</v>
      </c>
      <c r="E111" s="624" t="n">
        <v>44531</v>
      </c>
      <c r="F111" s="624" t="n">
        <v>44531</v>
      </c>
      <c r="G111" s="624" t="n">
        <v>44531</v>
      </c>
      <c r="H111" s="624" t="n">
        <v>44531</v>
      </c>
      <c r="I111" s="624" t="n">
        <v>44531</v>
      </c>
      <c r="J111" s="624" t="n">
        <v>44531</v>
      </c>
      <c r="K111" s="624" t="n">
        <v>44531</v>
      </c>
      <c r="L111" s="624" t="n">
        <v>44531</v>
      </c>
      <c r="M111" s="624" t="n">
        <v>44531</v>
      </c>
      <c r="N111" s="624"/>
      <c r="O111" s="624"/>
      <c r="P111" s="626" t="s">
        <v>630</v>
      </c>
      <c r="R111" s="595" t="n">
        <f aca="false">COUNT(E111:P111)</f>
        <v>9</v>
      </c>
      <c r="S111" s="595" t="n">
        <f aca="false">C111/R111</f>
        <v>1.67133333333333</v>
      </c>
      <c r="T111" s="595" t="n">
        <f aca="false">MATCH(S111,$C$134:$R$134,-1)</f>
        <v>16</v>
      </c>
      <c r="U111" s="595" t="n">
        <f aca="false">COUNTIFS(E111:P111,"&gt;="&amp;$D$3,E111:P111,"&lt;="&amp;$E$3)</f>
        <v>0</v>
      </c>
      <c r="V111" s="595" t="n">
        <f aca="false">COUNTIFS(E111:P111,"&lt;="&amp;$E$2)</f>
        <v>0</v>
      </c>
      <c r="W111" s="627" t="n">
        <f aca="false">MATCH($E111,$B$177:$Q$177,1)</f>
        <v>9</v>
      </c>
      <c r="X111" s="628" t="str">
        <f aca="false">CHOOSE(ROUNDUP((W111/2),0),$B$179,$D$179,$F$179,$H$179,$J$179,$L$179,$N$179,$P$179)</f>
        <v>IR+HC</v>
      </c>
      <c r="Y111" s="627" t="n">
        <f aca="false">MATCH($E111,$B$183:$S$183,1)</f>
        <v>9</v>
      </c>
      <c r="Z111" s="628" t="str">
        <f aca="false">CHOOSE(ROUNDUP((Y111/2),0),$B$185,$D$185,$F$185,$H$185,$J$185,$L$185,$N$185,$P$185,$R$185)</f>
        <v>Discharge</v>
      </c>
      <c r="AA111" s="629" t="str">
        <f aca="false">A111</f>
        <v>Newbury</v>
      </c>
      <c r="AB111" s="0" t="str">
        <f aca="false">B111</f>
        <v>PEGNY</v>
      </c>
    </row>
    <row r="112" customFormat="false" ht="10.15" hidden="false" customHeight="false" outlineLevel="0" collapsed="false">
      <c r="A112" s="630" t="str">
        <f aca="false">'Plant loading'!A108</f>
        <v>Newbury</v>
      </c>
      <c r="B112" s="630" t="str">
        <f aca="false">'Plant loading'!B108</f>
        <v>PEHNY</v>
      </c>
      <c r="C112" s="631" t="n">
        <f aca="false">('Plant loading'!E108*54.5)/1000</f>
        <v>14.17</v>
      </c>
      <c r="D112" s="632" t="str">
        <f aca="false">CHOOSE(T112,$C$130,$D$130,$E$130,$F$130,$G$130,$H$130,$I$130,$J$130,$K$130,$L$130,$M$130,$N$130,$O$130,$P$130,$Q$130,$R$130)</f>
        <v>8 hours</v>
      </c>
      <c r="E112" s="612" t="n">
        <v>44531</v>
      </c>
      <c r="F112" s="612" t="n">
        <v>44531</v>
      </c>
      <c r="G112" s="612" t="n">
        <v>44531</v>
      </c>
      <c r="H112" s="612" t="n">
        <v>44531</v>
      </c>
      <c r="I112" s="612" t="n">
        <v>44531</v>
      </c>
      <c r="J112" s="612" t="n">
        <v>44531</v>
      </c>
      <c r="K112" s="612" t="n">
        <v>44531</v>
      </c>
      <c r="L112" s="612" t="n">
        <v>44531</v>
      </c>
      <c r="M112" s="612" t="n">
        <v>44531</v>
      </c>
      <c r="N112" s="612"/>
      <c r="O112" s="612"/>
      <c r="P112" s="634" t="s">
        <v>630</v>
      </c>
      <c r="R112" s="595" t="n">
        <f aca="false">COUNT(E112:P112)</f>
        <v>9</v>
      </c>
      <c r="S112" s="595" t="n">
        <f aca="false">C112/R112</f>
        <v>1.57444444444444</v>
      </c>
      <c r="T112" s="595" t="n">
        <f aca="false">MATCH(S112,$C$134:$R$134,-1)</f>
        <v>16</v>
      </c>
      <c r="U112" s="595" t="n">
        <f aca="false">COUNTIFS(E112:P112,"&gt;="&amp;$D$3,E112:P112,"&lt;="&amp;$E$3)</f>
        <v>0</v>
      </c>
      <c r="V112" s="595" t="n">
        <f aca="false">COUNTIFS(E112:P112,"&lt;="&amp;$E$2)</f>
        <v>0</v>
      </c>
      <c r="W112" s="627" t="n">
        <f aca="false">MATCH($E112,$B$177:$Q$177,1)</f>
        <v>9</v>
      </c>
      <c r="X112" s="628" t="str">
        <f aca="false">CHOOSE(ROUNDUP((W112/2),0),$B$179,$D$179,$F$179,$H$179,$J$179,$L$179,$N$179,$P$179)</f>
        <v>IR+HC</v>
      </c>
      <c r="Y112" s="627" t="n">
        <f aca="false">MATCH($E112,$B$183:$S$183,1)</f>
        <v>9</v>
      </c>
      <c r="Z112" s="628" t="str">
        <f aca="false">CHOOSE(ROUNDUP((Y112/2),0),$B$185,$D$185,$F$185,$H$185,$J$185,$L$185,$N$185,$P$185,$R$185)</f>
        <v>Discharge</v>
      </c>
      <c r="AA112" s="629"/>
      <c r="AB112" s="0" t="str">
        <f aca="false">B112</f>
        <v>PEHNY</v>
      </c>
    </row>
    <row r="113" customFormat="false" ht="10.15" hidden="false" customHeight="false" outlineLevel="0" collapsed="false">
      <c r="A113" s="636" t="str">
        <f aca="false">'Plant loading'!A109</f>
        <v>Newcastle</v>
      </c>
      <c r="B113" s="636" t="str">
        <f aca="false">'Plant loading'!B109</f>
        <v>PEENE</v>
      </c>
      <c r="C113" s="637" t="n">
        <f aca="false">('Plant loading'!E109*54.5)/1000</f>
        <v>13.298</v>
      </c>
      <c r="D113" s="638" t="str">
        <f aca="false">CHOOSE(T113,$C$130,$D$130,$E$130,$F$130,$G$130,$H$130,$I$130,$J$130,$K$130,$L$130,$M$130,$N$130,$O$130,$P$130,$Q$130,$R$130)</f>
        <v>8 hours</v>
      </c>
      <c r="E113" s="624" t="n">
        <v>44440</v>
      </c>
      <c r="F113" s="624" t="n">
        <v>44440</v>
      </c>
      <c r="G113" s="624" t="n">
        <v>44440</v>
      </c>
      <c r="H113" s="624" t="n">
        <v>44440</v>
      </c>
      <c r="I113" s="624" t="n">
        <v>44440</v>
      </c>
      <c r="J113" s="624" t="n">
        <v>44440</v>
      </c>
      <c r="K113" s="624" t="n">
        <v>44440</v>
      </c>
      <c r="L113" s="624" t="n">
        <v>43891</v>
      </c>
      <c r="M113" s="624" t="n">
        <v>43891</v>
      </c>
      <c r="N113" s="624"/>
      <c r="O113" s="624"/>
      <c r="P113" s="626" t="s">
        <v>630</v>
      </c>
      <c r="R113" s="595" t="n">
        <f aca="false">COUNT(E113:P113)</f>
        <v>9</v>
      </c>
      <c r="S113" s="595" t="n">
        <f aca="false">C113/R113</f>
        <v>1.47755555555556</v>
      </c>
      <c r="T113" s="595" t="n">
        <f aca="false">MATCH(S113,$C$134:$R$134,-1)</f>
        <v>16</v>
      </c>
      <c r="U113" s="595" t="n">
        <f aca="false">COUNTIFS(E113:P113,"&gt;="&amp;$D$3,E113:P113,"&lt;="&amp;$E$3)</f>
        <v>0</v>
      </c>
      <c r="V113" s="595" t="n">
        <f aca="false">COUNTIFS(E113:P113,"&lt;="&amp;$E$2)</f>
        <v>0</v>
      </c>
      <c r="W113" s="627" t="n">
        <f aca="false">MATCH($E113,$B$177:$Q$177,1)</f>
        <v>9</v>
      </c>
      <c r="X113" s="639" t="str">
        <f aca="false">CHOOSE(ROUNDUP((W113/2),0),$B$179,$D$179,$F$179,$H$179,$J$179,$L$179,$N$179,$P$179)</f>
        <v>IR+HC</v>
      </c>
      <c r="Y113" s="627" t="n">
        <f aca="false">MATCH($E113,$B$183:$S$183,1)</f>
        <v>9</v>
      </c>
      <c r="Z113" s="639" t="str">
        <f aca="false">CHOOSE(ROUNDUP((Y113/2),0),$B$185,$D$185,$F$185,$H$185,$J$185,$L$185,$N$185,$P$185,$R$185)</f>
        <v>Discharge</v>
      </c>
      <c r="AA113" s="640" t="str">
        <f aca="false">A113</f>
        <v>Newcastle</v>
      </c>
      <c r="AB113" s="0" t="str">
        <f aca="false">B113</f>
        <v>PEENE</v>
      </c>
    </row>
    <row r="114" customFormat="false" ht="10.15" hidden="false" customHeight="false" outlineLevel="0" collapsed="false">
      <c r="A114" s="641" t="str">
        <f aca="false">'Plant loading'!A110</f>
        <v>Newcastle</v>
      </c>
      <c r="B114" s="641" t="str">
        <f aca="false">'Plant loading'!B110</f>
        <v>PEFNE</v>
      </c>
      <c r="C114" s="642" t="n">
        <f aca="false">('Plant loading'!E110*54.5)/1000</f>
        <v>18.5845</v>
      </c>
      <c r="D114" s="643" t="str">
        <f aca="false">CHOOSE(T114,$C$130,$D$130,$E$130,$F$130,$G$130,$H$130,$I$130,$J$130,$K$130,$L$130,$M$130,$N$130,$O$130,$P$130,$Q$130,$R$130)</f>
        <v>5 hours</v>
      </c>
      <c r="E114" s="612" t="n">
        <v>44440</v>
      </c>
      <c r="F114" s="612" t="n">
        <v>44440</v>
      </c>
      <c r="G114" s="612" t="n">
        <v>44440</v>
      </c>
      <c r="H114" s="612" t="n">
        <v>44440</v>
      </c>
      <c r="I114" s="612" t="n">
        <v>44440</v>
      </c>
      <c r="J114" s="612" t="n">
        <v>44440</v>
      </c>
      <c r="K114" s="612" t="n">
        <v>44440</v>
      </c>
      <c r="L114" s="612"/>
      <c r="M114" s="612"/>
      <c r="N114" s="612"/>
      <c r="O114" s="612"/>
      <c r="P114" s="634" t="s">
        <v>630</v>
      </c>
      <c r="R114" s="595" t="n">
        <f aca="false">COUNT(E114:P114)</f>
        <v>7</v>
      </c>
      <c r="S114" s="595" t="n">
        <f aca="false">C114/R114</f>
        <v>2.65492857142857</v>
      </c>
      <c r="T114" s="595" t="n">
        <f aca="false">MATCH(S114,$C$134:$R$134,-1)</f>
        <v>13</v>
      </c>
      <c r="U114" s="595" t="n">
        <f aca="false">COUNTIFS(E114:P114,"&gt;="&amp;$D$3,E114:P114,"&lt;="&amp;$E$3)</f>
        <v>0</v>
      </c>
      <c r="V114" s="595" t="n">
        <f aca="false">COUNTIFS(E114:P114,"&lt;="&amp;$E$2)</f>
        <v>0</v>
      </c>
      <c r="W114" s="627" t="n">
        <f aca="false">MATCH($E114,$B$177:$Q$177,1)</f>
        <v>9</v>
      </c>
      <c r="X114" s="639" t="str">
        <f aca="false">CHOOSE(ROUNDUP((W114/2),0),$B$179,$D$179,$F$179,$H$179,$J$179,$L$179,$N$179,$P$179)</f>
        <v>IR+HC</v>
      </c>
      <c r="Y114" s="627" t="n">
        <f aca="false">MATCH($E114,$B$183:$S$183,1)</f>
        <v>9</v>
      </c>
      <c r="Z114" s="639" t="str">
        <f aca="false">CHOOSE(ROUNDUP((Y114/2),0),$B$185,$D$185,$F$185,$H$185,$J$185,$L$185,$N$185,$P$185,$R$185)</f>
        <v>Discharge</v>
      </c>
      <c r="AA114" s="640"/>
      <c r="AB114" s="0" t="str">
        <f aca="false">B114</f>
        <v>PEFNE</v>
      </c>
    </row>
    <row r="115" customFormat="false" ht="10.15" hidden="false" customHeight="false" outlineLevel="0" collapsed="false">
      <c r="A115" s="641" t="str">
        <f aca="false">'Plant loading'!A111</f>
        <v>Newcastle</v>
      </c>
      <c r="B115" s="641" t="str">
        <f aca="false">'Plant loading'!B111</f>
        <v>PEGNE</v>
      </c>
      <c r="C115" s="642" t="n">
        <f aca="false">('Plant loading'!E111*54.5)/1000</f>
        <v>6.8125</v>
      </c>
      <c r="D115" s="643" t="str">
        <f aca="false">CHOOSE(T115,$C$130,$D$130,$E$130,$F$130,$G$130,$H$130,$I$130,$J$130,$K$130,$L$130,$M$130,$N$130,$O$130,$P$130,$Q$130,$R$130)</f>
        <v>8 hours</v>
      </c>
      <c r="E115" s="612" t="n">
        <v>44440</v>
      </c>
      <c r="F115" s="612" t="n">
        <v>44440</v>
      </c>
      <c r="G115" s="612" t="n">
        <v>44440</v>
      </c>
      <c r="H115" s="612" t="n">
        <v>44440</v>
      </c>
      <c r="I115" s="612" t="n">
        <v>44440</v>
      </c>
      <c r="J115" s="612" t="n">
        <v>44440</v>
      </c>
      <c r="K115" s="612" t="n">
        <v>44440</v>
      </c>
      <c r="L115" s="612"/>
      <c r="M115" s="612"/>
      <c r="N115" s="612"/>
      <c r="O115" s="612"/>
      <c r="P115" s="634" t="s">
        <v>630</v>
      </c>
      <c r="R115" s="595" t="n">
        <f aca="false">COUNT(E115:P115)</f>
        <v>7</v>
      </c>
      <c r="S115" s="595" t="n">
        <f aca="false">C115/R115</f>
        <v>0.973214285714286</v>
      </c>
      <c r="T115" s="595" t="n">
        <f aca="false">MATCH(S115,$C$134:$R$134,-1)</f>
        <v>16</v>
      </c>
      <c r="U115" s="595" t="n">
        <f aca="false">COUNTIFS(E115:P115,"&gt;="&amp;$D$3,E115:P115,"&lt;="&amp;$E$3)</f>
        <v>0</v>
      </c>
      <c r="V115" s="595" t="n">
        <f aca="false">COUNTIFS(E115:P115,"&lt;="&amp;$E$2)</f>
        <v>0</v>
      </c>
      <c r="W115" s="627" t="n">
        <f aca="false">MATCH($E115,$B$177:$Q$177,1)</f>
        <v>9</v>
      </c>
      <c r="X115" s="639" t="str">
        <f aca="false">CHOOSE(ROUNDUP((W115/2),0),$B$179,$D$179,$F$179,$H$179,$J$179,$L$179,$N$179,$P$179)</f>
        <v>IR+HC</v>
      </c>
      <c r="Y115" s="627" t="n">
        <f aca="false">MATCH($E115,$B$183:$S$183,1)</f>
        <v>9</v>
      </c>
      <c r="Z115" s="639" t="str">
        <f aca="false">CHOOSE(ROUNDUP((Y115/2),0),$B$185,$D$185,$F$185,$H$185,$J$185,$L$185,$N$185,$P$185,$R$185)</f>
        <v>Discharge</v>
      </c>
      <c r="AA115" s="640"/>
      <c r="AB115" s="0" t="str">
        <f aca="false">B115</f>
        <v>PEGNE</v>
      </c>
    </row>
    <row r="116" customFormat="false" ht="10.15" hidden="false" customHeight="false" outlineLevel="0" collapsed="false">
      <c r="A116" s="621" t="str">
        <f aca="false">'Plant loading'!A112</f>
        <v>Oxford</v>
      </c>
      <c r="B116" s="621" t="str">
        <f aca="false">'Plant loading'!B112</f>
        <v>PECOD</v>
      </c>
      <c r="C116" s="622" t="n">
        <f aca="false">('Plant loading'!E112*54.5)/1000</f>
        <v>10.1915</v>
      </c>
      <c r="D116" s="623" t="str">
        <f aca="false">CHOOSE(T116,$C$130,$D$130,$E$130,$F$130,$G$130,$H$130,$I$130,$J$130,$K$130,$L$130,$M$130,$N$130,$O$130,$P$130,$Q$130,$R$130)</f>
        <v>8 hours</v>
      </c>
      <c r="E116" s="624" t="n">
        <v>44075</v>
      </c>
      <c r="F116" s="624" t="n">
        <v>44075</v>
      </c>
      <c r="G116" s="624" t="n">
        <v>44075</v>
      </c>
      <c r="H116" s="624" t="n">
        <v>44075</v>
      </c>
      <c r="I116" s="624" t="n">
        <v>44075</v>
      </c>
      <c r="J116" s="624" t="n">
        <v>44075</v>
      </c>
      <c r="K116" s="624"/>
      <c r="L116" s="624"/>
      <c r="M116" s="624"/>
      <c r="N116" s="624"/>
      <c r="O116" s="624"/>
      <c r="P116" s="626" t="s">
        <v>630</v>
      </c>
      <c r="Q116" s="595" t="n">
        <v>1500700866</v>
      </c>
      <c r="R116" s="595" t="n">
        <f aca="false">COUNT(E116:P116)</f>
        <v>6</v>
      </c>
      <c r="S116" s="595" t="n">
        <f aca="false">C116/R116</f>
        <v>1.69858333333333</v>
      </c>
      <c r="T116" s="595" t="n">
        <f aca="false">MATCH(S116,$C$134:$R$134,-1)</f>
        <v>16</v>
      </c>
      <c r="U116" s="595" t="n">
        <f aca="false">COUNTIFS(E116:P116,"&gt;="&amp;$D$3,E116:P116,"&lt;="&amp;$E$3)</f>
        <v>0</v>
      </c>
      <c r="V116" s="595" t="n">
        <f aca="false">COUNTIFS(E116:P116,"&lt;="&amp;$E$2)</f>
        <v>0</v>
      </c>
      <c r="W116" s="627" t="n">
        <f aca="false">MATCH($E116,$B$177:$Q$177,1)</f>
        <v>7</v>
      </c>
      <c r="X116" s="628" t="str">
        <f aca="false">CHOOSE(ROUNDUP((W116/2),0),$B$179,$D$179,$F$179,$H$179,$J$179,$L$179,$N$179,$P$179)</f>
        <v>Discharge</v>
      </c>
      <c r="Y116" s="627" t="n">
        <f aca="false">MATCH($E116,$B$183:$S$183,1)</f>
        <v>7</v>
      </c>
      <c r="Z116" s="628" t="str">
        <f aca="false">CHOOSE(ROUNDUP((Y116/2),0),$B$185,$D$185,$F$185,$H$185,$J$185,$L$185,$N$185,$P$185,$R$185)</f>
        <v>IR+HC</v>
      </c>
      <c r="AA116" s="629" t="str">
        <f aca="false">A116</f>
        <v>Oxford</v>
      </c>
      <c r="AB116" s="0" t="str">
        <f aca="false">B116</f>
        <v>PECOD</v>
      </c>
    </row>
    <row r="117" customFormat="false" ht="10.15" hidden="false" customHeight="false" outlineLevel="0" collapsed="false">
      <c r="A117" s="630" t="str">
        <f aca="false">'Plant loading'!A113</f>
        <v>Oxford</v>
      </c>
      <c r="B117" s="630" t="str">
        <f aca="false">'Plant loading'!B113</f>
        <v>PEFOD</v>
      </c>
      <c r="C117" s="631" t="n">
        <f aca="false">('Plant loading'!E113*54.5)/1000</f>
        <v>5.9405</v>
      </c>
      <c r="D117" s="632" t="str">
        <f aca="false">CHOOSE(T117,$C$130,$D$130,$E$130,$F$130,$G$130,$H$130,$I$130,$J$130,$K$130,$L$130,$M$130,$N$130,$O$130,$P$130,$Q$130,$R$130)</f>
        <v>8 hours</v>
      </c>
      <c r="E117" s="612" t="n">
        <v>44075</v>
      </c>
      <c r="F117" s="612" t="n">
        <v>44075</v>
      </c>
      <c r="G117" s="612" t="n">
        <v>44075</v>
      </c>
      <c r="H117" s="612" t="n">
        <v>44075</v>
      </c>
      <c r="I117" s="612" t="n">
        <v>44075</v>
      </c>
      <c r="J117" s="612" t="n">
        <v>44075</v>
      </c>
      <c r="K117" s="612"/>
      <c r="L117" s="612"/>
      <c r="M117" s="612"/>
      <c r="N117" s="612"/>
      <c r="O117" s="612"/>
      <c r="P117" s="634" t="s">
        <v>630</v>
      </c>
      <c r="Q117" s="595" t="n">
        <v>1500700866</v>
      </c>
      <c r="R117" s="595" t="n">
        <f aca="false">COUNT(E117:P117)</f>
        <v>6</v>
      </c>
      <c r="S117" s="595" t="n">
        <f aca="false">C117/R117</f>
        <v>0.990083333333333</v>
      </c>
      <c r="T117" s="595" t="n">
        <f aca="false">MATCH(S117,$C$134:$R$134,-1)</f>
        <v>16</v>
      </c>
      <c r="U117" s="595" t="n">
        <f aca="false">COUNTIFS(E117:P117,"&gt;="&amp;$D$3,E117:P117,"&lt;="&amp;$E$3)</f>
        <v>0</v>
      </c>
      <c r="V117" s="595" t="n">
        <f aca="false">COUNTIFS(E117:P117,"&lt;="&amp;$E$2)</f>
        <v>0</v>
      </c>
      <c r="W117" s="627" t="n">
        <f aca="false">MATCH($E117,$B$177:$Q$177,1)</f>
        <v>7</v>
      </c>
      <c r="X117" s="628" t="str">
        <f aca="false">CHOOSE(ROUNDUP((W117/2),0),$B$179,$D$179,$F$179,$H$179,$J$179,$L$179,$N$179,$P$179)</f>
        <v>Discharge</v>
      </c>
      <c r="Y117" s="627" t="n">
        <f aca="false">MATCH($E117,$B$183:$S$183,1)</f>
        <v>7</v>
      </c>
      <c r="Z117" s="628" t="str">
        <f aca="false">CHOOSE(ROUNDUP((Y117/2),0),$B$185,$D$185,$F$185,$H$185,$J$185,$L$185,$N$185,$P$185,$R$185)</f>
        <v>IR+HC</v>
      </c>
      <c r="AA117" s="629"/>
      <c r="AB117" s="0" t="str">
        <f aca="false">B117</f>
        <v>PEFOD</v>
      </c>
    </row>
    <row r="118" customFormat="false" ht="10.15" hidden="false" customHeight="false" outlineLevel="0" collapsed="false">
      <c r="A118" s="636" t="str">
        <f aca="false">'Plant loading'!A114</f>
        <v>Stafford</v>
      </c>
      <c r="B118" s="636" t="str">
        <f aca="false">'Plant loading'!B114</f>
        <v>PEESD</v>
      </c>
      <c r="C118" s="637" t="n">
        <f aca="false">('Plant loading'!E114*54.5)/1000</f>
        <v>20.8735</v>
      </c>
      <c r="D118" s="638" t="str">
        <f aca="false">CHOOSE(T118,$C$130,$D$130,$E$130,$F$130,$G$130,$H$130,$I$130,$J$130,$K$130,$L$130,$M$130,$N$130,$O$130,$P$130,$Q$130,$R$130)</f>
        <v>6 hours</v>
      </c>
      <c r="E118" s="624" t="n">
        <v>45627</v>
      </c>
      <c r="F118" s="624" t="n">
        <v>45627</v>
      </c>
      <c r="G118" s="624" t="n">
        <v>45627</v>
      </c>
      <c r="H118" s="624" t="n">
        <v>45627</v>
      </c>
      <c r="I118" s="624" t="n">
        <v>45627</v>
      </c>
      <c r="J118" s="624" t="n">
        <v>45627</v>
      </c>
      <c r="K118" s="624" t="n">
        <v>45627</v>
      </c>
      <c r="L118" s="624" t="n">
        <v>45627</v>
      </c>
      <c r="M118" s="624" t="n">
        <v>45627</v>
      </c>
      <c r="N118" s="624"/>
      <c r="O118" s="624"/>
      <c r="P118" s="626" t="s">
        <v>630</v>
      </c>
      <c r="Q118" s="595" t="n">
        <v>1500700866</v>
      </c>
      <c r="R118" s="595" t="n">
        <f aca="false">COUNT(E118:P118)</f>
        <v>9</v>
      </c>
      <c r="S118" s="595" t="n">
        <f aca="false">C118/R118</f>
        <v>2.31927777777778</v>
      </c>
      <c r="T118" s="595" t="n">
        <f aca="false">MATCH(S118,$C$134:$R$134,-1)</f>
        <v>14</v>
      </c>
      <c r="U118" s="595" t="n">
        <f aca="false">COUNTIFS(E118:P118,"&gt;="&amp;$D$3,E118:P118,"&lt;="&amp;$E$3)</f>
        <v>0</v>
      </c>
      <c r="V118" s="595" t="n">
        <f aca="false">COUNTIFS(E118:P118,"&lt;="&amp;$E$2)</f>
        <v>0</v>
      </c>
      <c r="W118" s="627" t="n">
        <f aca="false">MATCH($E118,$B$177:$Q$177,1)</f>
        <v>15</v>
      </c>
      <c r="X118" s="639" t="str">
        <f aca="false">CHOOSE(ROUNDUP((W118/2),0),$B$179,$D$179,$F$179,$H$179,$J$179,$L$179,$N$179,$P$179)</f>
        <v>New</v>
      </c>
      <c r="Y118" s="627" t="n">
        <f aca="false">MATCH($E118,$B$183:$S$183,1)</f>
        <v>15</v>
      </c>
      <c r="Z118" s="639" t="str">
        <f aca="false">CHOOSE(ROUNDUP((Y118/2),0),$B$185,$D$185,$F$185,$H$185,$J$185,$L$185,$N$185,$P$185,$R$185)</f>
        <v>IR+HC</v>
      </c>
      <c r="AA118" s="640" t="str">
        <f aca="false">A118</f>
        <v>Stafford</v>
      </c>
      <c r="AB118" s="0" t="str">
        <f aca="false">B118</f>
        <v>PEESD</v>
      </c>
    </row>
    <row r="119" customFormat="false" ht="10.15" hidden="false" customHeight="false" outlineLevel="0" collapsed="false">
      <c r="A119" s="641" t="str">
        <f aca="false">'Plant loading'!A115</f>
        <v>Stafford</v>
      </c>
      <c r="B119" s="641" t="str">
        <f aca="false">'Plant loading'!B115</f>
        <v>PEGSD</v>
      </c>
      <c r="C119" s="642" t="n">
        <f aca="false">('Plant loading'!E115*54.5)/1000</f>
        <v>23.0535</v>
      </c>
      <c r="D119" s="643" t="str">
        <f aca="false">CHOOSE(T119,$C$130,$D$130,$E$130,$F$130,$G$130,$H$130,$I$130,$J$130,$K$130,$L$130,$M$130,$N$130,$O$130,$P$130,$Q$130,$R$130)</f>
        <v>5 hours</v>
      </c>
      <c r="E119" s="612" t="n">
        <v>45627</v>
      </c>
      <c r="F119" s="612" t="n">
        <v>45627</v>
      </c>
      <c r="G119" s="612" t="n">
        <v>45627</v>
      </c>
      <c r="H119" s="612" t="n">
        <v>45627</v>
      </c>
      <c r="I119" s="612" t="n">
        <v>45627</v>
      </c>
      <c r="J119" s="612" t="n">
        <v>45627</v>
      </c>
      <c r="K119" s="612" t="n">
        <v>45627</v>
      </c>
      <c r="L119" s="612" t="n">
        <v>45627</v>
      </c>
      <c r="M119" s="612" t="n">
        <v>45627</v>
      </c>
      <c r="N119" s="612"/>
      <c r="O119" s="612"/>
      <c r="P119" s="634" t="s">
        <v>630</v>
      </c>
      <c r="Q119" s="595" t="n">
        <v>1500700866</v>
      </c>
      <c r="R119" s="595" t="n">
        <f aca="false">COUNT(E119:P119)</f>
        <v>9</v>
      </c>
      <c r="S119" s="595" t="n">
        <f aca="false">C119/R119</f>
        <v>2.5615</v>
      </c>
      <c r="T119" s="595" t="n">
        <f aca="false">MATCH(S119,$C$134:$R$134,-1)</f>
        <v>13</v>
      </c>
      <c r="U119" s="595" t="n">
        <f aca="false">COUNTIFS(E119:P119,"&gt;="&amp;$D$3,E119:P119,"&lt;="&amp;$E$3)</f>
        <v>0</v>
      </c>
      <c r="V119" s="595" t="n">
        <f aca="false">COUNTIFS(E119:P119,"&lt;="&amp;$E$2)</f>
        <v>0</v>
      </c>
      <c r="W119" s="627" t="n">
        <f aca="false">MATCH($E119,$B$177:$Q$177,1)</f>
        <v>15</v>
      </c>
      <c r="X119" s="639" t="str">
        <f aca="false">CHOOSE(ROUNDUP((W119/2),0),$B$179,$D$179,$F$179,$H$179,$J$179,$L$179,$N$179,$P$179)</f>
        <v>New</v>
      </c>
      <c r="Y119" s="627" t="n">
        <f aca="false">MATCH($E119,$B$183:$S$183,1)</f>
        <v>15</v>
      </c>
      <c r="Z119" s="639" t="str">
        <f aca="false">CHOOSE(ROUNDUP((Y119/2),0),$B$185,$D$185,$F$185,$H$185,$J$185,$L$185,$N$185,$P$185,$R$185)</f>
        <v>IR+HC</v>
      </c>
      <c r="AA119" s="640"/>
      <c r="AB119" s="0" t="str">
        <f aca="false">B119</f>
        <v>PEGSD</v>
      </c>
    </row>
    <row r="120" customFormat="false" ht="10.15" hidden="false" customHeight="false" outlineLevel="0" collapsed="false">
      <c r="A120" s="621" t="str">
        <f aca="false">'Plant loading'!A116</f>
        <v>Warrington TXO</v>
      </c>
      <c r="B120" s="621" t="str">
        <f aca="false">'Plant loading'!B116</f>
        <v>PELWN</v>
      </c>
      <c r="C120" s="622" t="n">
        <f aca="false">('Plant loading'!E116*54.5)/1000</f>
        <v>11.2815</v>
      </c>
      <c r="D120" s="623" t="str">
        <f aca="false">CHOOSE(T120,$C$130,$D$130,$E$130,$F$130,$G$130,$H$130,$I$130,$J$130,$K$130,$L$130,$M$130,$N$130,$O$130,$P$130,$Q$130,$R$130)</f>
        <v>6 hours</v>
      </c>
      <c r="E120" s="624" t="n">
        <v>45597</v>
      </c>
      <c r="F120" s="624" t="n">
        <v>45597</v>
      </c>
      <c r="G120" s="624" t="n">
        <v>45597</v>
      </c>
      <c r="H120" s="624" t="n">
        <v>45597</v>
      </c>
      <c r="I120" s="624" t="n">
        <v>45597</v>
      </c>
      <c r="J120" s="624"/>
      <c r="K120" s="624"/>
      <c r="L120" s="624"/>
      <c r="M120" s="624"/>
      <c r="N120" s="624"/>
      <c r="O120" s="624"/>
      <c r="P120" s="626" t="s">
        <v>630</v>
      </c>
      <c r="R120" s="595" t="n">
        <f aca="false">COUNT(E120:P120)</f>
        <v>5</v>
      </c>
      <c r="S120" s="595" t="n">
        <f aca="false">C120/R120</f>
        <v>2.2563</v>
      </c>
      <c r="T120" s="595" t="n">
        <f aca="false">MATCH(S120,$C$134:$R$134,-1)</f>
        <v>14</v>
      </c>
      <c r="U120" s="595" t="n">
        <f aca="false">COUNTIFS(E120:P120,"&gt;="&amp;$D$3,E120:P120,"&lt;="&amp;$E$3)</f>
        <v>0</v>
      </c>
      <c r="V120" s="595" t="n">
        <f aca="false">COUNTIFS(E120:P120,"&lt;="&amp;$E$2)</f>
        <v>0</v>
      </c>
      <c r="W120" s="627" t="n">
        <f aca="false">MATCH($E120,$B$177:$Q$177,1)</f>
        <v>15</v>
      </c>
      <c r="X120" s="628" t="str">
        <f aca="false">CHOOSE(ROUNDUP((W120/2),0),$B$179,$D$179,$F$179,$H$179,$J$179,$L$179,$N$179,$P$179)</f>
        <v>New</v>
      </c>
      <c r="Y120" s="627" t="n">
        <f aca="false">MATCH($E120,$B$183:$S$183,1)</f>
        <v>15</v>
      </c>
      <c r="Z120" s="628" t="str">
        <f aca="false">CHOOSE(ROUNDUP((Y120/2),0),$B$185,$D$185,$F$185,$H$185,$J$185,$L$185,$N$185,$P$185,$R$185)</f>
        <v>IR+HC</v>
      </c>
      <c r="AA120" s="629" t="str">
        <f aca="false">A120</f>
        <v>Warrington TXO</v>
      </c>
      <c r="AB120" s="0" t="str">
        <f aca="false">B120</f>
        <v>PELWN</v>
      </c>
    </row>
    <row r="121" customFormat="false" ht="10.15" hidden="false" customHeight="false" outlineLevel="0" collapsed="false">
      <c r="A121" s="630" t="str">
        <f aca="false">'Plant loading'!A117</f>
        <v>Warrington TXO</v>
      </c>
      <c r="B121" s="630" t="str">
        <f aca="false">'Plant loading'!B117</f>
        <v>PEMWN</v>
      </c>
      <c r="C121" s="631" t="n">
        <f aca="false">('Plant loading'!E117*54.5)/1000</f>
        <v>10.3005</v>
      </c>
      <c r="D121" s="632" t="str">
        <f aca="false">CHOOSE(T121,$C$130,$D$130,$E$130,$F$130,$G$130,$H$130,$I$130,$J$130,$K$130,$L$130,$M$130,$N$130,$O$130,$P$130,$Q$130,$R$130)</f>
        <v>7 hours</v>
      </c>
      <c r="E121" s="612" t="n">
        <v>45597</v>
      </c>
      <c r="F121" s="612" t="n">
        <v>45597</v>
      </c>
      <c r="G121" s="612" t="n">
        <v>45597</v>
      </c>
      <c r="H121" s="612" t="n">
        <v>45597</v>
      </c>
      <c r="I121" s="612" t="n">
        <v>45597</v>
      </c>
      <c r="J121" s="612"/>
      <c r="K121" s="612"/>
      <c r="L121" s="612"/>
      <c r="M121" s="612"/>
      <c r="N121" s="612"/>
      <c r="O121" s="612"/>
      <c r="P121" s="634" t="s">
        <v>630</v>
      </c>
      <c r="R121" s="595" t="n">
        <f aca="false">COUNT(E121:P121)</f>
        <v>5</v>
      </c>
      <c r="S121" s="595" t="n">
        <f aca="false">C121/R121</f>
        <v>2.0601</v>
      </c>
      <c r="T121" s="595" t="n">
        <f aca="false">MATCH(S121,$C$134:$R$134,-1)</f>
        <v>15</v>
      </c>
      <c r="U121" s="595" t="n">
        <f aca="false">COUNTIFS(E121:P121,"&gt;="&amp;$D$3,E121:P121,"&lt;="&amp;$E$3)</f>
        <v>0</v>
      </c>
      <c r="V121" s="595" t="n">
        <f aca="false">COUNTIFS(E121:P121,"&lt;="&amp;$E$2)</f>
        <v>0</v>
      </c>
      <c r="W121" s="627" t="n">
        <f aca="false">MATCH($E121,$B$177:$Q$177,1)</f>
        <v>15</v>
      </c>
      <c r="X121" s="628" t="str">
        <f aca="false">CHOOSE(ROUNDUP((W121/2),0),$B$179,$D$179,$F$179,$H$179,$J$179,$L$179,$N$179,$P$179)</f>
        <v>New</v>
      </c>
      <c r="Y121" s="627" t="n">
        <f aca="false">MATCH($E121,$B$183:$S$183,1)</f>
        <v>15</v>
      </c>
      <c r="Z121" s="628" t="str">
        <f aca="false">CHOOSE(ROUNDUP((Y121/2),0),$B$185,$D$185,$F$185,$H$185,$J$185,$L$185,$N$185,$P$185,$R$185)</f>
        <v>IR+HC</v>
      </c>
      <c r="AA121" s="629"/>
      <c r="AB121" s="0" t="str">
        <f aca="false">B121</f>
        <v>PEMWN</v>
      </c>
    </row>
    <row r="122" customFormat="false" ht="10.15" hidden="false" customHeight="false" outlineLevel="0" collapsed="false">
      <c r="A122" s="655" t="str">
        <f aca="false">'Plant loading'!A118</f>
        <v>Warrington TXO</v>
      </c>
      <c r="B122" s="655" t="str">
        <f aca="false">'Plant loading'!B118</f>
        <v>PENWN</v>
      </c>
      <c r="C122" s="656" t="n">
        <f aca="false">('Plant loading'!E118*54.5)/1000</f>
        <v>23.544</v>
      </c>
      <c r="D122" s="657" t="str">
        <f aca="false">CHOOSE(T122,$C$130,$D$130,$E$130,$F$130,$G$130,$H$130,$I$130,$J$130,$K$130,$L$130,$M$130,$N$130,$O$130,$P$130,$Q$130,$R$130)</f>
        <v>2.5 hours</v>
      </c>
      <c r="E122" s="649" t="n">
        <v>45597</v>
      </c>
      <c r="F122" s="649" t="n">
        <v>45597</v>
      </c>
      <c r="G122" s="649" t="n">
        <v>45597</v>
      </c>
      <c r="H122" s="649" t="n">
        <v>45597</v>
      </c>
      <c r="I122" s="649" t="n">
        <v>45597</v>
      </c>
      <c r="J122" s="649"/>
      <c r="K122" s="649"/>
      <c r="L122" s="649"/>
      <c r="M122" s="649"/>
      <c r="N122" s="649"/>
      <c r="O122" s="649"/>
      <c r="P122" s="650" t="s">
        <v>630</v>
      </c>
      <c r="Q122" s="595" t="n">
        <v>1500547536</v>
      </c>
      <c r="R122" s="595" t="n">
        <f aca="false">COUNT(E122:P122)</f>
        <v>5</v>
      </c>
      <c r="S122" s="595" t="n">
        <f aca="false">C122/R122</f>
        <v>4.7088</v>
      </c>
      <c r="T122" s="595" t="n">
        <f aca="false">MATCH(S122,$C$134:$R$134,-1)</f>
        <v>10</v>
      </c>
      <c r="U122" s="595" t="n">
        <f aca="false">COUNTIFS(E122:P122,"&gt;="&amp;$D$3,E122:P122,"&lt;="&amp;$E$3)</f>
        <v>0</v>
      </c>
      <c r="V122" s="595" t="n">
        <f aca="false">COUNTIFS(E122:P122,"&lt;="&amp;$E$2)</f>
        <v>0</v>
      </c>
      <c r="W122" s="627" t="n">
        <f aca="false">MATCH($E122,$B$177:$Q$177,1)</f>
        <v>15</v>
      </c>
      <c r="X122" s="628" t="str">
        <f aca="false">CHOOSE(ROUNDUP((W122/2),0),$B$179,$D$179,$F$179,$H$179,$J$179,$L$179,$N$179,$P$179)</f>
        <v>New</v>
      </c>
      <c r="Y122" s="627" t="n">
        <f aca="false">MATCH($E122,$B$183:$S$183,1)</f>
        <v>15</v>
      </c>
      <c r="Z122" s="628" t="str">
        <f aca="false">CHOOSE(ROUNDUP((Y122/2),0),$B$185,$D$185,$F$185,$H$185,$J$185,$L$185,$N$185,$P$185,$R$185)</f>
        <v>IR+HC</v>
      </c>
      <c r="AA122" s="629"/>
      <c r="AB122" s="0" t="str">
        <f aca="false">B122</f>
        <v>PENWN</v>
      </c>
    </row>
    <row r="123" customFormat="false" ht="10.15" hidden="false" customHeight="false" outlineLevel="0" collapsed="false">
      <c r="R123" s="609" t="n">
        <f aca="false">SUM(R8:R122)</f>
        <v>939</v>
      </c>
      <c r="S123" s="609" t="n">
        <f aca="false">SUM(S8:S122)</f>
        <v>415.528956547619</v>
      </c>
      <c r="T123" s="609" t="n">
        <f aca="false">SUM(T8:T122)</f>
        <v>1380</v>
      </c>
      <c r="U123" s="609" t="n">
        <f aca="false">SUM(U8:U122)</f>
        <v>0</v>
      </c>
      <c r="V123" s="609" t="n">
        <f aca="false">SUM(V8:V122)</f>
        <v>0</v>
      </c>
    </row>
    <row r="125" customFormat="false" ht="10.15" hidden="false" customHeight="false" outlineLevel="0" collapsed="false">
      <c r="AA125" s="620" t="s">
        <v>631</v>
      </c>
    </row>
    <row r="126" customFormat="false" ht="10.15" hidden="false" customHeight="false" outlineLevel="0" collapsed="false">
      <c r="AA126" s="620" t="s">
        <v>632</v>
      </c>
    </row>
    <row r="128" customFormat="false" ht="10.15" hidden="false" customHeight="false" outlineLevel="0" collapsed="false">
      <c r="A128" s="608" t="s">
        <v>633</v>
      </c>
      <c r="B128" s="608"/>
    </row>
    <row r="130" customFormat="false" ht="14.45" hidden="false" customHeight="false" outlineLevel="0" collapsed="false">
      <c r="A130" s="658" t="s">
        <v>634</v>
      </c>
      <c r="B130" s="658"/>
      <c r="C130" s="659" t="s">
        <v>635</v>
      </c>
      <c r="D130" s="659" t="s">
        <v>636</v>
      </c>
      <c r="E130" s="659" t="s">
        <v>637</v>
      </c>
      <c r="F130" s="659" t="s">
        <v>638</v>
      </c>
      <c r="G130" s="659" t="s">
        <v>639</v>
      </c>
      <c r="H130" s="659" t="s">
        <v>640</v>
      </c>
      <c r="I130" s="659" t="s">
        <v>641</v>
      </c>
      <c r="J130" s="659" t="s">
        <v>642</v>
      </c>
      <c r="K130" s="659" t="s">
        <v>643</v>
      </c>
      <c r="L130" s="659" t="s">
        <v>644</v>
      </c>
      <c r="M130" s="659" t="s">
        <v>645</v>
      </c>
      <c r="N130" s="659" t="s">
        <v>646</v>
      </c>
      <c r="O130" s="659" t="s">
        <v>647</v>
      </c>
      <c r="P130" s="659" t="s">
        <v>648</v>
      </c>
      <c r="Q130" s="659" t="s">
        <v>649</v>
      </c>
      <c r="R130" s="660" t="s">
        <v>650</v>
      </c>
    </row>
    <row r="131" customFormat="false" ht="26.25" hidden="false" customHeight="true" outlineLevel="0" collapsed="false">
      <c r="A131" s="661" t="s">
        <v>651</v>
      </c>
      <c r="B131" s="661"/>
      <c r="C131" s="595" t="n">
        <v>327</v>
      </c>
      <c r="D131" s="595" t="n">
        <v>298</v>
      </c>
      <c r="E131" s="595" t="n">
        <v>275</v>
      </c>
      <c r="F131" s="595" t="n">
        <v>253</v>
      </c>
      <c r="G131" s="595" t="n">
        <v>238.7</v>
      </c>
      <c r="H131" s="595" t="n">
        <v>224.3</v>
      </c>
      <c r="I131" s="595" t="n">
        <v>210</v>
      </c>
      <c r="J131" s="595" t="n">
        <v>150</v>
      </c>
      <c r="K131" s="595" t="n">
        <v>120</v>
      </c>
      <c r="L131" s="595" t="n">
        <v>102</v>
      </c>
      <c r="M131" s="595" t="n">
        <v>89.6</v>
      </c>
      <c r="N131" s="595" t="n">
        <v>71.3</v>
      </c>
      <c r="O131" s="595" t="n">
        <v>59.4</v>
      </c>
      <c r="P131" s="595" t="n">
        <v>50</v>
      </c>
      <c r="Q131" s="595" t="n">
        <v>43.8</v>
      </c>
      <c r="R131" s="662" t="n">
        <v>40.3</v>
      </c>
    </row>
    <row r="132" customFormat="false" ht="30.75" hidden="false" customHeight="true" outlineLevel="0" collapsed="false">
      <c r="A132" s="661" t="s">
        <v>652</v>
      </c>
      <c r="B132" s="661"/>
      <c r="C132" s="595" t="n">
        <v>336.2</v>
      </c>
      <c r="D132" s="595" t="n">
        <v>306.3</v>
      </c>
      <c r="E132" s="595" t="n">
        <v>282.7</v>
      </c>
      <c r="F132" s="595" t="n">
        <v>260.1</v>
      </c>
      <c r="G132" s="595" t="n">
        <v>245.4</v>
      </c>
      <c r="H132" s="595" t="n">
        <v>230.6</v>
      </c>
      <c r="I132" s="595" t="n">
        <v>215.9</v>
      </c>
      <c r="J132" s="595" t="n">
        <v>154.2</v>
      </c>
      <c r="K132" s="595" t="n">
        <v>123.4</v>
      </c>
      <c r="L132" s="595" t="n">
        <v>104.9</v>
      </c>
      <c r="M132" s="595" t="n">
        <v>92.1</v>
      </c>
      <c r="N132" s="595" t="n">
        <v>73.3</v>
      </c>
      <c r="O132" s="595" t="n">
        <v>61.1</v>
      </c>
      <c r="P132" s="595" t="n">
        <v>51.4</v>
      </c>
      <c r="Q132" s="595" t="n">
        <v>45</v>
      </c>
      <c r="R132" s="662" t="n">
        <v>41.4</v>
      </c>
    </row>
    <row r="133" customFormat="false" ht="33.75" hidden="false" customHeight="true" outlineLevel="0" collapsed="false">
      <c r="A133" s="661" t="s">
        <v>653</v>
      </c>
      <c r="B133" s="661"/>
      <c r="C133" s="595" t="n">
        <f aca="false">((16*3)*C131)/1000</f>
        <v>15.696</v>
      </c>
      <c r="D133" s="595" t="n">
        <f aca="false">((16*3)*D131)/1000</f>
        <v>14.304</v>
      </c>
      <c r="E133" s="595" t="n">
        <f aca="false">((16*3)*E131)/1000</f>
        <v>13.2</v>
      </c>
      <c r="F133" s="595" t="n">
        <f aca="false">((16*3)*F131)/1000</f>
        <v>12.144</v>
      </c>
      <c r="G133" s="595" t="n">
        <f aca="false">((16*3)*G131)/1000</f>
        <v>11.4576</v>
      </c>
      <c r="H133" s="595" t="n">
        <f aca="false">((16*3)*H131)/1000</f>
        <v>10.7664</v>
      </c>
      <c r="I133" s="595" t="n">
        <f aca="false">((16*3)*I131)/1000</f>
        <v>10.08</v>
      </c>
      <c r="J133" s="595" t="n">
        <f aca="false">((16*3)*J131)/1000</f>
        <v>7.2</v>
      </c>
      <c r="K133" s="595" t="n">
        <f aca="false">((16*3)*K131)/1000</f>
        <v>5.76</v>
      </c>
      <c r="L133" s="595" t="n">
        <f aca="false">((16*3)*L131)/1000</f>
        <v>4.896</v>
      </c>
      <c r="M133" s="595" t="n">
        <f aca="false">((16*3)*M131)/1000</f>
        <v>4.3008</v>
      </c>
      <c r="N133" s="595" t="n">
        <f aca="false">((16*3)*N131)/1000</f>
        <v>3.4224</v>
      </c>
      <c r="O133" s="595" t="n">
        <f aca="false">((16*3)*O131)/1000</f>
        <v>2.8512</v>
      </c>
      <c r="P133" s="595" t="n">
        <f aca="false">((16*3)*P131)/1000</f>
        <v>2.4</v>
      </c>
      <c r="Q133" s="595" t="n">
        <f aca="false">((16*3)*Q131)/1000</f>
        <v>2.1024</v>
      </c>
      <c r="R133" s="662" t="n">
        <f aca="false">((16*3)*R131)/1000</f>
        <v>1.9344</v>
      </c>
    </row>
    <row r="134" customFormat="false" ht="33.75" hidden="false" customHeight="true" outlineLevel="0" collapsed="false">
      <c r="A134" s="661" t="s">
        <v>654</v>
      </c>
      <c r="B134" s="661"/>
      <c r="C134" s="595" t="n">
        <f aca="false">((16*3)*C132)/1000</f>
        <v>16.1376</v>
      </c>
      <c r="D134" s="595" t="n">
        <f aca="false">((16*3)*D132)/1000</f>
        <v>14.7024</v>
      </c>
      <c r="E134" s="595" t="n">
        <f aca="false">((16*3)*E132)/1000</f>
        <v>13.5696</v>
      </c>
      <c r="F134" s="595" t="n">
        <f aca="false">((16*3)*F132)/1000</f>
        <v>12.4848</v>
      </c>
      <c r="G134" s="595" t="n">
        <f aca="false">((16*3)*G132)/1000</f>
        <v>11.7792</v>
      </c>
      <c r="H134" s="595" t="n">
        <f aca="false">((16*3)*H132)/1000</f>
        <v>11.0688</v>
      </c>
      <c r="I134" s="595" t="n">
        <f aca="false">((16*3)*I132)/1000</f>
        <v>10.3632</v>
      </c>
      <c r="J134" s="595" t="n">
        <f aca="false">((16*3)*J132)/1000</f>
        <v>7.4016</v>
      </c>
      <c r="K134" s="595" t="n">
        <f aca="false">((16*3)*K132)/1000</f>
        <v>5.9232</v>
      </c>
      <c r="L134" s="595" t="n">
        <f aca="false">((16*3)*L132)/1000</f>
        <v>5.0352</v>
      </c>
      <c r="M134" s="595" t="n">
        <f aca="false">((16*3)*M132)/1000</f>
        <v>4.4208</v>
      </c>
      <c r="N134" s="595" t="n">
        <f aca="false">((16*3)*N132)/1000</f>
        <v>3.5184</v>
      </c>
      <c r="O134" s="595" t="n">
        <f aca="false">((16*3)*O132)/1000</f>
        <v>2.9328</v>
      </c>
      <c r="P134" s="595" t="n">
        <f aca="false">((16*3)*P132)/1000</f>
        <v>2.4672</v>
      </c>
      <c r="Q134" s="595" t="n">
        <f aca="false">((16*3)*Q132)/1000</f>
        <v>2.16</v>
      </c>
      <c r="R134" s="662" t="n">
        <f aca="false">((16*3)*R132)/1000</f>
        <v>1.9872</v>
      </c>
    </row>
    <row r="135" customFormat="false" ht="33.75" hidden="false" customHeight="true" outlineLevel="0" collapsed="false">
      <c r="A135" s="663" t="s">
        <v>655</v>
      </c>
      <c r="B135" s="663"/>
      <c r="C135" s="664" t="n">
        <f aca="false">C134*9</f>
        <v>145.2384</v>
      </c>
      <c r="D135" s="664" t="n">
        <f aca="false">D134*9</f>
        <v>132.3216</v>
      </c>
      <c r="E135" s="664" t="n">
        <f aca="false">E134*9</f>
        <v>122.1264</v>
      </c>
      <c r="F135" s="664" t="n">
        <f aca="false">F134*9</f>
        <v>112.3632</v>
      </c>
      <c r="G135" s="664" t="n">
        <f aca="false">G134*9</f>
        <v>106.0128</v>
      </c>
      <c r="H135" s="664" t="n">
        <f aca="false">H134*9</f>
        <v>99.6192</v>
      </c>
      <c r="I135" s="664" t="n">
        <f aca="false">I134*9</f>
        <v>93.2688</v>
      </c>
      <c r="J135" s="664" t="n">
        <f aca="false">J134*9</f>
        <v>66.6144</v>
      </c>
      <c r="K135" s="664" t="n">
        <f aca="false">K134*9</f>
        <v>53.3088</v>
      </c>
      <c r="L135" s="664" t="n">
        <f aca="false">L134*9</f>
        <v>45.3168</v>
      </c>
      <c r="M135" s="664" t="n">
        <f aca="false">M134*9</f>
        <v>39.7872</v>
      </c>
      <c r="N135" s="664" t="n">
        <f aca="false">N134*9</f>
        <v>31.6656</v>
      </c>
      <c r="O135" s="664" t="n">
        <f aca="false">O134*9</f>
        <v>26.3952</v>
      </c>
      <c r="P135" s="664" t="n">
        <f aca="false">P134*9</f>
        <v>22.2048</v>
      </c>
      <c r="Q135" s="664" t="n">
        <f aca="false">Q134*9</f>
        <v>19.44</v>
      </c>
      <c r="R135" s="665" t="n">
        <f aca="false">R134*9</f>
        <v>17.8848</v>
      </c>
    </row>
    <row r="139" customFormat="false" ht="10.15" hidden="false" customHeight="false" outlineLevel="0" collapsed="false">
      <c r="A139" s="442" t="s">
        <v>656</v>
      </c>
    </row>
    <row r="140" customFormat="false" ht="10.15" hidden="false" customHeight="false" outlineLevel="0" collapsed="false">
      <c r="A140" s="666" t="s">
        <v>657</v>
      </c>
      <c r="B140" s="667" t="n">
        <v>333</v>
      </c>
    </row>
    <row r="141" customFormat="false" ht="10.15" hidden="false" customHeight="false" outlineLevel="0" collapsed="false">
      <c r="A141" s="666" t="s">
        <v>658</v>
      </c>
      <c r="B141" s="668" t="n">
        <f aca="false">(8*B140)+450</f>
        <v>3114</v>
      </c>
    </row>
    <row r="143" customFormat="false" ht="10.15" hidden="false" customHeight="false" outlineLevel="0" collapsed="false">
      <c r="B143" s="669" t="s">
        <v>601</v>
      </c>
      <c r="C143" s="669"/>
      <c r="D143" s="670" t="s">
        <v>659</v>
      </c>
      <c r="E143" s="670"/>
      <c r="F143" s="669" t="s">
        <v>660</v>
      </c>
      <c r="G143" s="669"/>
      <c r="H143" s="670" t="s">
        <v>661</v>
      </c>
      <c r="I143" s="670"/>
      <c r="J143" s="669" t="s">
        <v>662</v>
      </c>
      <c r="K143" s="669"/>
      <c r="L143" s="670" t="s">
        <v>663</v>
      </c>
      <c r="M143" s="670"/>
      <c r="N143" s="669" t="s">
        <v>664</v>
      </c>
      <c r="O143" s="669"/>
      <c r="P143" s="670" t="s">
        <v>665</v>
      </c>
      <c r="Q143" s="670"/>
    </row>
    <row r="144" customFormat="false" ht="10.15" hidden="false" customHeight="false" outlineLevel="0" collapsed="false">
      <c r="A144" s="671" t="s">
        <v>666</v>
      </c>
      <c r="B144" s="672" t="n">
        <f aca="false">COUNTIFS($E$8:$P$122,"&gt;="&amp;$D$2+(0*365),$E$8:$P$122,"&lt;="&amp;$E$2+(0*365))</f>
        <v>0</v>
      </c>
      <c r="C144" s="672"/>
      <c r="D144" s="673" t="n">
        <f aca="false">COUNTIFS($E$8:$P$122,"&gt;="&amp;$D$2+(1*365),$E$8:$P$122,"&lt;="&amp;$E$2+(1*365))</f>
        <v>0</v>
      </c>
      <c r="E144" s="673"/>
      <c r="F144" s="672" t="n">
        <f aca="false">COUNTIFS($E$8:$P$122,"&gt;="&amp;$D$2+(2*365),$E$8:$P$122,"&lt;="&amp;$E$2+(2*365))</f>
        <v>109</v>
      </c>
      <c r="G144" s="672"/>
      <c r="H144" s="673" t="n">
        <f aca="false">COUNTIFS($E$8:$P$122,"&gt;="&amp;$D$2+(3*365),$E$8:$P$122,"&lt;="&amp;$E$2+(3*365))</f>
        <v>170</v>
      </c>
      <c r="I144" s="673"/>
      <c r="J144" s="672" t="n">
        <f aca="false">COUNTIFS($E$8:$P$122,"&gt;="&amp;$D$2+(4*365),$E$8:$P$122,"&lt;="&amp;$E$2+(4*365))</f>
        <v>229</v>
      </c>
      <c r="K144" s="672"/>
      <c r="L144" s="673" t="n">
        <f aca="false">COUNTIFS($E$8:$P$122,"&gt;="&amp;$D$2+(5*365),$E$8:$P$122,"&lt;="&amp;$E$2+(5*365))</f>
        <v>163</v>
      </c>
      <c r="M144" s="673"/>
      <c r="N144" s="672" t="n">
        <f aca="false">COUNTIFS($E$8:$P$122,"&gt;="&amp;$D$2+(6*365),$E$8:$P$122,"&lt;="&amp;$E$2+(6*365))</f>
        <v>185</v>
      </c>
      <c r="O144" s="672"/>
      <c r="P144" s="673" t="n">
        <f aca="false">COUNTIFS($E$8:$P$122,"&gt;="&amp;$D$2+(7*365),$E$8:$P$122,"&lt;="&amp;$E$2+(7*365))</f>
        <v>83</v>
      </c>
      <c r="Q144" s="673"/>
    </row>
    <row r="145" customFormat="false" ht="10.15" hidden="false" customHeight="false" outlineLevel="0" collapsed="false">
      <c r="A145" s="674" t="s">
        <v>667</v>
      </c>
      <c r="B145" s="675" t="n">
        <f aca="false">B144*$B$141</f>
        <v>0</v>
      </c>
      <c r="C145" s="675"/>
      <c r="D145" s="676" t="n">
        <f aca="false">(D144*$B$141)*(1+0.2)^1</f>
        <v>0</v>
      </c>
      <c r="E145" s="676"/>
      <c r="F145" s="675" t="n">
        <f aca="false">(F144*$B$141)*(1+0.15)^2</f>
        <v>448890.885</v>
      </c>
      <c r="G145" s="675"/>
      <c r="H145" s="676" t="n">
        <f aca="false">(H144*$B$141)*(1+0.15)^3</f>
        <v>805120.8075</v>
      </c>
      <c r="I145" s="676"/>
      <c r="J145" s="675" t="n">
        <f aca="false">(J144*$B$141)*(1+0.15)^4</f>
        <v>1247226.8509125</v>
      </c>
      <c r="K145" s="675"/>
      <c r="L145" s="676" t="n">
        <f aca="false">(L144*$B$141)*(1+0.15)^5</f>
        <v>1020928.70394562</v>
      </c>
      <c r="M145" s="676"/>
      <c r="N145" s="675" t="n">
        <f aca="false">(N144*$B$141)*(1+0.15)^6</f>
        <v>1332531.17646891</v>
      </c>
      <c r="O145" s="675"/>
      <c r="P145" s="676" t="n">
        <f aca="false">(P144*$B$141)*(1+0.15)^7</f>
        <v>687514.058345714</v>
      </c>
      <c r="Q145" s="676"/>
    </row>
    <row r="146" customFormat="false" ht="10.15" hidden="false" customHeight="false" outlineLevel="0" collapsed="false">
      <c r="A146" s="674" t="s">
        <v>668</v>
      </c>
      <c r="B146" s="677" t="n">
        <f aca="false">B145*0.075</f>
        <v>0</v>
      </c>
      <c r="C146" s="677"/>
      <c r="D146" s="678" t="n">
        <f aca="false">(D145*0.075)*(1+0.025)^1</f>
        <v>0</v>
      </c>
      <c r="E146" s="678"/>
      <c r="F146" s="677" t="n">
        <f aca="false">(F145*0.075)*(1+0.025)^2</f>
        <v>35371.1989539844</v>
      </c>
      <c r="G146" s="677"/>
      <c r="H146" s="678" t="n">
        <f aca="false">(H145*0.075)*(1+0.025)^3</f>
        <v>65027.0287191884</v>
      </c>
      <c r="I146" s="678"/>
      <c r="J146" s="677" t="n">
        <f aca="false">(J145*0.075)*(1+0.025)^4</f>
        <v>103252.880667813</v>
      </c>
      <c r="K146" s="677"/>
      <c r="L146" s="678" t="n">
        <f aca="false">(L145*0.075)*(1+0.025)^5</f>
        <v>86631.5340314895</v>
      </c>
      <c r="M146" s="678"/>
      <c r="N146" s="677" t="n">
        <f aca="false">(N145*0.075)*(1+0.025)^6</f>
        <v>115899.572618585</v>
      </c>
      <c r="O146" s="677"/>
      <c r="P146" s="678" t="n">
        <f aca="false">(P145*0.25)*(1+0.025)^7</f>
        <v>204309.541650542</v>
      </c>
      <c r="Q146" s="678"/>
    </row>
    <row r="147" customFormat="false" ht="10.15" hidden="false" customHeight="false" outlineLevel="0" collapsed="false">
      <c r="A147" s="679" t="s">
        <v>669</v>
      </c>
      <c r="B147" s="680" t="n">
        <f aca="false">B145+B146</f>
        <v>0</v>
      </c>
      <c r="C147" s="680"/>
      <c r="D147" s="681" t="n">
        <f aca="false">ROUNDUP(D145+D146,0)</f>
        <v>0</v>
      </c>
      <c r="E147" s="681"/>
      <c r="F147" s="680" t="n">
        <f aca="false">ROUNDUP(F145+F146,0)</f>
        <v>484263</v>
      </c>
      <c r="G147" s="680"/>
      <c r="H147" s="681" t="n">
        <f aca="false">ROUNDUP(H145+H146,0)</f>
        <v>870148</v>
      </c>
      <c r="I147" s="681"/>
      <c r="J147" s="680" t="n">
        <f aca="false">ROUNDUP(J145+J146,0)</f>
        <v>1350480</v>
      </c>
      <c r="K147" s="680"/>
      <c r="L147" s="681" t="n">
        <f aca="false">ROUNDUP(L145+L146,0)</f>
        <v>1107561</v>
      </c>
      <c r="M147" s="681"/>
      <c r="N147" s="680" t="n">
        <f aca="false">ROUNDUP(N145+N146,0)</f>
        <v>1448431</v>
      </c>
      <c r="O147" s="680"/>
      <c r="P147" s="681" t="n">
        <f aca="false">ROUNDUP(P145+P146,0)</f>
        <v>891824</v>
      </c>
      <c r="Q147" s="681"/>
    </row>
    <row r="176" customFormat="false" ht="10.15" hidden="false" customHeight="false" outlineLevel="0" collapsed="false">
      <c r="A176" s="442" t="s">
        <v>670</v>
      </c>
      <c r="B176" s="595" t="n">
        <v>1</v>
      </c>
      <c r="C176" s="595" t="n">
        <v>2</v>
      </c>
      <c r="D176" s="595" t="n">
        <v>3</v>
      </c>
      <c r="E176" s="595" t="n">
        <v>4</v>
      </c>
      <c r="F176" s="595" t="n">
        <v>5</v>
      </c>
      <c r="G176" s="595" t="n">
        <v>6</v>
      </c>
      <c r="H176" s="595" t="n">
        <v>7</v>
      </c>
      <c r="I176" s="595" t="n">
        <v>8</v>
      </c>
      <c r="J176" s="595" t="n">
        <v>9</v>
      </c>
      <c r="K176" s="595" t="n">
        <v>10</v>
      </c>
      <c r="L176" s="595" t="n">
        <v>11</v>
      </c>
      <c r="M176" s="595" t="n">
        <v>12</v>
      </c>
      <c r="N176" s="595" t="n">
        <v>13</v>
      </c>
      <c r="O176" s="595" t="n">
        <v>14</v>
      </c>
      <c r="P176" s="595" t="n">
        <v>15</v>
      </c>
      <c r="Q176" s="595" t="n">
        <v>16</v>
      </c>
    </row>
    <row r="177" customFormat="false" ht="10.15" hidden="false" customHeight="false" outlineLevel="0" collapsed="false">
      <c r="B177" s="682" t="n">
        <f aca="false">$B$2-((7*365)+1)</f>
        <v>42827</v>
      </c>
      <c r="C177" s="682" t="n">
        <f aca="false">$C$2-((7*365)+2)</f>
        <v>43190</v>
      </c>
      <c r="D177" s="683" t="n">
        <f aca="false">$B$2-((6*365)+1)</f>
        <v>43192</v>
      </c>
      <c r="E177" s="683" t="n">
        <f aca="false">$C$2-((6*365)+1)</f>
        <v>43556</v>
      </c>
      <c r="F177" s="682" t="n">
        <f aca="false">$B$2-((5*365)+1)</f>
        <v>43557</v>
      </c>
      <c r="G177" s="682" t="n">
        <f aca="false">$C$2-((5*365)+1)</f>
        <v>43921</v>
      </c>
      <c r="H177" s="683" t="n">
        <f aca="false">$B$2-((4*365)+1)</f>
        <v>43922</v>
      </c>
      <c r="I177" s="683" t="n">
        <f aca="false">$C$2-((4*365)+1)</f>
        <v>44286</v>
      </c>
      <c r="J177" s="682" t="n">
        <f aca="false">$B$2-((3*365))</f>
        <v>44288</v>
      </c>
      <c r="K177" s="682" t="n">
        <f aca="false">$C$2-((3*365)+1)</f>
        <v>44651</v>
      </c>
      <c r="L177" s="683" t="n">
        <f aca="false">$B$2-(2*365)</f>
        <v>44653</v>
      </c>
      <c r="M177" s="683" t="n">
        <f aca="false">$C$2-(2*365)</f>
        <v>45017</v>
      </c>
      <c r="N177" s="682" t="n">
        <f aca="false">$B$2-(1*365)</f>
        <v>45018</v>
      </c>
      <c r="O177" s="682" t="n">
        <f aca="false">$C$2-(1*365)</f>
        <v>45382</v>
      </c>
      <c r="P177" s="683" t="n">
        <f aca="false">$B$2</f>
        <v>45383</v>
      </c>
      <c r="Q177" s="683" t="n">
        <f aca="false">$C$2</f>
        <v>45747</v>
      </c>
    </row>
    <row r="178" customFormat="false" ht="10.15" hidden="false" customHeight="false" outlineLevel="0" collapsed="false">
      <c r="B178" s="684" t="s">
        <v>671</v>
      </c>
      <c r="C178" s="684"/>
      <c r="D178" s="685" t="s">
        <v>672</v>
      </c>
      <c r="E178" s="685"/>
      <c r="F178" s="684" t="s">
        <v>673</v>
      </c>
      <c r="G178" s="684"/>
      <c r="H178" s="685" t="s">
        <v>674</v>
      </c>
      <c r="I178" s="685"/>
      <c r="J178" s="684" t="s">
        <v>675</v>
      </c>
      <c r="K178" s="684"/>
      <c r="L178" s="685" t="s">
        <v>676</v>
      </c>
      <c r="M178" s="685"/>
      <c r="N178" s="684" t="s">
        <v>677</v>
      </c>
      <c r="O178" s="684"/>
      <c r="P178" s="685" t="s">
        <v>678</v>
      </c>
      <c r="Q178" s="685"/>
    </row>
    <row r="179" customFormat="false" ht="10.15" hidden="false" customHeight="false" outlineLevel="0" collapsed="false">
      <c r="B179" s="684" t="s">
        <v>679</v>
      </c>
      <c r="C179" s="684"/>
      <c r="D179" s="685" t="s">
        <v>680</v>
      </c>
      <c r="E179" s="685"/>
      <c r="F179" s="684" t="s">
        <v>681</v>
      </c>
      <c r="G179" s="684"/>
      <c r="H179" s="685" t="s">
        <v>680</v>
      </c>
      <c r="I179" s="685"/>
      <c r="J179" s="684" t="s">
        <v>681</v>
      </c>
      <c r="K179" s="684"/>
      <c r="L179" s="685" t="s">
        <v>680</v>
      </c>
      <c r="M179" s="685"/>
      <c r="N179" s="684" t="s">
        <v>681</v>
      </c>
      <c r="O179" s="684"/>
      <c r="P179" s="685" t="s">
        <v>682</v>
      </c>
      <c r="Q179" s="685"/>
    </row>
    <row r="182" customFormat="false" ht="10.15" hidden="false" customHeight="false" outlineLevel="0" collapsed="false">
      <c r="B182" s="595" t="n">
        <v>1</v>
      </c>
      <c r="C182" s="595" t="n">
        <v>2</v>
      </c>
      <c r="D182" s="595" t="n">
        <v>3</v>
      </c>
      <c r="E182" s="595" t="n">
        <v>4</v>
      </c>
      <c r="F182" s="595" t="n">
        <v>5</v>
      </c>
      <c r="G182" s="595" t="n">
        <v>6</v>
      </c>
      <c r="H182" s="595" t="n">
        <v>7</v>
      </c>
      <c r="I182" s="595" t="n">
        <v>8</v>
      </c>
      <c r="J182" s="595" t="n">
        <v>9</v>
      </c>
      <c r="K182" s="595" t="n">
        <v>10</v>
      </c>
      <c r="L182" s="595" t="n">
        <v>11</v>
      </c>
      <c r="M182" s="595" t="n">
        <v>12</v>
      </c>
      <c r="N182" s="595" t="n">
        <v>13</v>
      </c>
      <c r="O182" s="595" t="n">
        <v>14</v>
      </c>
      <c r="P182" s="595" t="n">
        <v>15</v>
      </c>
      <c r="Q182" s="595" t="n">
        <v>16</v>
      </c>
      <c r="R182" s="595" t="n">
        <v>17</v>
      </c>
      <c r="S182" s="595" t="n">
        <v>18</v>
      </c>
    </row>
    <row r="183" customFormat="false" ht="10.15" hidden="false" customHeight="false" outlineLevel="0" collapsed="false">
      <c r="B183" s="686" t="n">
        <f aca="false">$B$3-((8*365)+2)</f>
        <v>42827</v>
      </c>
      <c r="C183" s="686" t="n">
        <f aca="false">$C$3-(8*365)-1</f>
        <v>43191</v>
      </c>
      <c r="D183" s="682" t="n">
        <f aca="false">$B$3-((7*365)+2)</f>
        <v>43192</v>
      </c>
      <c r="E183" s="682" t="n">
        <f aca="false">$C$3-((7*365)+2)</f>
        <v>43555</v>
      </c>
      <c r="F183" s="683" t="n">
        <f aca="false">$B$3-((6*365)+2)</f>
        <v>43557</v>
      </c>
      <c r="G183" s="683" t="n">
        <f aca="false">$C$3-((6*365)+1)</f>
        <v>43921</v>
      </c>
      <c r="H183" s="682" t="n">
        <f aca="false">$B$3-((5*365)+2)</f>
        <v>43922</v>
      </c>
      <c r="I183" s="682" t="n">
        <f aca="false">$C$3-((5*365)+1)</f>
        <v>44286</v>
      </c>
      <c r="J183" s="683" t="n">
        <f aca="false">$B$3-((4*365)+1)</f>
        <v>44288</v>
      </c>
      <c r="K183" s="683" t="n">
        <f aca="false">$C$3-((4*365)+1)</f>
        <v>44651</v>
      </c>
      <c r="L183" s="682" t="n">
        <f aca="false">$B$3-((3*365)+1)</f>
        <v>44653</v>
      </c>
      <c r="M183" s="682" t="n">
        <f aca="false">$C$3-((3*365)+1)</f>
        <v>45016</v>
      </c>
      <c r="N183" s="683" t="n">
        <f aca="false">$B$3-((2*365)+1)</f>
        <v>45018</v>
      </c>
      <c r="O183" s="683" t="n">
        <f aca="false">$C$3-(2*365)</f>
        <v>45382</v>
      </c>
      <c r="P183" s="682" t="n">
        <f aca="false">$B$3-((1*365)+1)</f>
        <v>45383</v>
      </c>
      <c r="Q183" s="682" t="n">
        <f aca="false">$C$3-(1*365)</f>
        <v>45747</v>
      </c>
      <c r="R183" s="683" t="n">
        <f aca="false">$B$3</f>
        <v>45749</v>
      </c>
      <c r="S183" s="683" t="n">
        <f aca="false">$C$3</f>
        <v>46112</v>
      </c>
    </row>
    <row r="184" customFormat="false" ht="10.15" hidden="false" customHeight="false" outlineLevel="0" collapsed="false">
      <c r="B184" s="687" t="s">
        <v>683</v>
      </c>
      <c r="C184" s="687"/>
      <c r="D184" s="684" t="s">
        <v>671</v>
      </c>
      <c r="E184" s="684"/>
      <c r="F184" s="685" t="s">
        <v>672</v>
      </c>
      <c r="G184" s="685"/>
      <c r="H184" s="684" t="s">
        <v>673</v>
      </c>
      <c r="I184" s="684"/>
      <c r="J184" s="685" t="s">
        <v>674</v>
      </c>
      <c r="K184" s="685"/>
      <c r="L184" s="684" t="s">
        <v>675</v>
      </c>
      <c r="M184" s="684"/>
      <c r="N184" s="685" t="s">
        <v>676</v>
      </c>
      <c r="O184" s="685"/>
      <c r="P184" s="684" t="s">
        <v>677</v>
      </c>
      <c r="Q184" s="684"/>
      <c r="R184" s="685" t="s">
        <v>678</v>
      </c>
      <c r="S184" s="685"/>
    </row>
    <row r="185" customFormat="false" ht="10.15" hidden="false" customHeight="false" outlineLevel="0" collapsed="false">
      <c r="B185" s="687" t="s">
        <v>681</v>
      </c>
      <c r="C185" s="687"/>
      <c r="D185" s="684" t="s">
        <v>679</v>
      </c>
      <c r="E185" s="684"/>
      <c r="F185" s="685" t="s">
        <v>680</v>
      </c>
      <c r="G185" s="685"/>
      <c r="H185" s="684" t="s">
        <v>681</v>
      </c>
      <c r="I185" s="684"/>
      <c r="J185" s="685" t="s">
        <v>680</v>
      </c>
      <c r="K185" s="685"/>
      <c r="L185" s="684" t="s">
        <v>681</v>
      </c>
      <c r="M185" s="684"/>
      <c r="N185" s="685" t="s">
        <v>680</v>
      </c>
      <c r="O185" s="685"/>
      <c r="P185" s="684" t="s">
        <v>681</v>
      </c>
      <c r="Q185" s="684"/>
      <c r="R185" s="685" t="s">
        <v>682</v>
      </c>
      <c r="S185" s="685"/>
    </row>
    <row r="188" customFormat="false" ht="10.15" hidden="false" customHeight="false" outlineLevel="0" collapsed="false">
      <c r="B188" s="688" t="s">
        <v>524</v>
      </c>
      <c r="C188" s="689" t="s">
        <v>684</v>
      </c>
      <c r="D188" s="689" t="s">
        <v>680</v>
      </c>
      <c r="E188" s="689" t="s">
        <v>685</v>
      </c>
      <c r="F188" s="689" t="s">
        <v>681</v>
      </c>
    </row>
    <row r="189" customFormat="false" ht="10.15" hidden="false" customHeight="false" outlineLevel="0" collapsed="false">
      <c r="B189" s="0" t="s">
        <v>253</v>
      </c>
      <c r="C189" s="690" t="n">
        <v>2250</v>
      </c>
      <c r="D189" s="690" t="n">
        <v>7425</v>
      </c>
      <c r="E189" s="690" t="n">
        <v>2525</v>
      </c>
      <c r="F189" s="690" t="n">
        <f aca="false">C189+E189</f>
        <v>4775</v>
      </c>
    </row>
    <row r="190" customFormat="false" ht="10.15" hidden="false" customHeight="false" outlineLevel="0" collapsed="false">
      <c r="B190" s="0" t="s">
        <v>254</v>
      </c>
      <c r="C190" s="691" t="n">
        <v>3600</v>
      </c>
      <c r="D190" s="691" t="n">
        <v>15713.28</v>
      </c>
      <c r="E190" s="691" t="n">
        <v>4000.34</v>
      </c>
      <c r="F190" s="690" t="n">
        <f aca="false">C190+E190</f>
        <v>7600.34</v>
      </c>
    </row>
    <row r="191" customFormat="false" ht="10.15" hidden="false" customHeight="false" outlineLevel="0" collapsed="false">
      <c r="B191" s="0" t="s">
        <v>256</v>
      </c>
      <c r="C191" s="691" t="n">
        <v>3149.54</v>
      </c>
      <c r="D191" s="691" t="n">
        <v>7856.64</v>
      </c>
      <c r="E191" s="691" t="n">
        <v>2525</v>
      </c>
      <c r="F191" s="690" t="n">
        <f aca="false">C191+E191</f>
        <v>5674.54</v>
      </c>
    </row>
    <row r="192" customFormat="false" ht="10.15" hidden="false" customHeight="false" outlineLevel="0" collapsed="false">
      <c r="B192" s="0" t="s">
        <v>259</v>
      </c>
      <c r="C192" s="691" t="n">
        <v>2250</v>
      </c>
      <c r="D192" s="691" t="n">
        <v>9820.8</v>
      </c>
      <c r="E192" s="691" t="n">
        <v>2525</v>
      </c>
      <c r="F192" s="690" t="n">
        <f aca="false">C192+E192</f>
        <v>4775</v>
      </c>
    </row>
    <row r="193" customFormat="false" ht="10.15" hidden="false" customHeight="false" outlineLevel="0" collapsed="false">
      <c r="B193" s="0" t="s">
        <v>261</v>
      </c>
      <c r="C193" s="691" t="n">
        <v>1800</v>
      </c>
      <c r="D193" s="691" t="n">
        <v>7856.64</v>
      </c>
      <c r="E193" s="691" t="n">
        <v>2033.22</v>
      </c>
      <c r="F193" s="690" t="n">
        <f aca="false">C193+E193</f>
        <v>3833.22</v>
      </c>
    </row>
    <row r="194" customFormat="false" ht="10.15" hidden="false" customHeight="false" outlineLevel="0" collapsed="false">
      <c r="B194" s="0" t="s">
        <v>263</v>
      </c>
      <c r="C194" s="691" t="n">
        <v>2250</v>
      </c>
      <c r="D194" s="691" t="n">
        <v>9820.8</v>
      </c>
      <c r="E194" s="691" t="n">
        <v>2525</v>
      </c>
      <c r="F194" s="690" t="n">
        <f aca="false">C194+E194</f>
        <v>4775</v>
      </c>
    </row>
    <row r="195" customFormat="false" ht="10.15" hidden="false" customHeight="false" outlineLevel="0" collapsed="false">
      <c r="B195" s="0" t="s">
        <v>265</v>
      </c>
      <c r="C195" s="691" t="n">
        <v>4500</v>
      </c>
      <c r="D195" s="691" t="n">
        <v>13749.12</v>
      </c>
      <c r="E195" s="691" t="n">
        <v>3016.78</v>
      </c>
      <c r="F195" s="690" t="n">
        <f aca="false">C195+E195</f>
        <v>7516.78</v>
      </c>
    </row>
    <row r="196" customFormat="false" ht="10.15" hidden="false" customHeight="false" outlineLevel="0" collapsed="false">
      <c r="B196" s="0" t="s">
        <v>266</v>
      </c>
      <c r="C196" s="691" t="n">
        <v>5579.03</v>
      </c>
      <c r="D196" s="691" t="n">
        <v>19641.6</v>
      </c>
      <c r="E196" s="691" t="n">
        <v>5475.68</v>
      </c>
      <c r="F196" s="690" t="n">
        <f aca="false">C196+E196</f>
        <v>11054.71</v>
      </c>
    </row>
    <row r="197" customFormat="false" ht="10.15" hidden="false" customHeight="false" outlineLevel="0" collapsed="false">
      <c r="B197" s="0" t="s">
        <v>267</v>
      </c>
      <c r="C197" s="691" t="n">
        <v>5400</v>
      </c>
      <c r="D197" s="691" t="n">
        <v>14731.2</v>
      </c>
      <c r="E197" s="691" t="n">
        <v>3016.78</v>
      </c>
      <c r="F197" s="690" t="n">
        <f aca="false">C197+E197</f>
        <v>8416.78</v>
      </c>
    </row>
    <row r="198" customFormat="false" ht="10.15" hidden="false" customHeight="false" outlineLevel="0" collapsed="false">
      <c r="B198" s="0" t="s">
        <v>268</v>
      </c>
      <c r="C198" s="691" t="n">
        <v>3600</v>
      </c>
      <c r="D198" s="691" t="n">
        <v>12767.04</v>
      </c>
      <c r="E198" s="691" t="n">
        <v>3016.78</v>
      </c>
      <c r="F198" s="690" t="n">
        <f aca="false">C198+E198</f>
        <v>6616.78</v>
      </c>
    </row>
    <row r="199" customFormat="false" ht="10.15" hidden="false" customHeight="false" outlineLevel="0" collapsed="false">
      <c r="B199" s="0" t="s">
        <v>269</v>
      </c>
      <c r="C199" s="691" t="n">
        <v>5400</v>
      </c>
      <c r="D199" s="691" t="n">
        <v>14731.2</v>
      </c>
      <c r="E199" s="691" t="n">
        <v>3016.78</v>
      </c>
      <c r="F199" s="690" t="n">
        <f aca="false">C199+E199</f>
        <v>8416.78</v>
      </c>
    </row>
    <row r="200" customFormat="false" ht="10.15" hidden="false" customHeight="false" outlineLevel="0" collapsed="false">
      <c r="B200" s="0" t="s">
        <v>270</v>
      </c>
      <c r="C200" s="691" t="n">
        <v>3150</v>
      </c>
      <c r="D200" s="691" t="n">
        <v>10802.88</v>
      </c>
      <c r="E200" s="691" t="n">
        <v>2525</v>
      </c>
      <c r="F200" s="690" t="n">
        <f aca="false">C200+E200</f>
        <v>5675</v>
      </c>
    </row>
    <row r="201" customFormat="false" ht="10.15" hidden="false" customHeight="false" outlineLevel="0" collapsed="false">
      <c r="B201" s="0" t="s">
        <v>271</v>
      </c>
      <c r="C201" s="691" t="n">
        <v>1800</v>
      </c>
      <c r="D201" s="691" t="n">
        <v>7856.64</v>
      </c>
      <c r="E201" s="691" t="n">
        <v>2033.22</v>
      </c>
      <c r="F201" s="690" t="n">
        <f aca="false">C201+E201</f>
        <v>3833.22</v>
      </c>
    </row>
    <row r="202" customFormat="false" ht="10.15" hidden="false" customHeight="false" outlineLevel="0" collapsed="false">
      <c r="B202" s="0" t="s">
        <v>272</v>
      </c>
      <c r="C202" s="691" t="n">
        <v>2610.48</v>
      </c>
      <c r="D202" s="691" t="n">
        <v>9329.76</v>
      </c>
      <c r="E202" s="691" t="n">
        <v>2525</v>
      </c>
      <c r="F202" s="690" t="n">
        <f aca="false">C202+E202</f>
        <v>5135.48</v>
      </c>
    </row>
    <row r="203" customFormat="false" ht="10.15" hidden="false" customHeight="false" outlineLevel="0" collapsed="false">
      <c r="B203" s="0" t="s">
        <v>274</v>
      </c>
      <c r="C203" s="691" t="n">
        <v>900</v>
      </c>
      <c r="D203" s="691" t="n">
        <v>3928.32</v>
      </c>
      <c r="E203" s="691" t="n">
        <v>1049.66</v>
      </c>
      <c r="F203" s="690" t="n">
        <f aca="false">C203+E203</f>
        <v>1949.66</v>
      </c>
    </row>
    <row r="204" customFormat="false" ht="10.15" hidden="false" customHeight="false" outlineLevel="0" collapsed="false">
      <c r="B204" s="0" t="s">
        <v>276</v>
      </c>
      <c r="C204" s="691" t="n">
        <v>1170.97</v>
      </c>
      <c r="D204" s="691" t="n">
        <v>3928.32</v>
      </c>
      <c r="E204" s="691" t="n">
        <v>1673.64</v>
      </c>
      <c r="F204" s="690" t="n">
        <f aca="false">C204+E204</f>
        <v>2844.61</v>
      </c>
    </row>
    <row r="205" customFormat="false" ht="10.15" hidden="false" customHeight="false" outlineLevel="0" collapsed="false">
      <c r="B205" s="0" t="s">
        <v>277</v>
      </c>
      <c r="C205" s="691" t="n">
        <v>4139.52</v>
      </c>
      <c r="D205" s="691" t="n">
        <v>12767.04</v>
      </c>
      <c r="E205" s="691" t="n">
        <v>4000.34</v>
      </c>
      <c r="F205" s="690" t="n">
        <f aca="false">C205+E205</f>
        <v>8139.86</v>
      </c>
    </row>
    <row r="206" customFormat="false" ht="10.15" hidden="false" customHeight="false" outlineLevel="0" collapsed="false">
      <c r="B206" s="0" t="s">
        <v>278</v>
      </c>
      <c r="C206" s="691" t="n">
        <v>900</v>
      </c>
      <c r="D206" s="691" t="n">
        <v>3928.32</v>
      </c>
      <c r="E206" s="691" t="n">
        <v>1049.66</v>
      </c>
      <c r="F206" s="690" t="n">
        <f aca="false">C206+E206</f>
        <v>1949.66</v>
      </c>
    </row>
    <row r="207" customFormat="false" ht="10.15" hidden="false" customHeight="false" outlineLevel="0" collapsed="false">
      <c r="B207" s="0" t="s">
        <v>279</v>
      </c>
      <c r="C207" s="691" t="n">
        <v>900</v>
      </c>
      <c r="D207" s="691" t="n">
        <v>982.08</v>
      </c>
      <c r="E207" s="691" t="n">
        <v>557.88</v>
      </c>
      <c r="F207" s="690" t="n">
        <f aca="false">C207+E207</f>
        <v>1457.88</v>
      </c>
    </row>
    <row r="208" customFormat="false" ht="10.15" hidden="false" customHeight="false" outlineLevel="0" collapsed="false">
      <c r="B208" s="0" t="s">
        <v>686</v>
      </c>
      <c r="C208" s="691" t="n">
        <v>900</v>
      </c>
      <c r="D208" s="691" t="n">
        <v>982.08</v>
      </c>
      <c r="E208" s="691" t="n">
        <v>557.88</v>
      </c>
      <c r="F208" s="690" t="n">
        <f aca="false">C208+E208</f>
        <v>1457.88</v>
      </c>
    </row>
    <row r="209" customFormat="false" ht="10.15" hidden="false" customHeight="false" outlineLevel="0" collapsed="false">
      <c r="B209" s="0" t="s">
        <v>280</v>
      </c>
      <c r="C209" s="691" t="n">
        <v>1800</v>
      </c>
      <c r="D209" s="691" t="n">
        <v>3928.32</v>
      </c>
      <c r="E209" s="691" t="n">
        <v>1049.66</v>
      </c>
      <c r="F209" s="690" t="n">
        <f aca="false">C209+E209</f>
        <v>2849.66</v>
      </c>
    </row>
    <row r="210" customFormat="false" ht="10.15" hidden="false" customHeight="false" outlineLevel="0" collapsed="false">
      <c r="B210" s="0" t="s">
        <v>281</v>
      </c>
      <c r="C210" s="691" t="n">
        <v>1800</v>
      </c>
      <c r="D210" s="691" t="n">
        <v>3928.32</v>
      </c>
      <c r="E210" s="691" t="n">
        <v>1049.66</v>
      </c>
      <c r="F210" s="690" t="n">
        <f aca="false">C210+E210</f>
        <v>2849.66</v>
      </c>
    </row>
    <row r="211" customFormat="false" ht="10.15" hidden="false" customHeight="false" outlineLevel="0" collapsed="false">
      <c r="B211" s="0" t="s">
        <v>282</v>
      </c>
      <c r="C211" s="691" t="n">
        <v>1800</v>
      </c>
      <c r="D211" s="691" t="n">
        <v>4419.36</v>
      </c>
      <c r="E211" s="691" t="n">
        <v>1541.44</v>
      </c>
      <c r="F211" s="690" t="n">
        <f aca="false">C211+E211</f>
        <v>3341.44</v>
      </c>
    </row>
    <row r="212" customFormat="false" ht="10.15" hidden="false" customHeight="false" outlineLevel="0" collapsed="false">
      <c r="B212" s="0" t="s">
        <v>283</v>
      </c>
      <c r="C212" s="691" t="n">
        <v>1800</v>
      </c>
      <c r="D212" s="691" t="n">
        <v>3928.32</v>
      </c>
      <c r="E212" s="691" t="n">
        <v>1541.44</v>
      </c>
      <c r="F212" s="690" t="n">
        <f aca="false">C212+E212</f>
        <v>3341.44</v>
      </c>
    </row>
    <row r="213" customFormat="false" ht="10.15" hidden="false" customHeight="false" outlineLevel="0" collapsed="false">
      <c r="B213" s="0" t="s">
        <v>284</v>
      </c>
      <c r="C213" s="691" t="n">
        <v>1800</v>
      </c>
      <c r="D213" s="691" t="n">
        <v>3928.32</v>
      </c>
      <c r="E213" s="691" t="n">
        <v>1049.66</v>
      </c>
      <c r="F213" s="690" t="n">
        <f aca="false">C213+E213</f>
        <v>2849.66</v>
      </c>
    </row>
    <row r="214" customFormat="false" ht="10.15" hidden="false" customHeight="false" outlineLevel="0" collapsed="false">
      <c r="B214" s="0" t="s">
        <v>285</v>
      </c>
      <c r="C214" s="691" t="n">
        <v>1800</v>
      </c>
      <c r="D214" s="691" t="n">
        <v>2964.24</v>
      </c>
      <c r="E214" s="691" t="n">
        <v>1049.66</v>
      </c>
      <c r="F214" s="690" t="n">
        <f aca="false">C214+E214</f>
        <v>2849.66</v>
      </c>
    </row>
    <row r="215" customFormat="false" ht="10.15" hidden="false" customHeight="false" outlineLevel="0" collapsed="false">
      <c r="B215" s="0" t="s">
        <v>687</v>
      </c>
      <c r="C215" s="691" t="n">
        <v>900</v>
      </c>
      <c r="D215" s="691" t="n">
        <v>491.04</v>
      </c>
      <c r="E215" s="691" t="n">
        <v>557.88</v>
      </c>
      <c r="F215" s="690" t="n">
        <f aca="false">C215+E215</f>
        <v>1457.88</v>
      </c>
    </row>
  </sheetData>
  <autoFilter ref="X1:X231"/>
  <mergeCells count="111">
    <mergeCell ref="D1:E1"/>
    <mergeCell ref="G2:H2"/>
    <mergeCell ref="G3:H3"/>
    <mergeCell ref="W6:X6"/>
    <mergeCell ref="Y6:Z6"/>
    <mergeCell ref="AA8:AA12"/>
    <mergeCell ref="AA13:AA20"/>
    <mergeCell ref="AA21:AA25"/>
    <mergeCell ref="AA26:AA30"/>
    <mergeCell ref="AA32:AA35"/>
    <mergeCell ref="AA36:AA40"/>
    <mergeCell ref="AA43:AA48"/>
    <mergeCell ref="AA51:AA59"/>
    <mergeCell ref="AA60:AA65"/>
    <mergeCell ref="AA68:AA73"/>
    <mergeCell ref="AA76:AA81"/>
    <mergeCell ref="AA84:AA88"/>
    <mergeCell ref="AA89:AA92"/>
    <mergeCell ref="AA93:AA97"/>
    <mergeCell ref="AA98:AA99"/>
    <mergeCell ref="AA100:AA102"/>
    <mergeCell ref="AA103:AA104"/>
    <mergeCell ref="AA105:AA106"/>
    <mergeCell ref="AA107:AA108"/>
    <mergeCell ref="AA109:AA110"/>
    <mergeCell ref="AA111:AA112"/>
    <mergeCell ref="AA113:AA115"/>
    <mergeCell ref="AA116:AA117"/>
    <mergeCell ref="AA118:AA119"/>
    <mergeCell ref="AA120:AA122"/>
    <mergeCell ref="A128:B128"/>
    <mergeCell ref="A130:B130"/>
    <mergeCell ref="A131:B131"/>
    <mergeCell ref="A132:B132"/>
    <mergeCell ref="A133:B133"/>
    <mergeCell ref="A134:B134"/>
    <mergeCell ref="A135:B135"/>
    <mergeCell ref="B143:C143"/>
    <mergeCell ref="D143:E143"/>
    <mergeCell ref="F143:G143"/>
    <mergeCell ref="H143:I143"/>
    <mergeCell ref="J143:K143"/>
    <mergeCell ref="L143:M143"/>
    <mergeCell ref="N143:O143"/>
    <mergeCell ref="P143:Q143"/>
    <mergeCell ref="B144:C144"/>
    <mergeCell ref="D144:E144"/>
    <mergeCell ref="F144:G144"/>
    <mergeCell ref="H144:I144"/>
    <mergeCell ref="J144:K144"/>
    <mergeCell ref="L144:M144"/>
    <mergeCell ref="N144:O144"/>
    <mergeCell ref="P144:Q144"/>
    <mergeCell ref="B145:C145"/>
    <mergeCell ref="D145:E145"/>
    <mergeCell ref="F145:G145"/>
    <mergeCell ref="H145:I145"/>
    <mergeCell ref="J145:K145"/>
    <mergeCell ref="L145:M145"/>
    <mergeCell ref="N145:O145"/>
    <mergeCell ref="P145:Q145"/>
    <mergeCell ref="B146:C146"/>
    <mergeCell ref="D146:E146"/>
    <mergeCell ref="F146:G146"/>
    <mergeCell ref="H146:I146"/>
    <mergeCell ref="J146:K146"/>
    <mergeCell ref="L146:M146"/>
    <mergeCell ref="N146:O146"/>
    <mergeCell ref="P146:Q146"/>
    <mergeCell ref="B147:C147"/>
    <mergeCell ref="D147:E147"/>
    <mergeCell ref="F147:G147"/>
    <mergeCell ref="H147:I147"/>
    <mergeCell ref="J147:K147"/>
    <mergeCell ref="L147:M147"/>
    <mergeCell ref="N147:O147"/>
    <mergeCell ref="P147:Q147"/>
    <mergeCell ref="B178:C178"/>
    <mergeCell ref="D178:E178"/>
    <mergeCell ref="F178:G178"/>
    <mergeCell ref="H178:I178"/>
    <mergeCell ref="J178:K178"/>
    <mergeCell ref="L178:M178"/>
    <mergeCell ref="N178:O178"/>
    <mergeCell ref="P178:Q178"/>
    <mergeCell ref="B179:C179"/>
    <mergeCell ref="D179:E179"/>
    <mergeCell ref="F179:G179"/>
    <mergeCell ref="H179:I179"/>
    <mergeCell ref="J179:K179"/>
    <mergeCell ref="L179:M179"/>
    <mergeCell ref="N179:O179"/>
    <mergeCell ref="P179:Q179"/>
    <mergeCell ref="B184:C184"/>
    <mergeCell ref="D184:E184"/>
    <mergeCell ref="F184:G184"/>
    <mergeCell ref="H184:I184"/>
    <mergeCell ref="J184:K184"/>
    <mergeCell ref="L184:M184"/>
    <mergeCell ref="N184:O184"/>
    <mergeCell ref="P184:Q184"/>
    <mergeCell ref="R184:S184"/>
    <mergeCell ref="B185:C185"/>
    <mergeCell ref="D185:E185"/>
    <mergeCell ref="F185:G185"/>
    <mergeCell ref="H185:I185"/>
    <mergeCell ref="J185:K185"/>
    <mergeCell ref="L185:M185"/>
    <mergeCell ref="N185:O185"/>
    <mergeCell ref="P185:Q185"/>
    <mergeCell ref="R185:S185"/>
  </mergeCells>
  <conditionalFormatting sqref="E8:P20 E21:E25 N21:P25 E26:P122">
    <cfRule type="cellIs" priority="2" operator="greaterThan" aboveAverage="0" equalAverage="0" bottom="0" percent="0" rank="0" text="" dxfId="59">
      <formula>$E$3</formula>
    </cfRule>
    <cfRule type="cellIs" priority="3" operator="between" aboveAverage="0" equalAverage="0" bottom="0" percent="0" rank="0" text="" dxfId="60">
      <formula>$D$3-1</formula>
      <formula>$E$3</formula>
    </cfRule>
    <cfRule type="cellIs" priority="4" operator="between" aboveAverage="0" equalAverage="0" bottom="0" percent="0" rank="0" text="" dxfId="61">
      <formula>$D$2-1</formula>
      <formula>$E$2</formula>
    </cfRule>
    <cfRule type="cellIs" priority="5" operator="lessThanOrEqual" aboveAverage="0" equalAverage="0" bottom="0" percent="0" rank="0" text="" dxfId="62">
      <formula>$D$2</formula>
    </cfRule>
  </conditionalFormatting>
  <conditionalFormatting sqref="E8:P20 N21:P25 E26:P122 E21:E25">
    <cfRule type="expression" priority="6" aboveAverage="0" equalAverage="0" bottom="0" percent="0" rank="0" text="" dxfId="63">
      <formula>LEN(TRIM(E8))=0</formula>
    </cfRule>
  </conditionalFormatting>
  <conditionalFormatting sqref="P8:P122">
    <cfRule type="beginsWith" priority="7" operator="beginsWith" aboveAverage="0" equalAverage="0" bottom="0" percent="0" rank="0" text="Planned" dxfId="64">
      <formula>LEFT(P8,LEN("Planned"))="Planned"</formula>
    </cfRule>
    <cfRule type="beginsWith" priority="8" operator="beginsWith" aboveAverage="0" equalAverage="0" bottom="0" percent="0" rank="0" text="6v165/6" dxfId="65">
      <formula>LEFT(P8,LEN("6v165/6"))="6v165/6"</formula>
    </cfRule>
  </conditionalFormatting>
  <dataValidations count="1">
    <dataValidation allowBlank="true" operator="between" showDropDown="false" showErrorMessage="true" showInputMessage="true" sqref="P8:P122" type="list">
      <formula1>"SBS XL 170F-FT,6V165/6,Planned HT this FY"</formula1>
      <formula2>0</formula2>
    </dataValidation>
  </dataValidations>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5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99" activeCellId="0" sqref="D99"/>
    </sheetView>
  </sheetViews>
  <sheetFormatPr defaultColWidth="8.66796875" defaultRowHeight="10.15" zeroHeight="false" outlineLevelRow="0" outlineLevelCol="0"/>
  <cols>
    <col collapsed="false" customWidth="true" hidden="false" outlineLevel="0" max="1" min="1" style="0" width="44.5"/>
    <col collapsed="false" customWidth="true" hidden="false" outlineLevel="0" max="2" min="2" style="0" width="26.5"/>
    <col collapsed="false" customWidth="true" hidden="false" outlineLevel="0" max="3" min="3" style="0" width="37.5"/>
    <col collapsed="false" customWidth="true" hidden="false" outlineLevel="0" max="4" min="4" style="0" width="25.66"/>
    <col collapsed="false" customWidth="true" hidden="false" outlineLevel="0" max="5" min="5" style="0" width="37.5"/>
    <col collapsed="false" customWidth="true" hidden="false" outlineLevel="0" max="6" min="6" style="0" width="56.17"/>
    <col collapsed="false" customWidth="true" hidden="false" outlineLevel="0" max="7" min="7" style="0" width="43.66"/>
    <col collapsed="false" customWidth="true" hidden="false" outlineLevel="0" max="8" min="8" style="0" width="35.5"/>
    <col collapsed="false" customWidth="true" hidden="false" outlineLevel="0" max="9" min="9" style="0" width="46.5"/>
    <col collapsed="false" customWidth="true" hidden="false" outlineLevel="0" max="10" min="10" style="0" width="31"/>
    <col collapsed="false" customWidth="true" hidden="false" outlineLevel="0" max="11" min="11" style="0" width="33"/>
    <col collapsed="false" customWidth="true" hidden="false" outlineLevel="0" max="12" min="12" style="0" width="35.66"/>
    <col collapsed="false" customWidth="true" hidden="false" outlineLevel="0" max="20" min="20" style="0" width="3.66"/>
    <col collapsed="false" customWidth="true" hidden="false" outlineLevel="0" max="22" min="22" style="0" width="3.66"/>
  </cols>
  <sheetData>
    <row r="1" customFormat="false" ht="13.15" hidden="false" customHeight="false" outlineLevel="0" collapsed="false">
      <c r="A1" s="692" t="s">
        <v>688</v>
      </c>
      <c r="B1" s="693" t="s">
        <v>689</v>
      </c>
      <c r="C1" s="693" t="s">
        <v>408</v>
      </c>
      <c r="D1" s="693" t="s">
        <v>407</v>
      </c>
      <c r="E1" s="693" t="s">
        <v>690</v>
      </c>
      <c r="F1" s="693" t="s">
        <v>581</v>
      </c>
      <c r="G1" s="693" t="s">
        <v>691</v>
      </c>
      <c r="H1" s="694" t="s">
        <v>252</v>
      </c>
      <c r="I1" s="694" t="s">
        <v>692</v>
      </c>
      <c r="J1" s="693" t="s">
        <v>693</v>
      </c>
      <c r="K1" s="693" t="s">
        <v>694</v>
      </c>
      <c r="L1" s="695" t="s">
        <v>695</v>
      </c>
    </row>
    <row r="2" customFormat="false" ht="13.15" hidden="false" customHeight="false" outlineLevel="0" collapsed="false">
      <c r="A2" s="696" t="s">
        <v>253</v>
      </c>
      <c r="B2" s="697" t="n">
        <f aca="false">'Plant loading'!G4</f>
        <v>164.154</v>
      </c>
      <c r="C2" s="697" t="n">
        <f aca="false">'Plant loading'!R4</f>
        <v>0</v>
      </c>
      <c r="D2" s="697" t="n">
        <f aca="false">SUM('Plant loading'!AC4:AC8)*54.5/1000</f>
        <v>13.8975</v>
      </c>
      <c r="E2" s="697" t="n">
        <f aca="false">SUM(C2+D2)</f>
        <v>13.8975</v>
      </c>
      <c r="F2" s="698" t="n">
        <f aca="false">SUM('Plant loading'!J4:J8)</f>
        <v>630</v>
      </c>
      <c r="G2" s="698" t="n">
        <f aca="false">SUM(F2/2)</f>
        <v>315</v>
      </c>
      <c r="H2" s="698" t="n">
        <f aca="false">'Building Capability'!E3</f>
        <v>630</v>
      </c>
      <c r="I2" s="698" t="n">
        <f aca="false">'Building Capability'!F3</f>
        <v>315</v>
      </c>
      <c r="J2" s="699"/>
      <c r="K2" s="699"/>
      <c r="L2" s="700"/>
      <c r="S2" s="701" t="n">
        <f aca="false">B2+C2</f>
        <v>164.154</v>
      </c>
      <c r="T2" s="573" t="n">
        <f aca="false">SUM(S2/G2)*100</f>
        <v>52.112380952381</v>
      </c>
      <c r="V2" s="573" t="n">
        <f aca="false">SUM(100-T2)</f>
        <v>47.887619047619</v>
      </c>
    </row>
    <row r="3" customFormat="false" ht="13.15" hidden="false" customHeight="false" outlineLevel="0" collapsed="false">
      <c r="A3" s="696" t="s">
        <v>696</v>
      </c>
      <c r="B3" s="697" t="n">
        <f aca="false">'Plant loading'!G9</f>
        <v>382.372</v>
      </c>
      <c r="C3" s="697" t="n">
        <f aca="false">'Plant loading'!R9</f>
        <v>32.3512</v>
      </c>
      <c r="D3" s="697" t="n">
        <f aca="false">SUM('Plant loading'!AC9:AC16)*54.5/1000</f>
        <v>30.302</v>
      </c>
      <c r="E3" s="697" t="n">
        <f aca="false">SUM(C3+D3)</f>
        <v>62.6532</v>
      </c>
      <c r="F3" s="698" t="n">
        <f aca="false">SUM('Plant loading'!J9:J16)</f>
        <v>1008</v>
      </c>
      <c r="G3" s="698" t="n">
        <f aca="false">SUM(F3/2)</f>
        <v>504</v>
      </c>
      <c r="H3" s="698" t="n">
        <f aca="false">'Building Capability'!E4</f>
        <v>1008</v>
      </c>
      <c r="I3" s="698" t="n">
        <f aca="false">'Building Capability'!F4</f>
        <v>504</v>
      </c>
      <c r="J3" s="699"/>
      <c r="K3" s="699"/>
      <c r="L3" s="700"/>
      <c r="S3" s="701" t="n">
        <f aca="false">B3+C3</f>
        <v>414.7232</v>
      </c>
      <c r="T3" s="573" t="n">
        <f aca="false">SUM(S3/G3)*100</f>
        <v>82.2863492063492</v>
      </c>
      <c r="V3" s="573" t="n">
        <f aca="false">SUM(100-T3)</f>
        <v>17.7136507936508</v>
      </c>
    </row>
    <row r="4" customFormat="false" ht="13.15" hidden="false" customHeight="false" outlineLevel="0" collapsed="false">
      <c r="A4" s="696" t="s">
        <v>256</v>
      </c>
      <c r="B4" s="697" t="n">
        <f aca="false">'Plant loading'!G17</f>
        <v>114.123</v>
      </c>
      <c r="C4" s="697" t="n">
        <f aca="false">'Plant loading'!R17</f>
        <v>5.777</v>
      </c>
      <c r="D4" s="697" t="n">
        <f aca="false">SUM('Plant loading'!AC17:AC21)*54.5/1000</f>
        <v>0</v>
      </c>
      <c r="E4" s="697" t="n">
        <f aca="false">SUM(C4+D4)</f>
        <v>5.777</v>
      </c>
      <c r="F4" s="697" t="n">
        <f aca="false">SUM('Plant loading'!J17:J21)</f>
        <v>630</v>
      </c>
      <c r="G4" s="698" t="n">
        <f aca="false">SUM(F4/2)</f>
        <v>315</v>
      </c>
      <c r="H4" s="698" t="n">
        <f aca="false">'Building Capability'!E5</f>
        <v>630</v>
      </c>
      <c r="I4" s="698" t="n">
        <f aca="false">'Building Capability'!F5</f>
        <v>315</v>
      </c>
      <c r="J4" s="699"/>
      <c r="K4" s="699"/>
      <c r="L4" s="700"/>
      <c r="S4" s="701" t="n">
        <f aca="false">B4+C4</f>
        <v>119.9</v>
      </c>
      <c r="T4" s="573" t="n">
        <f aca="false">SUM(S4/G4)*100</f>
        <v>38.0634920634921</v>
      </c>
      <c r="V4" s="573" t="n">
        <f aca="false">SUM(100-T4)</f>
        <v>61.9365079365079</v>
      </c>
    </row>
    <row r="5" customFormat="false" ht="13.15" hidden="false" customHeight="false" outlineLevel="0" collapsed="false">
      <c r="A5" s="696" t="s">
        <v>259</v>
      </c>
      <c r="B5" s="697" t="n">
        <f aca="false">'Plant loading'!G22</f>
        <v>294.736</v>
      </c>
      <c r="C5" s="697" t="n">
        <f aca="false">'Plant loading'!R22</f>
        <v>2.943</v>
      </c>
      <c r="D5" s="697" t="n">
        <f aca="false">SUM('Plant loading'!AC22:AC26)*54.5/1000</f>
        <v>50.467</v>
      </c>
      <c r="E5" s="697" t="n">
        <f aca="false">SUM(C5+D5)</f>
        <v>53.41</v>
      </c>
      <c r="F5" s="698" t="n">
        <f aca="false">SUM('Plant loading'!J22:J27)</f>
        <v>756</v>
      </c>
      <c r="G5" s="698" t="n">
        <f aca="false">SUM(F5/2)</f>
        <v>378</v>
      </c>
      <c r="H5" s="698" t="n">
        <f aca="false">'Building Capability'!E6</f>
        <v>756</v>
      </c>
      <c r="I5" s="698" t="n">
        <f aca="false">'Building Capability'!F6</f>
        <v>378</v>
      </c>
      <c r="J5" s="699"/>
      <c r="K5" s="699"/>
      <c r="L5" s="700"/>
      <c r="S5" s="701" t="n">
        <f aca="false">B5+C5</f>
        <v>297.679</v>
      </c>
      <c r="T5" s="573" t="n">
        <f aca="false">SUM(S5/G5)*100</f>
        <v>78.7510582010582</v>
      </c>
      <c r="V5" s="573" t="n">
        <f aca="false">SUM(100-T5)</f>
        <v>21.2489417989418</v>
      </c>
    </row>
    <row r="6" customFormat="false" ht="13.15" hidden="false" customHeight="false" outlineLevel="0" collapsed="false">
      <c r="A6" s="696" t="s">
        <v>261</v>
      </c>
      <c r="B6" s="697" t="n">
        <f aca="false">'Plant loading'!G28</f>
        <v>68.7245</v>
      </c>
      <c r="C6" s="697" t="n">
        <f aca="false">'Plant loading'!R28</f>
        <v>0.99552</v>
      </c>
      <c r="D6" s="697" t="n">
        <f aca="false">SUM('Plant loading'!AC28:AC31)*54.5/1000</f>
        <v>0</v>
      </c>
      <c r="E6" s="697" t="n">
        <f aca="false">SUM(C6+D6)</f>
        <v>0.99552</v>
      </c>
      <c r="F6" s="698" t="n">
        <f aca="false">SUM('Plant loading'!J28:J31)</f>
        <v>504</v>
      </c>
      <c r="G6" s="698" t="n">
        <f aca="false">SUM(F6/2)</f>
        <v>252</v>
      </c>
      <c r="H6" s="698" t="n">
        <f aca="false">'Building Capability'!E7</f>
        <v>600</v>
      </c>
      <c r="I6" s="698" t="n">
        <f aca="false">'Building Capability'!F7</f>
        <v>300</v>
      </c>
      <c r="J6" s="699"/>
      <c r="K6" s="699"/>
      <c r="L6" s="700"/>
      <c r="S6" s="701" t="n">
        <f aca="false">B6+C6</f>
        <v>69.72002</v>
      </c>
      <c r="T6" s="573" t="n">
        <f aca="false">SUM(S6/G6)*100</f>
        <v>27.6666746031746</v>
      </c>
      <c r="V6" s="573" t="n">
        <f aca="false">SUM(100-T6)</f>
        <v>72.3333253968254</v>
      </c>
    </row>
    <row r="7" customFormat="false" ht="13.15" hidden="false" customHeight="false" outlineLevel="0" collapsed="false">
      <c r="A7" s="696" t="s">
        <v>263</v>
      </c>
      <c r="B7" s="697" t="n">
        <f aca="false">'Plant loading'!G32</f>
        <v>309.2875</v>
      </c>
      <c r="C7" s="697" t="n">
        <f aca="false">'Plant loading'!R32</f>
        <v>21.0152</v>
      </c>
      <c r="D7" s="697" t="n">
        <f aca="false">SUM('Plant loading'!AC32:AC38)*54.5/1000</f>
        <v>98.8085</v>
      </c>
      <c r="E7" s="697" t="n">
        <f aca="false">SUM(C7+D7)</f>
        <v>119.8237</v>
      </c>
      <c r="F7" s="697" t="n">
        <f aca="false">SUM('Plant loading'!J32:J38)</f>
        <v>936</v>
      </c>
      <c r="G7" s="698" t="n">
        <f aca="false">SUM(F7/2)-3</f>
        <v>465</v>
      </c>
      <c r="H7" s="698" t="n">
        <f aca="false">'Building Capability'!E8</f>
        <v>930</v>
      </c>
      <c r="I7" s="698" t="n">
        <f aca="false">'Building Capability'!F8</f>
        <v>465</v>
      </c>
      <c r="J7" s="699"/>
      <c r="K7" s="699"/>
      <c r="L7" s="700"/>
      <c r="S7" s="701" t="n">
        <f aca="false">B7+C7</f>
        <v>330.3027</v>
      </c>
      <c r="T7" s="573" t="n">
        <f aca="false">SUM(S7/G7)*100</f>
        <v>71.0328387096774</v>
      </c>
      <c r="V7" s="573" t="n">
        <f aca="false">SUM(100-T7)</f>
        <v>28.9671612903226</v>
      </c>
    </row>
    <row r="8" customFormat="false" ht="13.15" hidden="false" customHeight="false" outlineLevel="0" collapsed="false">
      <c r="A8" s="702" t="s">
        <v>697</v>
      </c>
      <c r="B8" s="697" t="n">
        <f aca="false">'Plant loading'!G39</f>
        <v>282.5825</v>
      </c>
      <c r="C8" s="697" t="n">
        <f aca="false">'Plant loading'!R39</f>
        <v>11.6194</v>
      </c>
      <c r="D8" s="697" t="n">
        <f aca="false">SUM('Plant loading'!AC39:AC46)*54.5/1000</f>
        <v>67.3075</v>
      </c>
      <c r="E8" s="697" t="n">
        <f aca="false">SUM(C8+D8)</f>
        <v>78.9269</v>
      </c>
      <c r="F8" s="698" t="n">
        <f aca="false">SUM('Plant loading'!J39:J46)</f>
        <v>966</v>
      </c>
      <c r="G8" s="698" t="n">
        <f aca="false">SUM(F8/2)-21</f>
        <v>462</v>
      </c>
      <c r="H8" s="698" t="n">
        <f aca="false">'Building Capability'!E9</f>
        <v>960</v>
      </c>
      <c r="I8" s="698" t="n">
        <f aca="false">'Building Capability'!F9</f>
        <v>462</v>
      </c>
      <c r="J8" s="698"/>
      <c r="K8" s="698"/>
      <c r="L8" s="703"/>
      <c r="S8" s="701" t="n">
        <f aca="false">B8+C8</f>
        <v>294.2019</v>
      </c>
      <c r="T8" s="573" t="n">
        <f aca="false">SUM(S8/G8)*100</f>
        <v>63.6800649350649</v>
      </c>
      <c r="V8" s="573" t="n">
        <f aca="false">SUM(100-T8)</f>
        <v>36.3199350649351</v>
      </c>
    </row>
    <row r="9" customFormat="false" ht="13.15" hidden="false" customHeight="false" outlineLevel="0" collapsed="false">
      <c r="A9" s="696" t="s">
        <v>266</v>
      </c>
      <c r="B9" s="697" t="n">
        <f aca="false">'Plant loading'!G47</f>
        <v>120.663</v>
      </c>
      <c r="C9" s="697" t="n">
        <f aca="false">'Plant loading'!R47</f>
        <v>0</v>
      </c>
      <c r="D9" s="697" t="n">
        <f aca="false">SUM('Plant loading'!AC47:AC55)*54.5/1000</f>
        <v>0</v>
      </c>
      <c r="E9" s="697" t="n">
        <f aca="false">SUM(C9+D9)</f>
        <v>0</v>
      </c>
      <c r="F9" s="698" t="n">
        <f aca="false">SUM('Plant loading'!J47:J55)</f>
        <v>798</v>
      </c>
      <c r="G9" s="698" t="n">
        <f aca="false">SUM(F9/2)</f>
        <v>399</v>
      </c>
      <c r="H9" s="698" t="n">
        <f aca="false">'Building Capability'!E10</f>
        <v>966</v>
      </c>
      <c r="I9" s="698" t="n">
        <f aca="false">'Building Capability'!F10</f>
        <v>483</v>
      </c>
      <c r="J9" s="698"/>
      <c r="K9" s="698"/>
      <c r="L9" s="703"/>
      <c r="S9" s="701" t="n">
        <f aca="false">B9+C9</f>
        <v>120.663</v>
      </c>
      <c r="T9" s="573" t="n">
        <f aca="false">SUM(S9/G9)*100</f>
        <v>30.2413533834586</v>
      </c>
      <c r="V9" s="573" t="n">
        <f aca="false">SUM(100-T9)</f>
        <v>69.7586466165414</v>
      </c>
    </row>
    <row r="10" customFormat="false" ht="13.15" hidden="false" customHeight="false" outlineLevel="0" collapsed="false">
      <c r="A10" s="696" t="s">
        <v>698</v>
      </c>
      <c r="B10" s="697" t="n">
        <f aca="false">'Plant loading'!G56</f>
        <v>330.3245</v>
      </c>
      <c r="C10" s="697" t="n">
        <f aca="false">'Plant loading'!R56</f>
        <v>8.03875</v>
      </c>
      <c r="D10" s="697" t="n">
        <f aca="false">SUM('Plant loading'!AC56:AC63)*54.5/1000</f>
        <v>53.955</v>
      </c>
      <c r="E10" s="697" t="n">
        <f aca="false">SUM(C10+D10)</f>
        <v>61.99375</v>
      </c>
      <c r="F10" s="698" t="n">
        <f aca="false">SUM('Plant loading'!J56:J63)</f>
        <v>1002</v>
      </c>
      <c r="G10" s="698" t="n">
        <f aca="false">SUM(F10/2)-21</f>
        <v>480</v>
      </c>
      <c r="H10" s="698" t="n">
        <f aca="false">'Building Capability'!E11</f>
        <v>956</v>
      </c>
      <c r="I10" s="698" t="n">
        <f aca="false">'Building Capability'!F11</f>
        <v>460</v>
      </c>
      <c r="J10" s="698"/>
      <c r="K10" s="698"/>
      <c r="L10" s="703"/>
      <c r="S10" s="701" t="n">
        <f aca="false">B10+C10</f>
        <v>338.36325</v>
      </c>
      <c r="T10" s="573" t="n">
        <f aca="false">SUM(S10/G10)*100</f>
        <v>70.49234375</v>
      </c>
      <c r="V10" s="573" t="n">
        <f aca="false">SUM(100-T10)</f>
        <v>29.50765625</v>
      </c>
    </row>
    <row r="11" customFormat="false" ht="13.15" hidden="false" customHeight="false" outlineLevel="0" collapsed="false">
      <c r="A11" s="696" t="s">
        <v>699</v>
      </c>
      <c r="B11" s="697" t="n">
        <f aca="false">'Plant loading'!G64</f>
        <v>384.661</v>
      </c>
      <c r="C11" s="697" t="n">
        <f aca="false">'Plant loading'!R64</f>
        <v>26.460295</v>
      </c>
      <c r="D11" s="697" t="n">
        <f aca="false">SUM('Plant loading'!AC64:AC71)*54.5/1000</f>
        <v>41.529</v>
      </c>
      <c r="E11" s="697" t="n">
        <f aca="false">SUM(C11+D11)</f>
        <v>67.989295</v>
      </c>
      <c r="F11" s="698" t="n">
        <f aca="false">SUM('Plant loading'!J64:J71)</f>
        <v>978</v>
      </c>
      <c r="G11" s="698" t="n">
        <f aca="false">SUM(F11/2)-9</f>
        <v>480</v>
      </c>
      <c r="H11" s="698" t="n">
        <f aca="false">'Building Capability'!E12</f>
        <v>960</v>
      </c>
      <c r="I11" s="698" t="n">
        <f aca="false">'Building Capability'!F12</f>
        <v>481</v>
      </c>
      <c r="J11" s="698" t="n">
        <f aca="false">SUM('Inverter Loading'!M28:M29)</f>
        <v>12</v>
      </c>
      <c r="K11" s="698" t="n">
        <f aca="false">SUM('Inverter Loading'!S28:S29)</f>
        <v>0</v>
      </c>
      <c r="L11" s="703" t="n">
        <f aca="false">SUM('Inverter Loading'!G28:G29)</f>
        <v>60</v>
      </c>
      <c r="S11" s="701" t="n">
        <f aca="false">B11+C11</f>
        <v>411.121295</v>
      </c>
      <c r="T11" s="573" t="n">
        <f aca="false">SUM(S11/G11)*100</f>
        <v>85.6502697916667</v>
      </c>
      <c r="V11" s="573" t="n">
        <f aca="false">SUM(100-T11)</f>
        <v>14.3497302083333</v>
      </c>
    </row>
    <row r="12" customFormat="false" ht="13.15" hidden="false" customHeight="false" outlineLevel="0" collapsed="false">
      <c r="A12" s="696" t="s">
        <v>269</v>
      </c>
      <c r="B12" s="697" t="n">
        <f aca="false">'Plant loading'!G72</f>
        <v>271.737</v>
      </c>
      <c r="C12" s="697" t="n">
        <f aca="false">'Plant loading'!R72</f>
        <v>7.194</v>
      </c>
      <c r="D12" s="697" t="n">
        <f aca="false">SUM('Plant loading'!AC72:AC79)*54.5/1000</f>
        <v>102.133</v>
      </c>
      <c r="E12" s="697" t="n">
        <f aca="false">SUM(C12+D12)</f>
        <v>109.327</v>
      </c>
      <c r="F12" s="698" t="n">
        <f aca="false">SUM('Plant loading'!J72:J79)</f>
        <v>978</v>
      </c>
      <c r="G12" s="698" t="n">
        <f aca="false">SUM(F12/2)-24</f>
        <v>465</v>
      </c>
      <c r="H12" s="698" t="n">
        <f aca="false">'Building Capability'!E13</f>
        <v>946</v>
      </c>
      <c r="I12" s="698" t="n">
        <f aca="false">'Building Capability'!F13</f>
        <v>468</v>
      </c>
      <c r="J12" s="699"/>
      <c r="K12" s="699"/>
      <c r="L12" s="700"/>
      <c r="S12" s="701" t="n">
        <f aca="false">B12+C12</f>
        <v>278.931</v>
      </c>
      <c r="T12" s="573" t="n">
        <f aca="false">SUM(S12/G12)*100</f>
        <v>59.9851612903226</v>
      </c>
      <c r="V12" s="573" t="n">
        <f aca="false">SUM(100-T12)</f>
        <v>40.0148387096774</v>
      </c>
    </row>
    <row r="13" customFormat="false" ht="13.15" hidden="false" customHeight="false" outlineLevel="0" collapsed="false">
      <c r="A13" s="696" t="s">
        <v>270</v>
      </c>
      <c r="B13" s="697" t="n">
        <f aca="false">'Plant loading'!G80</f>
        <v>100.389</v>
      </c>
      <c r="C13" s="697" t="n">
        <f aca="false">'Plant loading'!R80</f>
        <v>6.97055</v>
      </c>
      <c r="D13" s="697" t="n">
        <f aca="false">SUM('Plant loading'!AC80:AC84)*54.5/1000</f>
        <v>0</v>
      </c>
      <c r="E13" s="697" t="n">
        <f aca="false">SUM(C13+D13)</f>
        <v>6.97055</v>
      </c>
      <c r="F13" s="698" t="n">
        <f aca="false">SUM('Plant loading'!J80:J84)</f>
        <v>630</v>
      </c>
      <c r="G13" s="698" t="n">
        <f aca="false">SUM(F13/2)</f>
        <v>315</v>
      </c>
      <c r="H13" s="698" t="n">
        <f aca="false">'Building Capability'!E14</f>
        <v>630</v>
      </c>
      <c r="I13" s="698" t="n">
        <f aca="false">'Building Capability'!F14</f>
        <v>315</v>
      </c>
      <c r="J13" s="699"/>
      <c r="K13" s="699"/>
      <c r="L13" s="700"/>
      <c r="S13" s="701" t="n">
        <f aca="false">B13+C13</f>
        <v>107.35955</v>
      </c>
      <c r="T13" s="573" t="n">
        <f aca="false">SUM(S13/G13)*100</f>
        <v>34.0823968253968</v>
      </c>
      <c r="V13" s="573" t="n">
        <f aca="false">SUM(100-T13)</f>
        <v>65.9176031746032</v>
      </c>
    </row>
    <row r="14" customFormat="false" ht="13.15" hidden="false" customHeight="false" outlineLevel="0" collapsed="false">
      <c r="A14" s="696" t="s">
        <v>271</v>
      </c>
      <c r="B14" s="697" t="n">
        <f aca="false">'Plant loading'!G85</f>
        <v>87.6905</v>
      </c>
      <c r="C14" s="697" t="n">
        <f aca="false">'Plant loading'!R85</f>
        <v>11.663</v>
      </c>
      <c r="D14" s="697" t="n">
        <f aca="false">SUM('Plant loading'!AC85:AC88)*54.5/1000</f>
        <v>0</v>
      </c>
      <c r="E14" s="697" t="n">
        <f aca="false">SUM(C14+D14)</f>
        <v>11.663</v>
      </c>
      <c r="F14" s="698" t="n">
        <f aca="false">SUM('Plant loading'!J85:J88)</f>
        <v>504</v>
      </c>
      <c r="G14" s="698" t="n">
        <f aca="false">SUM(F14/2)</f>
        <v>252</v>
      </c>
      <c r="H14" s="698" t="n">
        <f aca="false">'Building Capability'!E15</f>
        <v>600</v>
      </c>
      <c r="I14" s="698" t="n">
        <f aca="false">'Building Capability'!F15</f>
        <v>300</v>
      </c>
      <c r="J14" s="699"/>
      <c r="K14" s="699"/>
      <c r="L14" s="700"/>
      <c r="S14" s="701" t="n">
        <f aca="false">B14+C14</f>
        <v>99.3535</v>
      </c>
      <c r="T14" s="573" t="n">
        <f aca="false">SUM(S14/G14)*100</f>
        <v>39.4259920634921</v>
      </c>
      <c r="V14" s="573" t="n">
        <f aca="false">SUM(100-T14)</f>
        <v>60.5740079365079</v>
      </c>
    </row>
    <row r="15" customFormat="false" ht="13.15" hidden="false" customHeight="false" outlineLevel="0" collapsed="false">
      <c r="A15" s="696" t="s">
        <v>272</v>
      </c>
      <c r="B15" s="697" t="n">
        <f aca="false">'Plant loading'!G89</f>
        <v>108.8365</v>
      </c>
      <c r="C15" s="697" t="n">
        <f aca="false">'Plant loading'!R89</f>
        <v>0</v>
      </c>
      <c r="D15" s="697" t="n">
        <f aca="false">SUM('Plant loading'!AC89:AC93)*54.5/1000</f>
        <v>0</v>
      </c>
      <c r="E15" s="697" t="n">
        <f aca="false">SUM(C15+D15)</f>
        <v>0</v>
      </c>
      <c r="F15" s="698" t="n">
        <f aca="false">SUM('Plant loading'!J89:J93)</f>
        <v>609</v>
      </c>
      <c r="G15" s="698" t="n">
        <f aca="false">SUM(F15/2)</f>
        <v>304.5</v>
      </c>
      <c r="H15" s="698" t="n">
        <f aca="false">'Building Capability'!E16</f>
        <v>609</v>
      </c>
      <c r="I15" s="698" t="n">
        <f aca="false">'Building Capability'!F16</f>
        <v>304.5</v>
      </c>
      <c r="J15" s="699"/>
      <c r="K15" s="699"/>
      <c r="L15" s="700"/>
      <c r="S15" s="701" t="n">
        <f aca="false">B15+C15</f>
        <v>108.8365</v>
      </c>
      <c r="T15" s="573" t="n">
        <f aca="false">SUM(S15/G15)*100</f>
        <v>35.7426929392447</v>
      </c>
      <c r="V15" s="573" t="n">
        <f aca="false">SUM(100-T15)</f>
        <v>64.2573070607553</v>
      </c>
    </row>
    <row r="16" customFormat="false" ht="13.9" hidden="false" customHeight="false" outlineLevel="0" collapsed="false">
      <c r="A16" s="704" t="s">
        <v>578</v>
      </c>
      <c r="B16" s="705" t="n">
        <f aca="false">SUM(B2:B15)</f>
        <v>3020.281</v>
      </c>
      <c r="C16" s="705" t="n">
        <f aca="false">SUM(C2:C15)</f>
        <v>135.027915</v>
      </c>
      <c r="D16" s="705" t="n">
        <f aca="false">SUM(D2:D15)</f>
        <v>458.3995</v>
      </c>
      <c r="E16" s="705" t="n">
        <f aca="false">SUM(E2:E15)</f>
        <v>593.427415</v>
      </c>
      <c r="F16" s="706" t="n">
        <f aca="false">SUM(F2:F15)</f>
        <v>10929</v>
      </c>
      <c r="G16" s="706" t="n">
        <f aca="false">SUM(G2:G15)</f>
        <v>5386.5</v>
      </c>
      <c r="H16" s="706" t="n">
        <f aca="false">SUM(H2:H15)</f>
        <v>11181</v>
      </c>
      <c r="I16" s="706" t="n">
        <f aca="false">SUM(I2:I15)</f>
        <v>5550.5</v>
      </c>
      <c r="J16" s="707"/>
      <c r="K16" s="707"/>
      <c r="L16" s="708"/>
    </row>
    <row r="18" customFormat="false" ht="13.15" hidden="false" customHeight="false" outlineLevel="0" collapsed="false">
      <c r="A18" s="709" t="s">
        <v>700</v>
      </c>
      <c r="B18" s="710"/>
      <c r="C18" s="710"/>
      <c r="D18" s="710"/>
      <c r="E18" s="710"/>
      <c r="F18" s="710"/>
      <c r="G18" s="711"/>
    </row>
    <row r="19" customFormat="false" ht="13.15" hidden="false" customHeight="false" outlineLevel="0" collapsed="false">
      <c r="A19" s="712" t="s">
        <v>524</v>
      </c>
      <c r="B19" s="713" t="s">
        <v>701</v>
      </c>
      <c r="C19" s="713" t="s">
        <v>702</v>
      </c>
      <c r="D19" s="713" t="s">
        <v>407</v>
      </c>
      <c r="E19" s="713" t="s">
        <v>408</v>
      </c>
      <c r="F19" s="713" t="s">
        <v>703</v>
      </c>
      <c r="G19" s="713" t="s">
        <v>704</v>
      </c>
    </row>
    <row r="20" customFormat="false" ht="13.15" hidden="false" customHeight="false" outlineLevel="0" collapsed="false">
      <c r="A20" s="713" t="str">
        <f aca="false">A3</f>
        <v> XBE</v>
      </c>
      <c r="B20" s="714" t="n">
        <f aca="false">SUM('Inverter Loading'!O4:O9)</f>
        <v>78.48</v>
      </c>
      <c r="C20" s="714" t="n">
        <f aca="false">B3-B20</f>
        <v>303.892</v>
      </c>
      <c r="D20" s="714" t="n">
        <f aca="false">D3</f>
        <v>30.302</v>
      </c>
      <c r="E20" s="714" t="n">
        <f aca="false">C3</f>
        <v>32.3512</v>
      </c>
      <c r="F20" s="714" t="n">
        <f aca="false">G3-B20-C20-D20-E20</f>
        <v>58.9748</v>
      </c>
      <c r="G20" s="714" t="n">
        <f aca="false">I3-B20-C20-D20-E20-F20</f>
        <v>0</v>
      </c>
    </row>
    <row r="21" customFormat="false" ht="13.15" hidden="false" customHeight="false" outlineLevel="0" collapsed="false">
      <c r="A21" s="713" t="str">
        <f aca="false">A11</f>
        <v> XMS</v>
      </c>
      <c r="B21" s="714" t="n">
        <f aca="false">SUM('Inverter Loading'!O28:O33)</f>
        <v>71.94</v>
      </c>
      <c r="C21" s="714" t="n">
        <f aca="false">B11-B21</f>
        <v>312.721</v>
      </c>
      <c r="D21" s="714" t="n">
        <f aca="false">D11</f>
        <v>41.529</v>
      </c>
      <c r="E21" s="714" t="n">
        <f aca="false">C11</f>
        <v>26.460295</v>
      </c>
      <c r="F21" s="714" t="n">
        <f aca="false">G11-B21-C21-D21-E21</f>
        <v>27.349705</v>
      </c>
      <c r="G21" s="714" t="n">
        <v>0</v>
      </c>
    </row>
    <row r="22" customFormat="false" ht="13.15" hidden="false" customHeight="false" outlineLevel="0" collapsed="false">
      <c r="A22" s="713" t="str">
        <f aca="false">A10</f>
        <v> XLD</v>
      </c>
      <c r="B22" s="714" t="n">
        <f aca="false">SUM('Inverter Loading'!O26:O27)</f>
        <v>49.05</v>
      </c>
      <c r="C22" s="714" t="n">
        <f aca="false">(B10-B22)</f>
        <v>281.2745</v>
      </c>
      <c r="D22" s="714" t="n">
        <f aca="false">D10</f>
        <v>53.955</v>
      </c>
      <c r="E22" s="714" t="n">
        <f aca="false">C10</f>
        <v>8.03875</v>
      </c>
      <c r="F22" s="714" t="n">
        <f aca="false">G10-B22-C22-D22-E22</f>
        <v>87.68175</v>
      </c>
      <c r="G22" s="714" t="n">
        <v>0</v>
      </c>
    </row>
    <row r="23" customFormat="false" ht="13.15" hidden="false" customHeight="false" outlineLevel="0" collapsed="false">
      <c r="A23" s="713" t="str">
        <f aca="false">A5</f>
        <v>XEH</v>
      </c>
      <c r="B23" s="714" t="n">
        <f aca="false">SUM('Inverter Loading'!M12:M13)</f>
        <v>34</v>
      </c>
      <c r="C23" s="714" t="n">
        <f aca="false">B5-B23</f>
        <v>260.736</v>
      </c>
      <c r="D23" s="714" t="n">
        <f aca="false">D5</f>
        <v>50.467</v>
      </c>
      <c r="E23" s="714" t="n">
        <f aca="false">C5</f>
        <v>2.943</v>
      </c>
      <c r="F23" s="714" t="n">
        <f aca="false">G5-B23-C23-D23-E23</f>
        <v>29.854</v>
      </c>
      <c r="G23" s="714" t="n">
        <v>0</v>
      </c>
    </row>
    <row r="24" customFormat="false" ht="13.15" hidden="false" customHeight="false" outlineLevel="0" collapsed="false">
      <c r="A24" s="713" t="str">
        <f aca="false">A8</f>
        <v> XGL</v>
      </c>
      <c r="B24" s="714" t="n">
        <f aca="false">SUM('Inverter Loading'!O16:O19)+J8</f>
        <v>47.96</v>
      </c>
      <c r="C24" s="714" t="n">
        <f aca="false">(B8-B24)</f>
        <v>234.6225</v>
      </c>
      <c r="D24" s="714" t="n">
        <f aca="false">D8</f>
        <v>67.3075</v>
      </c>
      <c r="E24" s="714" t="n">
        <f aca="false">C8</f>
        <v>11.6194</v>
      </c>
      <c r="F24" s="714" t="n">
        <f aca="false">G8-B24-C24-D24-E24</f>
        <v>100.4906</v>
      </c>
      <c r="G24" s="714" t="n">
        <v>0</v>
      </c>
    </row>
    <row r="25" customFormat="false" ht="13.15" hidden="false" customHeight="false" outlineLevel="0" collapsed="false">
      <c r="A25" s="713" t="str">
        <f aca="false">A7</f>
        <v>XGR</v>
      </c>
      <c r="B25" s="714" t="n">
        <f aca="false">SUM('Inverter Loading'!O20:O23)</f>
        <v>30.66061</v>
      </c>
      <c r="C25" s="714" t="n">
        <f aca="false">B7-B25</f>
        <v>278.62689</v>
      </c>
      <c r="D25" s="714" t="n">
        <f aca="false">D7</f>
        <v>98.8085</v>
      </c>
      <c r="E25" s="714" t="n">
        <f aca="false">C7</f>
        <v>21.0152</v>
      </c>
      <c r="F25" s="714" t="n">
        <f aca="false">G7-B25-C25-D25-E25</f>
        <v>35.8888</v>
      </c>
      <c r="G25" s="714" t="n">
        <v>0</v>
      </c>
    </row>
    <row r="26" customFormat="false" ht="13.15" hidden="false" customHeight="false" outlineLevel="0" collapsed="false">
      <c r="A26" s="713" t="str">
        <f aca="false">A12</f>
        <v>XOM</v>
      </c>
      <c r="B26" s="714" t="n">
        <f aca="false">SUM('Inverter Loading'!O34:O35)</f>
        <v>50.14</v>
      </c>
      <c r="C26" s="714" t="n">
        <f aca="false">B12-B26</f>
        <v>221.597</v>
      </c>
      <c r="D26" s="714" t="n">
        <f aca="false">D12</f>
        <v>102.133</v>
      </c>
      <c r="E26" s="714" t="n">
        <f aca="false">C12</f>
        <v>7.194</v>
      </c>
      <c r="F26" s="714" t="n">
        <f aca="false">G12-B26-C26-D26-E26</f>
        <v>83.936</v>
      </c>
      <c r="G26" s="714" t="n">
        <v>0</v>
      </c>
    </row>
    <row r="27" customFormat="false" ht="13.15" hidden="false" customHeight="false" outlineLevel="0" collapsed="false">
      <c r="A27" s="713" t="str">
        <f aca="false">A2</f>
        <v>XAN</v>
      </c>
      <c r="B27" s="714" t="n">
        <f aca="false">SUM('Inverter Loading'!O2:O3)</f>
        <v>30.52</v>
      </c>
      <c r="C27" s="714" t="n">
        <f aca="false">B2-B27</f>
        <v>133.634</v>
      </c>
      <c r="D27" s="714" t="n">
        <f aca="false">D2</f>
        <v>13.8975</v>
      </c>
      <c r="E27" s="714" t="n">
        <f aca="false">C2</f>
        <v>0</v>
      </c>
      <c r="F27" s="714" t="n">
        <f aca="false">G2-B27-C27-D27-E27</f>
        <v>136.9485</v>
      </c>
      <c r="G27" s="714" t="n">
        <f aca="false">I2-B27-C27-D27-E27-F27</f>
        <v>0</v>
      </c>
    </row>
    <row r="28" customFormat="false" ht="13.15" hidden="false" customHeight="false" outlineLevel="0" collapsed="false">
      <c r="A28" s="713" t="str">
        <f aca="false">A4</f>
        <v>XCY</v>
      </c>
      <c r="B28" s="714" t="n">
        <f aca="false">SUM('Inverter Loading'!O10:O11)</f>
        <v>17.44</v>
      </c>
      <c r="C28" s="714" t="n">
        <f aca="false">B4-B28</f>
        <v>96.683</v>
      </c>
      <c r="D28" s="714" t="n">
        <f aca="false">D4</f>
        <v>0</v>
      </c>
      <c r="E28" s="714" t="n">
        <f aca="false">C4</f>
        <v>5.777</v>
      </c>
      <c r="F28" s="714" t="n">
        <f aca="false">G4-B28-C28-D28-E28</f>
        <v>195.1</v>
      </c>
      <c r="G28" s="714" t="n">
        <f aca="false">I4-B28-C28-D28-E28-F28</f>
        <v>0</v>
      </c>
    </row>
    <row r="29" customFormat="false" ht="13.15" hidden="false" customHeight="false" outlineLevel="0" collapsed="false">
      <c r="A29" s="713" t="str">
        <f aca="false">A6</f>
        <v>XER</v>
      </c>
      <c r="B29" s="714" t="n">
        <f aca="false">SUM('Inverter Loading'!O14:O15)</f>
        <v>7.63</v>
      </c>
      <c r="C29" s="714" t="n">
        <f aca="false">B6-B29</f>
        <v>61.0945</v>
      </c>
      <c r="D29" s="714" t="n">
        <f aca="false">D6</f>
        <v>0</v>
      </c>
      <c r="E29" s="714" t="n">
        <f aca="false">C6</f>
        <v>0.99552</v>
      </c>
      <c r="F29" s="714" t="n">
        <f aca="false">G6-B29-C29-D29-E29</f>
        <v>182.27998</v>
      </c>
      <c r="G29" s="714" t="n">
        <f aca="false">I6-B29-C29-D29-E29-F29</f>
        <v>48</v>
      </c>
    </row>
    <row r="30" s="717" customFormat="true" ht="26.45" hidden="false" customHeight="false" outlineLevel="0" collapsed="false">
      <c r="A30" s="715" t="s">
        <v>705</v>
      </c>
      <c r="B30" s="716" t="n">
        <v>0</v>
      </c>
      <c r="C30" s="716" t="n">
        <f aca="false">C77-B81</f>
        <v>36.515</v>
      </c>
      <c r="D30" s="716" t="n">
        <f aca="false">D77</f>
        <v>0</v>
      </c>
      <c r="E30" s="716" t="n">
        <f aca="false">E77</f>
        <v>0</v>
      </c>
      <c r="F30" s="714" t="n">
        <f aca="false">(G9/3)-B30-C30-D30-E30</f>
        <v>96.485</v>
      </c>
      <c r="G30" s="716" t="n">
        <f aca="false">(I9/3)-B30-C30-D30-E30-F30</f>
        <v>28</v>
      </c>
    </row>
    <row r="31" s="717" customFormat="true" ht="26.45" hidden="false" customHeight="false" outlineLevel="0" collapsed="false">
      <c r="A31" s="715" t="s">
        <v>706</v>
      </c>
      <c r="B31" s="716" t="n">
        <f aca="false">SUM('Inverter Loading'!O24:O25)</f>
        <v>35.97</v>
      </c>
      <c r="C31" s="716" t="n">
        <f aca="false">C78-B31</f>
        <v>26.7595</v>
      </c>
      <c r="D31" s="716" t="n">
        <f aca="false">D78</f>
        <v>0</v>
      </c>
      <c r="E31" s="716" t="n">
        <f aca="false">E78</f>
        <v>0</v>
      </c>
      <c r="F31" s="714" t="n">
        <f aca="false">(G9/3)-B31-C31-D31-E31</f>
        <v>70.2705</v>
      </c>
      <c r="G31" s="716" t="n">
        <f aca="false">(I9/3)-B31-C31-D31-E31-F31</f>
        <v>28</v>
      </c>
    </row>
    <row r="32" s="717" customFormat="true" ht="26.45" hidden="false" customHeight="false" outlineLevel="0" collapsed="false">
      <c r="A32" s="715" t="s">
        <v>707</v>
      </c>
      <c r="B32" s="716" t="n">
        <v>0</v>
      </c>
      <c r="C32" s="716" t="n">
        <f aca="false">C79-B40</f>
        <v>21.4185</v>
      </c>
      <c r="D32" s="716" t="n">
        <f aca="false">D79</f>
        <v>0</v>
      </c>
      <c r="E32" s="716" t="n">
        <f aca="false">E79</f>
        <v>0</v>
      </c>
      <c r="F32" s="714" t="n">
        <f aca="false">(G9/3)-B32-C32-D32-E32</f>
        <v>111.5815</v>
      </c>
      <c r="G32" s="716" t="n">
        <f aca="false">(I9/3)-B32-C32-D32-E32-F32</f>
        <v>28</v>
      </c>
    </row>
    <row r="33" customFormat="false" ht="13.15" hidden="false" customHeight="false" outlineLevel="0" collapsed="false">
      <c r="A33" s="713" t="str">
        <f aca="false">A13</f>
        <v>XRM</v>
      </c>
      <c r="B33" s="714" t="n">
        <f aca="false">SUM('Inverter Loading'!O36:O37)</f>
        <v>8.72</v>
      </c>
      <c r="C33" s="714" t="n">
        <f aca="false">B13-B33</f>
        <v>91.669</v>
      </c>
      <c r="D33" s="714" t="n">
        <f aca="false">D13</f>
        <v>0</v>
      </c>
      <c r="E33" s="714" t="n">
        <f aca="false">C13</f>
        <v>6.97055</v>
      </c>
      <c r="F33" s="714" t="n">
        <f aca="false">G13-B33-C33-D33-E33</f>
        <v>207.64045</v>
      </c>
      <c r="G33" s="714" t="n">
        <f aca="false">I13-B33-C33-D33-E33-F33</f>
        <v>0</v>
      </c>
      <c r="H33" s="606"/>
      <c r="I33" s="606"/>
    </row>
    <row r="34" customFormat="false" ht="13.15" hidden="false" customHeight="false" outlineLevel="0" collapsed="false">
      <c r="A34" s="713" t="str">
        <f aca="false">A14</f>
        <v>XSN</v>
      </c>
      <c r="B34" s="714" t="n">
        <f aca="false">SUM('Inverter Loading'!O38:O39)</f>
        <v>6.54</v>
      </c>
      <c r="C34" s="714" t="n">
        <f aca="false">B14-B34</f>
        <v>81.1505</v>
      </c>
      <c r="D34" s="714" t="n">
        <f aca="false">D14</f>
        <v>0</v>
      </c>
      <c r="E34" s="714" t="n">
        <f aca="false">C14</f>
        <v>11.663</v>
      </c>
      <c r="F34" s="714" t="n">
        <f aca="false">G14-B34-C34-D34-E34</f>
        <v>152.6465</v>
      </c>
      <c r="G34" s="714" t="n">
        <f aca="false">I14-B34-C34-D34-E34-F34</f>
        <v>48</v>
      </c>
      <c r="H34" s="606"/>
      <c r="I34" s="606"/>
    </row>
    <row r="35" customFormat="false" ht="13.15" hidden="false" customHeight="false" outlineLevel="0" collapsed="false">
      <c r="A35" s="713" t="str">
        <f aca="false">A15</f>
        <v>XSY</v>
      </c>
      <c r="B35" s="714" t="n">
        <f aca="false">SUM('Inverter Loading'!O40:O41)</f>
        <v>7.63</v>
      </c>
      <c r="C35" s="714" t="n">
        <f aca="false">B15-B35</f>
        <v>101.2065</v>
      </c>
      <c r="D35" s="714" t="n">
        <f aca="false">D15</f>
        <v>0</v>
      </c>
      <c r="E35" s="714" t="n">
        <f aca="false">C15</f>
        <v>0</v>
      </c>
      <c r="F35" s="714" t="n">
        <f aca="false">G15-B35-C35-D35-E35</f>
        <v>195.6635</v>
      </c>
      <c r="G35" s="714" t="n">
        <f aca="false">I15-B35-C35-D35-E35-F35</f>
        <v>0</v>
      </c>
      <c r="H35" s="606"/>
      <c r="I35" s="606"/>
    </row>
    <row r="36" customFormat="false" ht="13.15" hidden="false" customHeight="false" outlineLevel="0" collapsed="false">
      <c r="G36" s="606"/>
    </row>
    <row r="37" customFormat="false" ht="13.15" hidden="false" customHeight="false" outlineLevel="0" collapsed="false">
      <c r="A37" s="567"/>
      <c r="B37" s="569"/>
      <c r="C37" s="606"/>
      <c r="D37" s="606"/>
      <c r="E37" s="606"/>
      <c r="F37" s="606"/>
      <c r="G37" s="606"/>
      <c r="H37" s="606"/>
      <c r="I37" s="606"/>
    </row>
    <row r="38" customFormat="false" ht="13.15" hidden="false" customHeight="false" outlineLevel="0" collapsed="false">
      <c r="A38" s="567"/>
      <c r="B38" s="569"/>
      <c r="C38" s="606"/>
      <c r="D38" s="606"/>
      <c r="E38" s="606" t="s">
        <v>708</v>
      </c>
      <c r="F38" s="606"/>
      <c r="G38" s="606"/>
      <c r="H38" s="606" t="s">
        <v>708</v>
      </c>
      <c r="I38" s="606"/>
    </row>
    <row r="39" customFormat="false" ht="13.15" hidden="false" customHeight="false" outlineLevel="0" collapsed="false">
      <c r="G39" s="606"/>
      <c r="H39" s="606"/>
      <c r="I39" s="606"/>
    </row>
    <row r="40" customFormat="false" ht="13.15" hidden="false" customHeight="false" outlineLevel="0" collapsed="false">
      <c r="G40" s="606"/>
      <c r="H40" s="606"/>
      <c r="I40" s="606"/>
    </row>
    <row r="41" customFormat="false" ht="13.15" hidden="false" customHeight="false" outlineLevel="0" collapsed="false">
      <c r="G41" s="606"/>
      <c r="H41" s="606"/>
      <c r="I41" s="606"/>
    </row>
    <row r="42" customFormat="false" ht="13.15" hidden="false" customHeight="false" outlineLevel="0" collapsed="false">
      <c r="A42" s="567"/>
      <c r="B42" s="595"/>
      <c r="C42" s="595"/>
      <c r="D42" s="595"/>
      <c r="E42" s="595"/>
      <c r="F42" s="595"/>
    </row>
    <row r="43" customFormat="false" ht="13.15" hidden="false" customHeight="false" outlineLevel="0" collapsed="false">
      <c r="A43" s="567"/>
      <c r="B43" s="595"/>
      <c r="C43" s="595"/>
      <c r="D43" s="595"/>
      <c r="E43" s="595"/>
      <c r="F43" s="595"/>
    </row>
    <row r="44" customFormat="false" ht="13.9" hidden="false" customHeight="false" outlineLevel="0" collapsed="false">
      <c r="A44" s="567"/>
      <c r="B44" s="606"/>
      <c r="C44" s="606"/>
      <c r="D44" s="606"/>
      <c r="E44" s="606"/>
      <c r="F44" s="606"/>
      <c r="G44" s="606"/>
      <c r="H44" s="606"/>
      <c r="I44" s="573"/>
    </row>
    <row r="45" customFormat="false" ht="13.15" hidden="false" customHeight="false" outlineLevel="0" collapsed="false">
      <c r="A45" s="718" t="s">
        <v>524</v>
      </c>
      <c r="B45" s="719" t="s">
        <v>689</v>
      </c>
      <c r="C45" s="720" t="s">
        <v>408</v>
      </c>
      <c r="D45" s="720" t="s">
        <v>407</v>
      </c>
      <c r="E45" s="720" t="s">
        <v>690</v>
      </c>
      <c r="F45" s="720" t="s">
        <v>581</v>
      </c>
      <c r="G45" s="720" t="s">
        <v>691</v>
      </c>
      <c r="H45" s="719" t="s">
        <v>252</v>
      </c>
      <c r="I45" s="721" t="s">
        <v>692</v>
      </c>
    </row>
    <row r="46" customFormat="false" ht="13.15" hidden="false" customHeight="false" outlineLevel="0" collapsed="false">
      <c r="A46" s="722" t="s">
        <v>274</v>
      </c>
      <c r="B46" s="723" t="n">
        <f aca="false">'Plant loading'!G94</f>
        <v>41.2565</v>
      </c>
      <c r="C46" s="723" t="n">
        <f aca="false">'Plant loading'!P94</f>
        <v>0</v>
      </c>
      <c r="D46" s="723" t="n">
        <f aca="false">SUM('Plant loading'!AC94:AC95)*54.5/1000</f>
        <v>0</v>
      </c>
      <c r="E46" s="723" t="n">
        <f aca="false">SUM(C46+D46)</f>
        <v>0</v>
      </c>
      <c r="F46" s="723" t="n">
        <f aca="false">SUM('Plant loading'!J94+'Plant loading'!J95)</f>
        <v>230</v>
      </c>
      <c r="G46" s="724" t="n">
        <f aca="false">SUM(F46/2)</f>
        <v>115</v>
      </c>
      <c r="H46" s="724" t="n">
        <v>600</v>
      </c>
      <c r="I46" s="725" t="n">
        <f aca="false">H46/2</f>
        <v>300</v>
      </c>
    </row>
    <row r="47" customFormat="false" ht="13.15" hidden="false" customHeight="false" outlineLevel="0" collapsed="false">
      <c r="A47" s="722" t="s">
        <v>276</v>
      </c>
      <c r="B47" s="723" t="n">
        <f aca="false">'Plant loading'!G96</f>
        <v>39.5125</v>
      </c>
      <c r="C47" s="723" t="n">
        <f aca="false">'Plant loading'!P96</f>
        <v>0</v>
      </c>
      <c r="D47" s="723" t="n">
        <f aca="false">SUM('Plant loading'!AC96:AC98)*54.5/1000</f>
        <v>0</v>
      </c>
      <c r="E47" s="723" t="n">
        <f aca="false">SUM(C47+D47)</f>
        <v>0</v>
      </c>
      <c r="F47" s="723" t="n">
        <f aca="false">SUM('Plant loading'!J96:J98)</f>
        <v>229</v>
      </c>
      <c r="G47" s="724" t="n">
        <f aca="false">SUM(F47/2)</f>
        <v>114.5</v>
      </c>
      <c r="H47" s="724" t="n">
        <v>600</v>
      </c>
      <c r="I47" s="725" t="n">
        <f aca="false">H47/2</f>
        <v>300</v>
      </c>
    </row>
    <row r="48" customFormat="false" ht="13.15" hidden="false" customHeight="false" outlineLevel="0" collapsed="false">
      <c r="A48" s="722" t="s">
        <v>277</v>
      </c>
      <c r="B48" s="723" t="n">
        <f aca="false">'Plant loading'!G99</f>
        <v>44.0905</v>
      </c>
      <c r="C48" s="723" t="n">
        <f aca="false">'Plant loading'!P99</f>
        <v>0</v>
      </c>
      <c r="D48" s="723" t="n">
        <f aca="false">SUM('Plant loading'!AC99:AC100)*54.5/1000</f>
        <v>0</v>
      </c>
      <c r="E48" s="723" t="n">
        <f aca="false">SUM(C48+D48)</f>
        <v>0</v>
      </c>
      <c r="F48" s="723" t="n">
        <f aca="false">SUM('Plant loading'!J99+'Plant loading'!J100)</f>
        <v>230</v>
      </c>
      <c r="G48" s="724" t="n">
        <f aca="false">SUM(F48/2)</f>
        <v>115</v>
      </c>
      <c r="H48" s="724" t="n">
        <v>600</v>
      </c>
      <c r="I48" s="725" t="n">
        <f aca="false">H48/2</f>
        <v>300</v>
      </c>
    </row>
    <row r="49" customFormat="false" ht="13.15" hidden="false" customHeight="false" outlineLevel="0" collapsed="false">
      <c r="A49" s="722" t="s">
        <v>278</v>
      </c>
      <c r="B49" s="723" t="n">
        <f aca="false">'Plant loading'!G101</f>
        <v>33.136</v>
      </c>
      <c r="C49" s="723" t="n">
        <f aca="false">'Plant loading'!P101</f>
        <v>0</v>
      </c>
      <c r="D49" s="723" t="n">
        <f aca="false">SUM('Plant loading'!AC101:AC102)*54.5/1000</f>
        <v>0</v>
      </c>
      <c r="E49" s="723" t="n">
        <f aca="false">SUM(C49+D49)</f>
        <v>0</v>
      </c>
      <c r="F49" s="723" t="n">
        <f aca="false">SUM('Plant loading'!J101+'Plant loading'!J102)</f>
        <v>230</v>
      </c>
      <c r="G49" s="724" t="n">
        <f aca="false">SUM(F49/2)</f>
        <v>115</v>
      </c>
      <c r="H49" s="724" t="n">
        <v>600</v>
      </c>
      <c r="I49" s="725" t="n">
        <f aca="false">H49/2</f>
        <v>300</v>
      </c>
    </row>
    <row r="50" customFormat="false" ht="13.15" hidden="false" customHeight="false" outlineLevel="0" collapsed="false">
      <c r="A50" s="722" t="s">
        <v>279</v>
      </c>
      <c r="B50" s="723" t="n">
        <f aca="false">'Plant loading'!G103</f>
        <v>9.7555</v>
      </c>
      <c r="C50" s="723" t="n">
        <f aca="false">'Plant loading'!P103</f>
        <v>0</v>
      </c>
      <c r="D50" s="723" t="n">
        <f aca="false">SUM('Plant loading'!AC103:AC104)*54.5/1000</f>
        <v>0</v>
      </c>
      <c r="E50" s="723" t="n">
        <f aca="false">SUM(C50+D50)</f>
        <v>0</v>
      </c>
      <c r="F50" s="723" t="n">
        <f aca="false">SUM('Plant loading'!J103+'Plant loading'!J104)</f>
        <v>62</v>
      </c>
      <c r="G50" s="724" t="n">
        <f aca="false">SUM(F50/2)</f>
        <v>31</v>
      </c>
      <c r="H50" s="724" t="n">
        <f aca="false">G50*2</f>
        <v>62</v>
      </c>
      <c r="I50" s="725" t="n">
        <f aca="false">H50/2</f>
        <v>31</v>
      </c>
    </row>
    <row r="51" customFormat="false" ht="13.15" hidden="false" customHeight="false" outlineLevel="0" collapsed="false">
      <c r="A51" s="726" t="s">
        <v>280</v>
      </c>
      <c r="B51" s="723" t="n">
        <f aca="false">'Plant loading'!G105</f>
        <v>54.5545</v>
      </c>
      <c r="C51" s="723" t="n">
        <f aca="false">'Plant loading'!P105</f>
        <v>0</v>
      </c>
      <c r="D51" s="723" t="n">
        <f aca="false">SUM('Plant loading'!AC105:AC106)*54.5/1000</f>
        <v>0</v>
      </c>
      <c r="E51" s="723" t="n">
        <f aca="false">SUM(C51+D51)</f>
        <v>0</v>
      </c>
      <c r="F51" s="723" t="n">
        <f aca="false">SUM('Plant loading'!J105+'Plant loading'!J106)</f>
        <v>230</v>
      </c>
      <c r="G51" s="724" t="n">
        <f aca="false">SUM(F51/2)</f>
        <v>115</v>
      </c>
      <c r="H51" s="724" t="n">
        <v>600</v>
      </c>
      <c r="I51" s="725" t="n">
        <f aca="false">H51/2</f>
        <v>300</v>
      </c>
    </row>
    <row r="52" customFormat="false" ht="13.15" hidden="false" customHeight="false" outlineLevel="0" collapsed="false">
      <c r="A52" s="722" t="s">
        <v>282</v>
      </c>
      <c r="B52" s="723" t="n">
        <f aca="false">'Plant loading'!G109</f>
        <v>38.695</v>
      </c>
      <c r="C52" s="723" t="n">
        <f aca="false">'Plant loading'!P109</f>
        <v>0</v>
      </c>
      <c r="D52" s="723" t="n">
        <f aca="false">SUM('Plant loading'!AC109:AC111)*54.5/1000</f>
        <v>0</v>
      </c>
      <c r="E52" s="723" t="n">
        <f aca="false">SUM(C52+D52)</f>
        <v>0</v>
      </c>
      <c r="F52" s="723" t="n">
        <f aca="false">SUM('Plant loading'!J109:J111)</f>
        <v>287</v>
      </c>
      <c r="G52" s="724" t="n">
        <f aca="false">SUM(F52/2)</f>
        <v>143.5</v>
      </c>
      <c r="H52" s="724" t="n">
        <v>600</v>
      </c>
      <c r="I52" s="725" t="n">
        <f aca="false">H52/2</f>
        <v>300</v>
      </c>
    </row>
    <row r="53" customFormat="false" ht="13.15" hidden="false" customHeight="false" outlineLevel="0" collapsed="false">
      <c r="A53" s="722" t="s">
        <v>281</v>
      </c>
      <c r="B53" s="723" t="n">
        <f aca="false">'Plant loading'!G107</f>
        <v>29.212</v>
      </c>
      <c r="C53" s="723" t="n">
        <f aca="false">'Plant loading'!P107</f>
        <v>0</v>
      </c>
      <c r="D53" s="723" t="n">
        <f aca="false">SUM('Plant loading'!AC107:AC108)*54.5/1000</f>
        <v>0</v>
      </c>
      <c r="E53" s="723" t="n">
        <f aca="false">SUM(C53+D53)</f>
        <v>0</v>
      </c>
      <c r="F53" s="723" t="n">
        <f aca="false">SUM('Plant loading'!J107+'Plant loading'!J108)</f>
        <v>230</v>
      </c>
      <c r="G53" s="724" t="n">
        <f aca="false">SUM(F53/2)</f>
        <v>115</v>
      </c>
      <c r="H53" s="724" t="n">
        <v>600</v>
      </c>
      <c r="I53" s="725" t="n">
        <f aca="false">H53/2</f>
        <v>300</v>
      </c>
    </row>
    <row r="54" customFormat="false" ht="13.15" hidden="false" customHeight="false" outlineLevel="0" collapsed="false">
      <c r="A54" s="722" t="s">
        <v>283</v>
      </c>
      <c r="B54" s="723" t="n">
        <f aca="false">'Plant loading'!G112</f>
        <v>16.132</v>
      </c>
      <c r="C54" s="723" t="n">
        <f aca="false">'Plant loading'!P112</f>
        <v>0</v>
      </c>
      <c r="D54" s="723" t="n">
        <f aca="false">SUM('Plant loading'!AC112:AC113)*54.5/1000</f>
        <v>0</v>
      </c>
      <c r="E54" s="723" t="n">
        <f aca="false">SUM(C54+D54)</f>
        <v>0</v>
      </c>
      <c r="F54" s="723" t="n">
        <f aca="false">SUM('Plant loading'!J112+'Plant loading'!J113)</f>
        <v>211</v>
      </c>
      <c r="G54" s="724" t="n">
        <f aca="false">SUM(F54/2)</f>
        <v>105.5</v>
      </c>
      <c r="H54" s="724" t="n">
        <v>600</v>
      </c>
      <c r="I54" s="725" t="n">
        <f aca="false">H54/2</f>
        <v>300</v>
      </c>
    </row>
    <row r="55" customFormat="false" ht="13.15" hidden="false" customHeight="false" outlineLevel="0" collapsed="false">
      <c r="A55" s="722" t="s">
        <v>284</v>
      </c>
      <c r="B55" s="723" t="n">
        <f aca="false">'Plant loading'!G114</f>
        <v>43.927</v>
      </c>
      <c r="C55" s="723" t="n">
        <f aca="false">'Plant loading'!P114</f>
        <v>0</v>
      </c>
      <c r="D55" s="723" t="n">
        <f aca="false">SUM('Plant loading'!AC114:AC115)*54.5/1000</f>
        <v>0</v>
      </c>
      <c r="E55" s="723" t="n">
        <f aca="false">SUM(C55+D55)</f>
        <v>0</v>
      </c>
      <c r="F55" s="723" t="n">
        <f aca="false">SUM('Plant loading'!J114+'Plant loading'!J115)</f>
        <v>230</v>
      </c>
      <c r="G55" s="724" t="n">
        <f aca="false">SUM(F55/2)</f>
        <v>115</v>
      </c>
      <c r="H55" s="724" t="n">
        <v>600</v>
      </c>
      <c r="I55" s="725" t="n">
        <f aca="false">H55/2</f>
        <v>300</v>
      </c>
    </row>
    <row r="56" customFormat="false" ht="13.9" hidden="false" customHeight="false" outlineLevel="0" collapsed="false">
      <c r="A56" s="722" t="s">
        <v>285</v>
      </c>
      <c r="B56" s="723" t="n">
        <f aca="false">'Plant loading'!G116</f>
        <v>45.126</v>
      </c>
      <c r="C56" s="723" t="n">
        <f aca="false">'Plant loading'!P116</f>
        <v>0</v>
      </c>
      <c r="D56" s="723" t="n">
        <f aca="false">SUM('Plant loading'!AC116:AC118)*54.5/1000</f>
        <v>0</v>
      </c>
      <c r="E56" s="723" t="n">
        <f aca="false">SUM(C56+D56)</f>
        <v>0</v>
      </c>
      <c r="F56" s="723" t="n">
        <f aca="false">SUM('Plant loading'!J116:J118)</f>
        <v>171</v>
      </c>
      <c r="G56" s="724" t="n">
        <f aca="false">SUM(F56/2)</f>
        <v>85.5</v>
      </c>
      <c r="H56" s="724" t="n">
        <f aca="false">G56*2</f>
        <v>171</v>
      </c>
      <c r="I56" s="725" t="n">
        <f aca="false">H56/2</f>
        <v>85.5</v>
      </c>
    </row>
    <row r="57" customFormat="false" ht="10.9" hidden="false" customHeight="false" outlineLevel="0" collapsed="false">
      <c r="F57" s="727"/>
    </row>
    <row r="58" customFormat="false" ht="13.15" hidden="false" customHeight="false" outlineLevel="0" collapsed="false">
      <c r="A58" s="728" t="s">
        <v>709</v>
      </c>
      <c r="B58" s="729"/>
      <c r="C58" s="729"/>
      <c r="D58" s="729"/>
      <c r="E58" s="729"/>
      <c r="F58" s="730"/>
    </row>
    <row r="59" customFormat="false" ht="13.15" hidden="false" customHeight="false" outlineLevel="0" collapsed="false">
      <c r="A59" s="731" t="s">
        <v>524</v>
      </c>
      <c r="B59" s="732" t="s">
        <v>701</v>
      </c>
      <c r="C59" s="733" t="s">
        <v>702</v>
      </c>
      <c r="D59" s="733" t="s">
        <v>407</v>
      </c>
      <c r="E59" s="733" t="s">
        <v>408</v>
      </c>
      <c r="F59" s="734" t="s">
        <v>710</v>
      </c>
      <c r="G59" s="567"/>
      <c r="H59" s="567"/>
      <c r="I59" s="567"/>
    </row>
    <row r="60" customFormat="false" ht="13.15" hidden="false" customHeight="false" outlineLevel="0" collapsed="false">
      <c r="A60" s="735" t="s">
        <v>274</v>
      </c>
      <c r="B60" s="736" t="n">
        <f aca="false">SUM('Inverter Loading'!O44)</f>
        <v>1.2535</v>
      </c>
      <c r="C60" s="737" t="n">
        <f aca="false">B46-B60</f>
        <v>40.003</v>
      </c>
      <c r="D60" s="737" t="n">
        <f aca="false">D46</f>
        <v>0</v>
      </c>
      <c r="E60" s="737" t="n">
        <f aca="false">E46</f>
        <v>0</v>
      </c>
      <c r="F60" s="738" t="n">
        <f aca="false">SUM(F46-B60-C60-D60-E60)</f>
        <v>188.7435</v>
      </c>
      <c r="G60" s="606"/>
      <c r="H60" s="606"/>
      <c r="I60" s="606"/>
    </row>
    <row r="61" customFormat="false" ht="13.15" hidden="false" customHeight="false" outlineLevel="0" collapsed="false">
      <c r="A61" s="735" t="str">
        <f aca="false">A47</f>
        <v>XCF</v>
      </c>
      <c r="B61" s="736" t="n">
        <f aca="false">SUM('Inverter Loading'!O45)</f>
        <v>0.2507</v>
      </c>
      <c r="C61" s="737" t="n">
        <f aca="false">B47</f>
        <v>39.5125</v>
      </c>
      <c r="D61" s="737" t="n">
        <f aca="false">D48</f>
        <v>0</v>
      </c>
      <c r="E61" s="737" t="n">
        <f aca="false">E47</f>
        <v>0</v>
      </c>
      <c r="F61" s="738" t="n">
        <f aca="false">SUM(F48-B61-C61-D61-E61)</f>
        <v>190.2368</v>
      </c>
      <c r="G61" s="606"/>
      <c r="H61" s="606"/>
      <c r="I61" s="606"/>
    </row>
    <row r="62" customFormat="false" ht="13.15" hidden="false" customHeight="false" outlineLevel="0" collapsed="false">
      <c r="A62" s="735" t="str">
        <f aca="false">A48</f>
        <v>XCE</v>
      </c>
      <c r="B62" s="736" t="n">
        <f aca="false">SUM('Inverter Loading'!O46)</f>
        <v>1.2535</v>
      </c>
      <c r="C62" s="737" t="n">
        <f aca="false">B48-B62</f>
        <v>42.837</v>
      </c>
      <c r="D62" s="737" t="n">
        <f aca="false">D47</f>
        <v>0</v>
      </c>
      <c r="E62" s="737" t="n">
        <f aca="false">E48</f>
        <v>0</v>
      </c>
      <c r="F62" s="738" t="n">
        <f aca="false">SUM(F47-B62-C62-D62-E62)</f>
        <v>184.9095</v>
      </c>
      <c r="G62" s="606"/>
      <c r="H62" s="606"/>
      <c r="I62" s="606"/>
    </row>
    <row r="63" customFormat="false" ht="13.15" hidden="false" customHeight="false" outlineLevel="0" collapsed="false">
      <c r="A63" s="735" t="str">
        <f aca="false">A49</f>
        <v>XCN</v>
      </c>
      <c r="B63" s="736" t="n">
        <f aca="false">SUM('Inverter Loading'!O47)</f>
        <v>1.7549</v>
      </c>
      <c r="C63" s="737" t="n">
        <f aca="false">B49-B63</f>
        <v>31.3811</v>
      </c>
      <c r="D63" s="737" t="n">
        <f aca="false">D49</f>
        <v>0</v>
      </c>
      <c r="E63" s="737" t="n">
        <f aca="false">E49</f>
        <v>0</v>
      </c>
      <c r="F63" s="738" t="n">
        <f aca="false">SUM(F49-B63-C63-D63-E63)</f>
        <v>196.864</v>
      </c>
      <c r="G63" s="606"/>
      <c r="H63" s="606"/>
      <c r="I63" s="606"/>
    </row>
    <row r="64" customFormat="false" ht="13.15" hidden="false" customHeight="false" outlineLevel="0" collapsed="false">
      <c r="A64" s="735" t="str">
        <f aca="false">A50</f>
        <v>TGW</v>
      </c>
      <c r="B64" s="736" t="n">
        <f aca="false">SUM('Inverter Loading'!O48)</f>
        <v>0.5014</v>
      </c>
      <c r="C64" s="737" t="n">
        <f aca="false">B50-B64</f>
        <v>9.2541</v>
      </c>
      <c r="D64" s="737" t="n">
        <f aca="false">D50</f>
        <v>0</v>
      </c>
      <c r="E64" s="737" t="n">
        <f aca="false">E50</f>
        <v>0</v>
      </c>
      <c r="F64" s="738" t="n">
        <f aca="false">SUM(F50-B64-C64-D64-E64)</f>
        <v>52.2445</v>
      </c>
      <c r="G64" s="606"/>
      <c r="H64" s="606"/>
      <c r="I64" s="606"/>
    </row>
    <row r="65" customFormat="false" ht="13.15" hidden="false" customHeight="false" outlineLevel="0" collapsed="false">
      <c r="A65" s="735" t="str">
        <f aca="false">A51</f>
        <v>XLR</v>
      </c>
      <c r="B65" s="736" t="n">
        <f aca="false">SUM('Inverter Loading'!O49)</f>
        <v>1.7549</v>
      </c>
      <c r="C65" s="737" t="n">
        <f aca="false">B51-B65</f>
        <v>52.7996</v>
      </c>
      <c r="D65" s="737" t="n">
        <f aca="false">D51</f>
        <v>0</v>
      </c>
      <c r="E65" s="737" t="n">
        <f aca="false">E51</f>
        <v>0</v>
      </c>
      <c r="F65" s="738" t="n">
        <f aca="false">SUM(F51-B65-C65-D65-E65)</f>
        <v>175.4455</v>
      </c>
      <c r="G65" s="606"/>
      <c r="H65" s="606"/>
    </row>
    <row r="66" customFormat="false" ht="13.15" hidden="false" customHeight="false" outlineLevel="0" collapsed="false">
      <c r="A66" s="735" t="str">
        <f aca="false">A52</f>
        <v>XNE</v>
      </c>
      <c r="B66" s="736" t="n">
        <f aca="false">SUM('Inverter Loading'!O50)</f>
        <v>1.5042</v>
      </c>
      <c r="C66" s="737" t="n">
        <f aca="false">B52-B66</f>
        <v>37.1908</v>
      </c>
      <c r="D66" s="737" t="n">
        <f aca="false">D52</f>
        <v>0</v>
      </c>
      <c r="E66" s="737" t="n">
        <f aca="false">E52</f>
        <v>0</v>
      </c>
      <c r="F66" s="738" t="n">
        <f aca="false">SUM(F52-B66-C66-D66-E66)</f>
        <v>248.305</v>
      </c>
      <c r="G66" s="606"/>
      <c r="H66" s="606"/>
    </row>
    <row r="67" customFormat="false" ht="13.15" hidden="false" customHeight="false" outlineLevel="0" collapsed="false">
      <c r="A67" s="735" t="str">
        <f aca="false">A53</f>
        <v>XNY</v>
      </c>
      <c r="B67" s="736" t="n">
        <f aca="false">SUM('Inverter Loading'!O51)</f>
        <v>6.5182</v>
      </c>
      <c r="C67" s="737" t="n">
        <f aca="false">B53-B67</f>
        <v>22.6938</v>
      </c>
      <c r="D67" s="737" t="n">
        <f aca="false">D53</f>
        <v>0</v>
      </c>
      <c r="E67" s="737" t="n">
        <f aca="false">E53</f>
        <v>0</v>
      </c>
      <c r="F67" s="738" t="n">
        <f aca="false">SUM(F53-B67-C67-D67-E67)</f>
        <v>200.788</v>
      </c>
      <c r="G67" s="606"/>
      <c r="H67" s="606"/>
    </row>
    <row r="68" customFormat="false" ht="13.15" hidden="false" customHeight="false" outlineLevel="0" collapsed="false">
      <c r="A68" s="735" t="str">
        <f aca="false">A54</f>
        <v>XOD</v>
      </c>
      <c r="B68" s="736" t="n">
        <f aca="false">SUM('Inverter Loading'!O53)</f>
        <v>1.0028</v>
      </c>
      <c r="C68" s="737" t="n">
        <f aca="false">B54</f>
        <v>16.132</v>
      </c>
      <c r="D68" s="737" t="n">
        <f aca="false">D54</f>
        <v>0</v>
      </c>
      <c r="E68" s="737" t="n">
        <f aca="false">E54</f>
        <v>0</v>
      </c>
      <c r="F68" s="738" t="n">
        <f aca="false">SUM(F54-B68-C68-D68-E68)</f>
        <v>193.8652</v>
      </c>
      <c r="G68" s="606"/>
      <c r="H68" s="606"/>
    </row>
    <row r="69" customFormat="false" ht="13.15" hidden="false" customHeight="false" outlineLevel="0" collapsed="false">
      <c r="A69" s="735" t="str">
        <f aca="false">A55</f>
        <v>XSD</v>
      </c>
      <c r="B69" s="736" t="n">
        <f aca="false">SUM('Inverter Loading'!O54)</f>
        <v>1.5042</v>
      </c>
      <c r="C69" s="737" t="n">
        <f aca="false">B55-B69</f>
        <v>42.4228</v>
      </c>
      <c r="D69" s="737" t="n">
        <f aca="false">D55</f>
        <v>0</v>
      </c>
      <c r="E69" s="737" t="n">
        <f aca="false">E55</f>
        <v>0</v>
      </c>
      <c r="F69" s="738" t="n">
        <f aca="false">SUM(F55-B69-C69-D69-E69)</f>
        <v>186.073</v>
      </c>
      <c r="G69" s="606"/>
      <c r="H69" s="606"/>
    </row>
    <row r="70" customFormat="false" ht="13.15" hidden="false" customHeight="false" outlineLevel="0" collapsed="false">
      <c r="A70" s="735" t="str">
        <f aca="false">A56</f>
        <v>TWN</v>
      </c>
      <c r="B70" s="736" t="n">
        <f aca="false">SUM('Inverter Loading'!O55)</f>
        <v>0</v>
      </c>
      <c r="C70" s="737" t="n">
        <f aca="false">B56-B70</f>
        <v>45.126</v>
      </c>
      <c r="D70" s="737" t="n">
        <f aca="false">D56</f>
        <v>0</v>
      </c>
      <c r="E70" s="737" t="n">
        <f aca="false">E56+'Inverter Loading'!S55</f>
        <v>0</v>
      </c>
      <c r="F70" s="738" t="n">
        <f aca="false">SUM(F56-B70-C70-D70-E70)</f>
        <v>125.874</v>
      </c>
      <c r="G70" s="606"/>
      <c r="H70" s="606"/>
    </row>
    <row r="71" customFormat="false" ht="13.15" hidden="false" customHeight="false" outlineLevel="0" collapsed="false">
      <c r="A71" s="567"/>
      <c r="B71" s="569"/>
      <c r="C71" s="606"/>
      <c r="D71" s="606"/>
      <c r="E71" s="606"/>
      <c r="F71" s="606"/>
      <c r="G71" s="606"/>
      <c r="H71" s="606"/>
    </row>
    <row r="74" customFormat="false" ht="13.15" hidden="false" customHeight="false" outlineLevel="0" collapsed="false">
      <c r="A74" s="567"/>
      <c r="B74" s="606"/>
      <c r="C74" s="606"/>
      <c r="D74" s="606"/>
      <c r="E74" s="606"/>
      <c r="F74" s="606"/>
      <c r="G74" s="606"/>
      <c r="H74" s="606"/>
    </row>
    <row r="75" customFormat="false" ht="13.9" hidden="false" customHeight="false" outlineLevel="0" collapsed="false">
      <c r="A75" s="567"/>
      <c r="B75" s="739"/>
      <c r="C75" s="606"/>
      <c r="D75" s="606"/>
      <c r="E75" s="606"/>
      <c r="F75" s="606"/>
      <c r="G75" s="606"/>
      <c r="H75" s="606"/>
    </row>
    <row r="76" customFormat="false" ht="13.15" hidden="false" customHeight="false" outlineLevel="0" collapsed="false">
      <c r="A76" s="740" t="s">
        <v>255</v>
      </c>
      <c r="B76" s="741" t="s">
        <v>701</v>
      </c>
      <c r="C76" s="742" t="s">
        <v>711</v>
      </c>
      <c r="D76" s="741" t="s">
        <v>407</v>
      </c>
      <c r="E76" s="741" t="s">
        <v>712</v>
      </c>
      <c r="F76" s="741" t="s">
        <v>581</v>
      </c>
      <c r="G76" s="741" t="s">
        <v>691</v>
      </c>
      <c r="H76" s="743" t="s">
        <v>252</v>
      </c>
    </row>
    <row r="77" customFormat="false" ht="13.15" hidden="false" customHeight="false" outlineLevel="0" collapsed="false">
      <c r="A77" s="744" t="s">
        <v>567</v>
      </c>
      <c r="B77" s="745" t="n">
        <f aca="false">B84/3</f>
        <v>11.99</v>
      </c>
      <c r="C77" s="745" t="n">
        <f aca="false">(('Plant loading'!E47+'Plant loading'!E48+'Plant loading'!E49)*54.5)/1000</f>
        <v>36.515</v>
      </c>
      <c r="D77" s="745" t="n">
        <f aca="false">(('Plant loading'!N47+'Plant loading'!N48+'Plant loading'!N49)*54.5)/1000</f>
        <v>0</v>
      </c>
      <c r="E77" s="745" t="n">
        <f aca="false">(('Plant loading'!Q47+'Plant loading'!Q48+'Plant loading'!Q49)*54.5)/1000</f>
        <v>0</v>
      </c>
      <c r="F77" s="745" t="n">
        <f aca="false">('Plant loading'!J47+'Plant loading'!J48+'Plant loading'!J49)</f>
        <v>231</v>
      </c>
      <c r="G77" s="745" t="n">
        <f aca="false">F77/2</f>
        <v>115.5</v>
      </c>
      <c r="H77" s="746" t="n">
        <v>120</v>
      </c>
    </row>
    <row r="78" customFormat="false" ht="13.15" hidden="false" customHeight="false" outlineLevel="0" collapsed="false">
      <c r="A78" s="744" t="s">
        <v>568</v>
      </c>
      <c r="B78" s="745" t="n">
        <f aca="false">B84/3</f>
        <v>11.99</v>
      </c>
      <c r="C78" s="745" t="n">
        <f aca="false">(('Plant loading'!E50+'Plant loading'!E51+'Plant loading'!E52)*54.5)/1000</f>
        <v>62.7295</v>
      </c>
      <c r="D78" s="745" t="n">
        <f aca="false">(('Plant loading'!N50+'Plant loading'!N51+'Plant loading'!N52)*54.5)/1000</f>
        <v>0</v>
      </c>
      <c r="E78" s="745" t="n">
        <f aca="false">(('Plant loading'!Q50+'Plant loading'!Q51+'Plant loading'!Q52)*54.5)/1000</f>
        <v>0</v>
      </c>
      <c r="F78" s="745" t="n">
        <f aca="false">('Plant loading'!J50+'Plant loading'!J51+'Plant loading'!J52)</f>
        <v>357</v>
      </c>
      <c r="G78" s="745" t="n">
        <f aca="false">F78/2</f>
        <v>178.5</v>
      </c>
      <c r="H78" s="746" t="n">
        <v>120</v>
      </c>
    </row>
    <row r="79" customFormat="false" ht="13.9" hidden="false" customHeight="false" outlineLevel="0" collapsed="false">
      <c r="A79" s="747" t="s">
        <v>569</v>
      </c>
      <c r="B79" s="748" t="n">
        <f aca="false">B84/3</f>
        <v>11.99</v>
      </c>
      <c r="C79" s="748" t="n">
        <f aca="false">(('Plant loading'!E53+'Plant loading'!E54+'Plant loading'!E55)*54.5)/1000</f>
        <v>21.4185</v>
      </c>
      <c r="D79" s="748" t="n">
        <f aca="false">(('Plant loading'!N53+'Plant loading'!N54+'Plant loading'!N55)*54.5)/1000</f>
        <v>0</v>
      </c>
      <c r="E79" s="748" t="n">
        <f aca="false">(('Plant loading'!Q53+'Plant loading'!Q54+'Plant loading'!Q55)*54.5)/1000</f>
        <v>0</v>
      </c>
      <c r="F79" s="748" t="n">
        <f aca="false">('Plant loading'!J53+'Plant loading'!J54+'Plant loading'!J55)</f>
        <v>210</v>
      </c>
      <c r="G79" s="748" t="n">
        <f aca="false">F79/2</f>
        <v>105</v>
      </c>
      <c r="H79" s="749" t="n">
        <v>120</v>
      </c>
    </row>
    <row r="82" customFormat="false" ht="26.45" hidden="false" customHeight="false" outlineLevel="0" collapsed="false">
      <c r="A82" s="750" t="s">
        <v>713</v>
      </c>
      <c r="B82" s="751"/>
      <c r="C82" s="752"/>
      <c r="D82" s="752"/>
      <c r="E82" s="752"/>
      <c r="F82" s="753"/>
    </row>
    <row r="83" customFormat="false" ht="13.15" hidden="false" customHeight="false" outlineLevel="0" collapsed="false">
      <c r="A83" s="744" t="s">
        <v>524</v>
      </c>
      <c r="B83" s="754" t="s">
        <v>701</v>
      </c>
      <c r="C83" s="755" t="s">
        <v>702</v>
      </c>
      <c r="D83" s="755" t="s">
        <v>407</v>
      </c>
      <c r="E83" s="755" t="s">
        <v>408</v>
      </c>
      <c r="F83" s="756" t="s">
        <v>409</v>
      </c>
    </row>
    <row r="84" customFormat="false" ht="13.9" hidden="false" customHeight="false" outlineLevel="0" collapsed="false">
      <c r="A84" s="747" t="str">
        <f aca="false">A9</f>
        <v>XKS</v>
      </c>
      <c r="B84" s="748" t="n">
        <f aca="false">SUM('Inverter Loading'!O24:O25)</f>
        <v>35.97</v>
      </c>
      <c r="C84" s="748" t="n">
        <f aca="false">B9-B41</f>
        <v>120.663</v>
      </c>
      <c r="D84" s="748" t="n">
        <f aca="false">D9</f>
        <v>0</v>
      </c>
      <c r="E84" s="748" t="n">
        <f aca="false">C9</f>
        <v>0</v>
      </c>
      <c r="F84" s="749" t="n">
        <f aca="false">I9-B41-C41-D41-E41</f>
        <v>483</v>
      </c>
    </row>
    <row r="85" customFormat="false" ht="13.15" hidden="false" customHeight="false" outlineLevel="0" collapsed="false">
      <c r="A85" s="567"/>
      <c r="B85" s="606"/>
      <c r="C85" s="606"/>
      <c r="D85" s="606"/>
      <c r="E85" s="606"/>
      <c r="F85" s="606"/>
    </row>
    <row r="88" customFormat="false" ht="13.15" hidden="false" customHeight="false" outlineLevel="0" collapsed="false">
      <c r="A88" s="757"/>
      <c r="B88" s="758"/>
      <c r="C88" s="759"/>
      <c r="D88" s="758"/>
      <c r="E88" s="758"/>
      <c r="F88" s="758"/>
    </row>
    <row r="89" customFormat="false" ht="10.15" hidden="false" customHeight="false" outlineLevel="0" collapsed="false">
      <c r="A89" s="760"/>
      <c r="B89" s="761"/>
      <c r="C89" s="761"/>
      <c r="D89" s="761"/>
      <c r="E89" s="761"/>
      <c r="F89" s="761"/>
    </row>
    <row r="90" customFormat="false" ht="10.15" hidden="false" customHeight="false" outlineLevel="0" collapsed="false">
      <c r="A90" s="762" t="s">
        <v>714</v>
      </c>
      <c r="B90" s="763"/>
      <c r="C90" s="764" t="s">
        <v>715</v>
      </c>
      <c r="D90" s="763"/>
      <c r="E90" s="764" t="s">
        <v>716</v>
      </c>
      <c r="F90" s="763"/>
    </row>
    <row r="91" customFormat="false" ht="10.15" hidden="false" customHeight="false" outlineLevel="0" collapsed="false">
      <c r="A91" s="765" t="s">
        <v>717</v>
      </c>
      <c r="B91" s="450" t="n">
        <f aca="false">SUM(B3+B8+B10+B11)+(J8+J10)</f>
        <v>1379.94</v>
      </c>
      <c r="C91" s="449" t="s">
        <v>718</v>
      </c>
      <c r="D91" s="450" t="n">
        <f aca="false">B91</f>
        <v>1379.94</v>
      </c>
      <c r="E91" s="449" t="s">
        <v>718</v>
      </c>
      <c r="F91" s="450" t="n">
        <f aca="false">B92</f>
        <v>959.6905</v>
      </c>
    </row>
    <row r="92" customFormat="false" ht="10.15" hidden="false" customHeight="false" outlineLevel="0" collapsed="false">
      <c r="A92" s="765" t="s">
        <v>719</v>
      </c>
      <c r="B92" s="450" t="n">
        <f aca="false">SUM(B2+B4+B7+B12+B13)</f>
        <v>959.6905</v>
      </c>
      <c r="C92" s="766" t="s">
        <v>720</v>
      </c>
      <c r="D92" s="450" t="n">
        <f aca="false">B93</f>
        <v>322.030145</v>
      </c>
      <c r="E92" s="766" t="s">
        <v>720</v>
      </c>
      <c r="F92" s="450" t="n">
        <f aca="false">B94</f>
        <v>54.85425</v>
      </c>
    </row>
    <row r="93" customFormat="false" ht="10.15" hidden="false" customHeight="false" outlineLevel="0" collapsed="false">
      <c r="A93" s="767" t="s">
        <v>721</v>
      </c>
      <c r="B93" s="768" t="n">
        <f aca="false">SUM(D20:D24)+(E20+E24+E22+E21)+(K8+K10)</f>
        <v>322.030145</v>
      </c>
      <c r="C93" s="766" t="s">
        <v>722</v>
      </c>
      <c r="D93" s="450" t="n">
        <f aca="false">B95</f>
        <v>0</v>
      </c>
      <c r="E93" s="766" t="s">
        <v>722</v>
      </c>
      <c r="F93" s="450" t="n">
        <f aca="false">B96</f>
        <v>0</v>
      </c>
    </row>
    <row r="94" customFormat="false" ht="10.15" hidden="false" customHeight="false" outlineLevel="0" collapsed="false">
      <c r="A94" s="767" t="s">
        <v>723</v>
      </c>
      <c r="B94" s="768" t="n">
        <f aca="false">SUM(D27:D33)+(E27+E28+E25+E26+E33)</f>
        <v>54.85425</v>
      </c>
      <c r="C94" s="766" t="s">
        <v>724</v>
      </c>
      <c r="D94" s="450" t="n">
        <f aca="false">B97</f>
        <v>78.469645</v>
      </c>
      <c r="E94" s="766" t="s">
        <v>724</v>
      </c>
      <c r="F94" s="450" t="n">
        <f aca="false">B98</f>
        <v>40.95675</v>
      </c>
    </row>
    <row r="95" customFormat="false" ht="10.15" hidden="false" customHeight="false" outlineLevel="0" collapsed="false">
      <c r="A95" s="765" t="s">
        <v>725</v>
      </c>
      <c r="B95" s="450" t="n">
        <f aca="false">G20+G24+G22+G21</f>
        <v>0</v>
      </c>
      <c r="E95" s="450"/>
      <c r="F95" s="450"/>
    </row>
    <row r="96" customFormat="false" ht="10.15" hidden="false" customHeight="false" outlineLevel="0" collapsed="false">
      <c r="A96" s="765" t="s">
        <v>726</v>
      </c>
      <c r="B96" s="450" t="n">
        <f aca="false">G27+G28+G25+G26+G33</f>
        <v>0</v>
      </c>
    </row>
    <row r="97" customFormat="false" ht="10.15" hidden="false" customHeight="false" outlineLevel="0" collapsed="false">
      <c r="A97" s="765" t="s">
        <v>727</v>
      </c>
      <c r="B97" s="450" t="n">
        <f aca="false">SUM(E20+E24+E22+E21)+(K8+K10)</f>
        <v>78.469645</v>
      </c>
      <c r="E97" s="450"/>
      <c r="F97" s="450"/>
    </row>
    <row r="98" customFormat="false" ht="10.15" hidden="false" customHeight="false" outlineLevel="0" collapsed="false">
      <c r="A98" s="765" t="s">
        <v>728</v>
      </c>
      <c r="B98" s="450" t="n">
        <f aca="false">SUM(E27+E28+E25+E26+E33)</f>
        <v>40.95675</v>
      </c>
      <c r="E98" s="450"/>
      <c r="F98" s="450"/>
    </row>
    <row r="102" customFormat="false" ht="10.15" hidden="false" customHeight="false" outlineLevel="0" collapsed="false">
      <c r="C102" s="769"/>
      <c r="D102" s="769"/>
      <c r="E102" s="769"/>
    </row>
    <row r="103" customFormat="false" ht="10.15" hidden="false" customHeight="false" outlineLevel="0" collapsed="false">
      <c r="A103" s="770" t="s">
        <v>729</v>
      </c>
      <c r="B103" s="769"/>
      <c r="C103" s="450"/>
      <c r="D103" s="450"/>
      <c r="E103" s="450"/>
    </row>
    <row r="104" customFormat="false" ht="10.15" hidden="false" customHeight="false" outlineLevel="0" collapsed="false">
      <c r="A104" s="442" t="s">
        <v>718</v>
      </c>
      <c r="B104" s="450" t="n">
        <f aca="false">SUM(B5+B6+B9+B14+B15)</f>
        <v>680.6505</v>
      </c>
      <c r="C104" s="450"/>
      <c r="D104" s="450"/>
      <c r="E104" s="450"/>
    </row>
    <row r="105" customFormat="false" ht="10.15" hidden="false" customHeight="false" outlineLevel="0" collapsed="false">
      <c r="A105" s="603" t="s">
        <v>720</v>
      </c>
      <c r="B105" s="768" t="n">
        <f aca="false">SUM(D23:D41)+SUM(E23:E41)</f>
        <v>400.79117</v>
      </c>
      <c r="C105" s="450"/>
      <c r="D105" s="450"/>
      <c r="E105" s="450"/>
    </row>
    <row r="106" customFormat="false" ht="10.15" hidden="false" customHeight="false" outlineLevel="0" collapsed="false">
      <c r="A106" s="442" t="s">
        <v>722</v>
      </c>
      <c r="B106" s="450" t="n">
        <f aca="false">SUM(F23:F41)</f>
        <v>1598.78533</v>
      </c>
      <c r="C106" s="450"/>
      <c r="D106" s="450"/>
      <c r="E106" s="450"/>
    </row>
    <row r="107" customFormat="false" ht="10.15" hidden="false" customHeight="false" outlineLevel="0" collapsed="false">
      <c r="A107" s="442" t="s">
        <v>724</v>
      </c>
      <c r="B107" s="450" t="n">
        <f aca="false">SUM(E23:E41)</f>
        <v>68.17767</v>
      </c>
      <c r="C107" s="450"/>
      <c r="D107" s="450"/>
      <c r="E107" s="450"/>
    </row>
    <row r="109" customFormat="false" ht="10.15" hidden="false" customHeight="false" outlineLevel="0" collapsed="false">
      <c r="A109" s="762" t="s">
        <v>730</v>
      </c>
      <c r="B109" s="450"/>
      <c r="C109" s="450"/>
      <c r="D109" s="450"/>
      <c r="E109" s="450"/>
    </row>
    <row r="110" customFormat="false" ht="10.15" hidden="false" customHeight="false" outlineLevel="0" collapsed="false">
      <c r="A110" s="442" t="s">
        <v>718</v>
      </c>
      <c r="B110" s="450" t="n">
        <f aca="false">SUM(C60:C70)-SUM(B60:B70)</f>
        <v>362.0544</v>
      </c>
      <c r="C110" s="450"/>
      <c r="D110" s="450"/>
      <c r="E110" s="450"/>
    </row>
    <row r="111" customFormat="false" ht="10.15" hidden="false" customHeight="false" outlineLevel="0" collapsed="false">
      <c r="A111" s="603" t="s">
        <v>720</v>
      </c>
      <c r="B111" s="768" t="n">
        <f aca="false">SUM(D60:D70)+SUM(E60:E70)</f>
        <v>0</v>
      </c>
      <c r="C111" s="450"/>
      <c r="D111" s="450"/>
      <c r="E111" s="450"/>
    </row>
    <row r="112" customFormat="false" ht="10.15" hidden="false" customHeight="false" outlineLevel="0" collapsed="false">
      <c r="A112" s="442" t="s">
        <v>722</v>
      </c>
      <c r="B112" s="450" t="n">
        <f aca="false">SUM(F60:F70)</f>
        <v>1943.349</v>
      </c>
      <c r="C112" s="450"/>
      <c r="D112" s="450"/>
      <c r="E112" s="450"/>
    </row>
    <row r="113" customFormat="false" ht="10.15" hidden="false" customHeight="false" outlineLevel="0" collapsed="false">
      <c r="A113" s="442" t="s">
        <v>724</v>
      </c>
      <c r="B113" s="450" t="n">
        <f aca="false">SUM(E60:E70)</f>
        <v>0</v>
      </c>
      <c r="C113" s="450"/>
      <c r="D113" s="450"/>
      <c r="E113" s="450"/>
    </row>
    <row r="114" customFormat="false" ht="10.9" hidden="false" customHeight="false" outlineLevel="0" collapsed="false">
      <c r="A114" s="442"/>
      <c r="B114" s="450"/>
      <c r="C114" s="450"/>
      <c r="D114" s="450"/>
      <c r="E114" s="450"/>
    </row>
    <row r="115" customFormat="false" ht="13.15" hidden="false" customHeight="false" outlineLevel="0" collapsed="false">
      <c r="A115" s="771" t="s">
        <v>731</v>
      </c>
      <c r="B115" s="729"/>
      <c r="C115" s="729"/>
      <c r="D115" s="729"/>
      <c r="E115" s="729"/>
      <c r="F115" s="730"/>
    </row>
    <row r="116" customFormat="false" ht="10.15" hidden="false" customHeight="false" outlineLevel="0" collapsed="false">
      <c r="A116" s="772"/>
      <c r="B116" s="773" t="s">
        <v>608</v>
      </c>
      <c r="C116" s="773" t="s">
        <v>408</v>
      </c>
      <c r="D116" s="773" t="s">
        <v>732</v>
      </c>
      <c r="E116" s="773" t="s">
        <v>593</v>
      </c>
      <c r="F116" s="774" t="s">
        <v>710</v>
      </c>
    </row>
    <row r="117" customFormat="false" ht="10.15" hidden="false" customHeight="false" outlineLevel="0" collapsed="false">
      <c r="A117" s="775" t="str">
        <f aca="false">'Plant loading'!B94</f>
        <v>PEFBL</v>
      </c>
      <c r="B117" s="776" t="n">
        <f aca="false">('Plant loading'!E94)*54.5/1000</f>
        <v>23.762</v>
      </c>
      <c r="C117" s="776" t="n">
        <f aca="false">('Plant loading'!N94)*54.5/1000</f>
        <v>0</v>
      </c>
      <c r="D117" s="777" t="n">
        <f aca="false">'Plant loading'!J94/2</f>
        <v>57.5</v>
      </c>
      <c r="E117" s="777" t="str">
        <f aca="false">'Plant loading'!C94</f>
        <v>NetSure</v>
      </c>
      <c r="F117" s="778" t="n">
        <f aca="false">D117-C117-B117</f>
        <v>33.738</v>
      </c>
    </row>
    <row r="118" customFormat="false" ht="10.15" hidden="false" customHeight="false" outlineLevel="0" collapsed="false">
      <c r="A118" s="775" t="str">
        <f aca="false">'Plant loading'!B95</f>
        <v>PEHBL</v>
      </c>
      <c r="B118" s="776" t="n">
        <f aca="false">('Plant loading'!E95)*54.5/1000</f>
        <v>17.4945</v>
      </c>
      <c r="C118" s="776" t="n">
        <f aca="false">('Plant loading'!N95)*54.5/1000</f>
        <v>0</v>
      </c>
      <c r="D118" s="777" t="n">
        <f aca="false">'Plant loading'!J95/2</f>
        <v>57.5</v>
      </c>
      <c r="E118" s="777" t="str">
        <f aca="false">'Plant loading'!C95</f>
        <v>NetSure</v>
      </c>
      <c r="F118" s="778" t="n">
        <f aca="false">D118-C118-B118</f>
        <v>40.0055</v>
      </c>
    </row>
    <row r="119" customFormat="false" ht="10.15" hidden="false" customHeight="false" outlineLevel="0" collapsed="false">
      <c r="A119" s="775" t="str">
        <f aca="false">'Plant loading'!B99</f>
        <v>PEACE</v>
      </c>
      <c r="B119" s="776" t="n">
        <f aca="false">('Plant loading'!E99)*54.5/1000</f>
        <v>20.5465</v>
      </c>
      <c r="C119" s="776" t="n">
        <f aca="false">('Plant loading'!N99)*54.5/1000</f>
        <v>0</v>
      </c>
      <c r="D119" s="777" t="n">
        <f aca="false">'Plant loading'!J99/2</f>
        <v>57.5</v>
      </c>
      <c r="E119" s="777" t="str">
        <f aca="false">'Plant loading'!C99</f>
        <v>NetSure</v>
      </c>
      <c r="F119" s="778" t="n">
        <f aca="false">D119-C119-B119</f>
        <v>36.9535</v>
      </c>
    </row>
    <row r="120" customFormat="false" ht="10.15" hidden="false" customHeight="false" outlineLevel="0" collapsed="false">
      <c r="A120" s="775" t="str">
        <f aca="false">'Plant loading'!B100</f>
        <v>PEBCE</v>
      </c>
      <c r="B120" s="776" t="n">
        <f aca="false">('Plant loading'!E100)*54.5/1000</f>
        <v>23.544</v>
      </c>
      <c r="C120" s="776" t="n">
        <f aca="false">('Plant loading'!N100)*54.5/1000</f>
        <v>0</v>
      </c>
      <c r="D120" s="777" t="n">
        <f aca="false">'Plant loading'!J100/2</f>
        <v>57.5</v>
      </c>
      <c r="E120" s="777" t="str">
        <f aca="false">'Plant loading'!C100</f>
        <v>NetSure</v>
      </c>
      <c r="F120" s="778" t="n">
        <f aca="false">D120-C120-B120</f>
        <v>33.956</v>
      </c>
    </row>
    <row r="121" customFormat="false" ht="10.15" hidden="false" customHeight="false" outlineLevel="0" collapsed="false">
      <c r="A121" s="775" t="s">
        <v>190</v>
      </c>
      <c r="B121" s="776" t="n">
        <f aca="false">('Plant loading'!E96)*54.5/1000</f>
        <v>19.2385</v>
      </c>
      <c r="C121" s="776" t="n">
        <f aca="false">('Plant loading'!N96)*54.5/1000</f>
        <v>0</v>
      </c>
      <c r="D121" s="777" t="n">
        <f aca="false">'Plant loading'!J96/2</f>
        <v>57.5</v>
      </c>
      <c r="E121" s="777" t="str">
        <f aca="false">'Plant loading'!C96</f>
        <v>NetSure</v>
      </c>
      <c r="F121" s="778" t="n">
        <f aca="false">D121-C121-B121</f>
        <v>38.2615</v>
      </c>
    </row>
    <row r="122" customFormat="false" ht="10.15" hidden="false" customHeight="false" outlineLevel="0" collapsed="false">
      <c r="A122" s="775" t="s">
        <v>192</v>
      </c>
      <c r="B122" s="776" t="n">
        <f aca="false">('Plant loading'!E97)*54.5/1000</f>
        <v>9.156</v>
      </c>
      <c r="C122" s="776" t="n">
        <f aca="false">('Plant loading'!N97)*54.5/1000</f>
        <v>0</v>
      </c>
      <c r="D122" s="777" t="n">
        <f aca="false">'Plant loading'!J97/2</f>
        <v>28.5</v>
      </c>
      <c r="E122" s="777" t="str">
        <f aca="false">'Plant loading'!C97</f>
        <v>NetSure</v>
      </c>
      <c r="F122" s="778" t="n">
        <f aca="false">D122-C122-B122</f>
        <v>19.344</v>
      </c>
    </row>
    <row r="123" customFormat="false" ht="10.15" hidden="false" customHeight="false" outlineLevel="0" collapsed="false">
      <c r="A123" s="775" t="s">
        <v>193</v>
      </c>
      <c r="B123" s="776" t="n">
        <f aca="false">('Plant loading'!E98)*54.5/1000</f>
        <v>11.118</v>
      </c>
      <c r="C123" s="776" t="n">
        <f aca="false">('Plant loading'!N98)*54.5/1000</f>
        <v>0</v>
      </c>
      <c r="D123" s="777" t="n">
        <f aca="false">'Plant loading'!J98/2</f>
        <v>28.5</v>
      </c>
      <c r="E123" s="777" t="str">
        <f aca="false">'Plant loading'!C98</f>
        <v>NetSure</v>
      </c>
      <c r="F123" s="778" t="n">
        <f aca="false">D123-C123-B123</f>
        <v>17.382</v>
      </c>
    </row>
    <row r="124" customFormat="false" ht="10.15" hidden="false" customHeight="false" outlineLevel="0" collapsed="false">
      <c r="A124" s="775" t="str">
        <f aca="false">'Plant loading'!B101</f>
        <v>PEFCN</v>
      </c>
      <c r="B124" s="776" t="n">
        <f aca="false">('Plant loading'!E101)*54.5/1000</f>
        <v>14.2245</v>
      </c>
      <c r="C124" s="776" t="n">
        <f aca="false">('Plant loading'!N101)*54.5/1000</f>
        <v>0</v>
      </c>
      <c r="D124" s="777" t="n">
        <f aca="false">'Plant loading'!J101/2</f>
        <v>57.5</v>
      </c>
      <c r="E124" s="777" t="str">
        <f aca="false">'Plant loading'!C101</f>
        <v>NetSure</v>
      </c>
      <c r="F124" s="778" t="n">
        <f aca="false">D124-C124-B124</f>
        <v>43.2755</v>
      </c>
    </row>
    <row r="125" customFormat="false" ht="10.15" hidden="false" customHeight="false" outlineLevel="0" collapsed="false">
      <c r="A125" s="775" t="str">
        <f aca="false">'Plant loading'!B102</f>
        <v>PEGCN</v>
      </c>
      <c r="B125" s="776" t="n">
        <f aca="false">('Plant loading'!E102)*54.5/1000</f>
        <v>18.9115</v>
      </c>
      <c r="C125" s="776" t="n">
        <f aca="false">('Plant loading'!N102)*54.5/1000</f>
        <v>0</v>
      </c>
      <c r="D125" s="777" t="n">
        <f aca="false">'Plant loading'!J102/2</f>
        <v>57.5</v>
      </c>
      <c r="E125" s="777" t="str">
        <f aca="false">'Plant loading'!C102</f>
        <v>NetSure</v>
      </c>
      <c r="F125" s="778" t="n">
        <f aca="false">D125-C125-B125</f>
        <v>38.5885</v>
      </c>
    </row>
    <row r="126" customFormat="false" ht="10.15" hidden="false" customHeight="false" outlineLevel="0" collapsed="false">
      <c r="A126" s="775" t="s">
        <v>202</v>
      </c>
      <c r="B126" s="776" t="n">
        <f aca="false">('Plant loading'!E103)*54.5/1000</f>
        <v>5.014</v>
      </c>
      <c r="C126" s="776" t="n">
        <f aca="false">('Plant loading'!N103)*54.5/1000</f>
        <v>0</v>
      </c>
      <c r="D126" s="777" t="n">
        <f aca="false">'Plant loading'!J103/2</f>
        <v>15.5</v>
      </c>
      <c r="E126" s="777" t="str">
        <f aca="false">'Plant loading'!C103</f>
        <v>eSure</v>
      </c>
      <c r="F126" s="778" t="n">
        <f aca="false">D126-C126-B126</f>
        <v>10.486</v>
      </c>
    </row>
    <row r="127" customFormat="false" ht="10.15" hidden="false" customHeight="false" outlineLevel="0" collapsed="false">
      <c r="A127" s="775" t="s">
        <v>203</v>
      </c>
      <c r="B127" s="776" t="n">
        <f aca="false">('Plant loading'!E104)*54.5/1000</f>
        <v>4.7415</v>
      </c>
      <c r="C127" s="776" t="n">
        <f aca="false">('Plant loading'!N104)*54.5/1000</f>
        <v>0</v>
      </c>
      <c r="D127" s="777" t="n">
        <f aca="false">'Plant loading'!J104/2</f>
        <v>15.5</v>
      </c>
      <c r="E127" s="777" t="str">
        <f aca="false">'Plant loading'!C104</f>
        <v>eSure</v>
      </c>
      <c r="F127" s="778" t="n">
        <f aca="false">D127-C127-B127</f>
        <v>10.7585</v>
      </c>
    </row>
    <row r="128" customFormat="false" ht="10.15" hidden="false" customHeight="false" outlineLevel="0" collapsed="false">
      <c r="A128" s="775" t="e">
        <f aca="false">'plant loading'!#ref!</f>
        <v>#VALUE!</v>
      </c>
      <c r="B128" s="776" t="e">
        <f aca="false">('plant loading'!#ref!)*54.5/1000</f>
        <v>#VALUE!</v>
      </c>
      <c r="C128" s="776" t="e">
        <f aca="false">('plant loading'!#ref!)*54.5/1000</f>
        <v>#VALUE!</v>
      </c>
      <c r="D128" s="777" t="e">
        <f aca="false">'plant loading'!#ref!/2</f>
        <v>#VALUE!</v>
      </c>
      <c r="E128" s="777" t="e">
        <f aca="false">'plant loading'!#ref!</f>
        <v>#VALUE!</v>
      </c>
      <c r="F128" s="778" t="e">
        <f aca="false">D128-C128-B128</f>
        <v>#VALUE!</v>
      </c>
    </row>
    <row r="129" customFormat="false" ht="10.15" hidden="false" customHeight="false" outlineLevel="0" collapsed="false">
      <c r="A129" s="775" t="e">
        <f aca="false">'plant loading'!#ref!</f>
        <v>#VALUE!</v>
      </c>
      <c r="B129" s="776" t="e">
        <f aca="false">('plant loading'!#ref!)*54.5/1000</f>
        <v>#VALUE!</v>
      </c>
      <c r="C129" s="776" t="e">
        <f aca="false">('plant loading'!#ref!)*54.5/1000</f>
        <v>#VALUE!</v>
      </c>
      <c r="D129" s="777" t="e">
        <f aca="false">'plant loading'!#ref!/2</f>
        <v>#VALUE!</v>
      </c>
      <c r="E129" s="777" t="e">
        <f aca="false">'plant loading'!#ref!</f>
        <v>#VALUE!</v>
      </c>
      <c r="F129" s="778" t="e">
        <f aca="false">D129-C129-B129</f>
        <v>#VALUE!</v>
      </c>
    </row>
    <row r="130" customFormat="false" ht="10.15" hidden="false" customHeight="false" outlineLevel="0" collapsed="false">
      <c r="A130" s="775" t="e">
        <f aca="false">'plant loading'!#ref!</f>
        <v>#VALUE!</v>
      </c>
      <c r="B130" s="776" t="e">
        <f aca="false">('plant loading'!#ref!)*54.5/1000</f>
        <v>#VALUE!</v>
      </c>
      <c r="C130" s="776" t="e">
        <f aca="false">('plant loading'!#ref!)*54.5/1000</f>
        <v>#VALUE!</v>
      </c>
      <c r="D130" s="777" t="e">
        <f aca="false">'plant loading'!#ref!/2</f>
        <v>#VALUE!</v>
      </c>
      <c r="E130" s="777" t="e">
        <f aca="false">'plant loading'!#ref!</f>
        <v>#VALUE!</v>
      </c>
      <c r="F130" s="778" t="e">
        <f aca="false">D130-C130-B130</f>
        <v>#VALUE!</v>
      </c>
    </row>
    <row r="131" customFormat="false" ht="10.15" hidden="false" customHeight="false" outlineLevel="0" collapsed="false">
      <c r="A131" s="775" t="e">
        <f aca="false">'plant loading'!#ref!</f>
        <v>#VALUE!</v>
      </c>
      <c r="B131" s="776" t="e">
        <f aca="false">('plant loading'!#ref!)*54.5/1000</f>
        <v>#VALUE!</v>
      </c>
      <c r="C131" s="776" t="e">
        <f aca="false">('plant loading'!#ref!)*54.5/1000</f>
        <v>#VALUE!</v>
      </c>
      <c r="D131" s="777" t="e">
        <f aca="false">'plant loading'!#ref!/2</f>
        <v>#VALUE!</v>
      </c>
      <c r="E131" s="777" t="e">
        <f aca="false">'plant loading'!#ref!</f>
        <v>#VALUE!</v>
      </c>
      <c r="F131" s="778" t="e">
        <f aca="false">D131-C131-B131</f>
        <v>#VALUE!</v>
      </c>
    </row>
    <row r="132" customFormat="false" ht="10.15" hidden="false" customHeight="false" outlineLevel="0" collapsed="false">
      <c r="A132" s="775" t="str">
        <f aca="false">'Plant loading'!B105</f>
        <v>PEFLR</v>
      </c>
      <c r="B132" s="776" t="n">
        <f aca="false">('Plant loading'!E105)*54.5/1000</f>
        <v>29.757</v>
      </c>
      <c r="C132" s="776" t="n">
        <f aca="false">('Plant loading'!N105)*54.5/1000</f>
        <v>0</v>
      </c>
      <c r="D132" s="777" t="n">
        <f aca="false">'Plant loading'!J105/2</f>
        <v>57.5</v>
      </c>
      <c r="E132" s="777" t="str">
        <f aca="false">'Plant loading'!C105</f>
        <v>NetSure</v>
      </c>
      <c r="F132" s="778" t="n">
        <f aca="false">D132-C132-B132</f>
        <v>27.743</v>
      </c>
    </row>
    <row r="133" customFormat="false" ht="10.15" hidden="false" customHeight="false" outlineLevel="0" collapsed="false">
      <c r="A133" s="775" t="str">
        <f aca="false">'Plant loading'!B106</f>
        <v>PEGLR</v>
      </c>
      <c r="B133" s="776" t="n">
        <f aca="false">('Plant loading'!E106)*54.5/1000</f>
        <v>24.7975</v>
      </c>
      <c r="C133" s="776" t="n">
        <f aca="false">('Plant loading'!N106)*54.5/1000</f>
        <v>0</v>
      </c>
      <c r="D133" s="777" t="n">
        <f aca="false">'Plant loading'!J106/2</f>
        <v>57.5</v>
      </c>
      <c r="E133" s="777" t="str">
        <f aca="false">'Plant loading'!C106</f>
        <v>NetSure</v>
      </c>
      <c r="F133" s="778" t="n">
        <f aca="false">D133-C133-B133</f>
        <v>32.7025</v>
      </c>
    </row>
    <row r="134" customFormat="false" ht="10.15" hidden="false" customHeight="false" outlineLevel="0" collapsed="false">
      <c r="A134" s="775" t="str">
        <f aca="false">'Plant loading'!B107</f>
        <v>PEGNY</v>
      </c>
      <c r="B134" s="776" t="n">
        <f aca="false">('Plant loading'!E107)*54.5/1000</f>
        <v>15.042</v>
      </c>
      <c r="C134" s="776" t="n">
        <f aca="false">('Plant loading'!N107)*54.5/1000</f>
        <v>0</v>
      </c>
      <c r="D134" s="777" t="n">
        <f aca="false">'Plant loading'!J107/2</f>
        <v>57.5</v>
      </c>
      <c r="E134" s="777" t="str">
        <f aca="false">'Plant loading'!C107</f>
        <v>NetSure</v>
      </c>
      <c r="F134" s="778" t="n">
        <f aca="false">D134-C134-B134</f>
        <v>42.458</v>
      </c>
    </row>
    <row r="135" customFormat="false" ht="10.15" hidden="false" customHeight="false" outlineLevel="0" collapsed="false">
      <c r="A135" s="775" t="str">
        <f aca="false">'Plant loading'!B108</f>
        <v>PEHNY</v>
      </c>
      <c r="B135" s="776" t="n">
        <f aca="false">('Plant loading'!E108)*54.5/1000</f>
        <v>14.17</v>
      </c>
      <c r="C135" s="776" t="n">
        <f aca="false">('Plant loading'!N108)*54.5/1000</f>
        <v>0</v>
      </c>
      <c r="D135" s="777" t="n">
        <f aca="false">'Plant loading'!J108/2</f>
        <v>57.5</v>
      </c>
      <c r="E135" s="777" t="str">
        <f aca="false">'Plant loading'!C108</f>
        <v>NetSure</v>
      </c>
      <c r="F135" s="778" t="n">
        <f aca="false">D135-C135-B135</f>
        <v>43.33</v>
      </c>
    </row>
    <row r="136" customFormat="false" ht="10.15" hidden="false" customHeight="false" outlineLevel="0" collapsed="false">
      <c r="A136" s="775" t="e">
        <f aca="false">'plant loading'!#ref!</f>
        <v>#VALUE!</v>
      </c>
      <c r="B136" s="776" t="e">
        <f aca="false">('plant loading'!#ref!)*54.5/1000</f>
        <v>#VALUE!</v>
      </c>
      <c r="C136" s="776" t="e">
        <f aca="false">('plant loading'!#ref!)*54.5/1000</f>
        <v>#VALUE!</v>
      </c>
      <c r="D136" s="777" t="e">
        <f aca="false">'plant loading'!#ref!/2</f>
        <v>#VALUE!</v>
      </c>
      <c r="E136" s="777" t="e">
        <f aca="false">'plant loading'!#ref!</f>
        <v>#VALUE!</v>
      </c>
      <c r="F136" s="778" t="e">
        <f aca="false">D136-C136-B136</f>
        <v>#VALUE!</v>
      </c>
    </row>
    <row r="137" customFormat="false" ht="10.15" hidden="false" customHeight="false" outlineLevel="0" collapsed="false">
      <c r="A137" s="775" t="e">
        <f aca="false">'plant loading'!#ref!</f>
        <v>#VALUE!</v>
      </c>
      <c r="B137" s="776" t="e">
        <f aca="false">('plant loading'!#ref!)*54.5/1000</f>
        <v>#VALUE!</v>
      </c>
      <c r="C137" s="776" t="e">
        <f aca="false">('plant loading'!#ref!)*54.5/1000</f>
        <v>#VALUE!</v>
      </c>
      <c r="D137" s="777" t="e">
        <f aca="false">'plant loading'!#ref!/2</f>
        <v>#VALUE!</v>
      </c>
      <c r="E137" s="777" t="e">
        <f aca="false">'plant loading'!#ref!</f>
        <v>#VALUE!</v>
      </c>
      <c r="F137" s="778" t="e">
        <f aca="false">D137-C137-B137</f>
        <v>#VALUE!</v>
      </c>
    </row>
    <row r="138" customFormat="false" ht="10.15" hidden="false" customHeight="false" outlineLevel="0" collapsed="false">
      <c r="A138" s="775" t="str">
        <f aca="false">'Plant loading'!B109</f>
        <v>PEENE</v>
      </c>
      <c r="B138" s="776" t="n">
        <f aca="false">('Plant loading'!E109)*54.5/1000</f>
        <v>13.298</v>
      </c>
      <c r="C138" s="776" t="n">
        <f aca="false">('Plant loading'!N109)*54.5/1000</f>
        <v>0</v>
      </c>
      <c r="D138" s="777" t="n">
        <f aca="false">'Plant loading'!J109/2</f>
        <v>57.5</v>
      </c>
      <c r="E138" s="777" t="str">
        <f aca="false">'Plant loading'!C109</f>
        <v>NetSure</v>
      </c>
      <c r="F138" s="778" t="n">
        <f aca="false">D138-C138-B138</f>
        <v>44.202</v>
      </c>
    </row>
    <row r="139" customFormat="false" ht="10.15" hidden="false" customHeight="false" outlineLevel="0" collapsed="false">
      <c r="A139" s="775" t="str">
        <f aca="false">'Plant loading'!B110</f>
        <v>PEFNE</v>
      </c>
      <c r="B139" s="776" t="n">
        <f aca="false">('Plant loading'!E110)*54.5/1000</f>
        <v>18.5845</v>
      </c>
      <c r="C139" s="776" t="n">
        <f aca="false">('Plant loading'!N110)*54.5/1000</f>
        <v>0</v>
      </c>
      <c r="D139" s="777" t="n">
        <f aca="false">'Plant loading'!J110/2</f>
        <v>57.5</v>
      </c>
      <c r="E139" s="777" t="str">
        <f aca="false">'Plant loading'!C110</f>
        <v>NetSure</v>
      </c>
      <c r="F139" s="778" t="n">
        <f aca="false">D139-C139-B139</f>
        <v>38.9155</v>
      </c>
    </row>
    <row r="140" customFormat="false" ht="10.15" hidden="false" customHeight="false" outlineLevel="0" collapsed="false">
      <c r="A140" s="775" t="str">
        <f aca="false">'Plant loading'!B111</f>
        <v>PEGNE</v>
      </c>
      <c r="B140" s="776" t="n">
        <f aca="false">('Plant loading'!E111)*54.5/1000</f>
        <v>6.8125</v>
      </c>
      <c r="C140" s="776" t="n">
        <f aca="false">('Plant loading'!N111)*54.5/1000</f>
        <v>0</v>
      </c>
      <c r="D140" s="777" t="n">
        <f aca="false">'Plant loading'!J111/2</f>
        <v>28.5</v>
      </c>
      <c r="E140" s="777" t="str">
        <f aca="false">'Plant loading'!C111</f>
        <v>NetSure</v>
      </c>
      <c r="F140" s="778" t="n">
        <f aca="false">D140-C140-B140</f>
        <v>21.6875</v>
      </c>
    </row>
    <row r="141" customFormat="false" ht="10.15" hidden="false" customHeight="false" outlineLevel="0" collapsed="false">
      <c r="A141" s="775" t="s">
        <v>215</v>
      </c>
      <c r="B141" s="776" t="n">
        <f aca="false">('Plant loading'!E112)*54.5/1000</f>
        <v>10.1915</v>
      </c>
      <c r="C141" s="776" t="n">
        <f aca="false">('Plant loading'!N112)*54.5/1000</f>
        <v>0</v>
      </c>
      <c r="D141" s="777" t="n">
        <f aca="false">'Plant loading'!J112/2</f>
        <v>57.5</v>
      </c>
      <c r="E141" s="777" t="str">
        <f aca="false">'Plant loading'!C112</f>
        <v>NetSure</v>
      </c>
      <c r="F141" s="778" t="n">
        <f aca="false">D141-C141-B141</f>
        <v>47.3085</v>
      </c>
    </row>
    <row r="142" customFormat="false" ht="10.15" hidden="false" customHeight="false" outlineLevel="0" collapsed="false">
      <c r="A142" s="775" t="s">
        <v>216</v>
      </c>
      <c r="B142" s="776" t="n">
        <f aca="false">('Plant loading'!E113)*54.5/1000</f>
        <v>5.9405</v>
      </c>
      <c r="C142" s="776" t="n">
        <f aca="false">('Plant loading'!N113)*54.5/1000</f>
        <v>0</v>
      </c>
      <c r="D142" s="777" t="n">
        <f aca="false">'Plant loading'!J113/2</f>
        <v>48</v>
      </c>
      <c r="E142" s="777" t="str">
        <f aca="false">'Plant loading'!C113</f>
        <v>NetSure</v>
      </c>
      <c r="F142" s="778" t="n">
        <f aca="false">D142-C142-B142</f>
        <v>42.0595</v>
      </c>
    </row>
    <row r="143" customFormat="false" ht="10.15" hidden="false" customHeight="false" outlineLevel="0" collapsed="false">
      <c r="A143" s="775" t="str">
        <f aca="false">'Plant loading'!B114</f>
        <v>PEESD</v>
      </c>
      <c r="B143" s="776" t="n">
        <f aca="false">('Plant loading'!E114)*54.5/1000</f>
        <v>20.8735</v>
      </c>
      <c r="C143" s="776" t="n">
        <f aca="false">('Plant loading'!N114)*54.5/1000</f>
        <v>0</v>
      </c>
      <c r="D143" s="777" t="n">
        <f aca="false">'Plant loading'!J114/2</f>
        <v>57.5</v>
      </c>
      <c r="E143" s="777" t="str">
        <f aca="false">'Plant loading'!C114</f>
        <v>NetSure</v>
      </c>
      <c r="F143" s="778" t="n">
        <f aca="false">D143-C143-B143</f>
        <v>36.6265</v>
      </c>
    </row>
    <row r="144" customFormat="false" ht="10.15" hidden="false" customHeight="false" outlineLevel="0" collapsed="false">
      <c r="A144" s="775" t="s">
        <v>219</v>
      </c>
      <c r="B144" s="776" t="n">
        <f aca="false">('Plant loading'!E115)*54.5/1000</f>
        <v>23.0535</v>
      </c>
      <c r="C144" s="776" t="n">
        <f aca="false">('Plant loading'!N115)*54.5/1000</f>
        <v>0</v>
      </c>
      <c r="D144" s="777" t="n">
        <f aca="false">'Plant loading'!J115/2</f>
        <v>57.5</v>
      </c>
      <c r="E144" s="777" t="str">
        <f aca="false">'Plant loading'!C115</f>
        <v>NetSure</v>
      </c>
      <c r="F144" s="778" t="n">
        <f aca="false">D144-C144-B144</f>
        <v>34.4465</v>
      </c>
    </row>
    <row r="145" customFormat="false" ht="10.15" hidden="false" customHeight="false" outlineLevel="0" collapsed="false">
      <c r="A145" s="775" t="str">
        <f aca="false">'Plant loading'!B116</f>
        <v>PELWN</v>
      </c>
      <c r="B145" s="776" t="n">
        <f aca="false">('Plant loading'!E116)*54.5/1000</f>
        <v>11.2815</v>
      </c>
      <c r="C145" s="776" t="n">
        <f aca="false">('Plant loading'!N116)*54.5/1000</f>
        <v>0</v>
      </c>
      <c r="D145" s="777" t="n">
        <f aca="false">'Plant loading'!J116/2</f>
        <v>28.5</v>
      </c>
      <c r="E145" s="777" t="str">
        <f aca="false">'Plant loading'!C116</f>
        <v>NetSure</v>
      </c>
      <c r="F145" s="778" t="n">
        <f aca="false">D145-C145-B145</f>
        <v>17.2185</v>
      </c>
    </row>
    <row r="146" customFormat="false" ht="10.15" hidden="false" customHeight="false" outlineLevel="0" collapsed="false">
      <c r="A146" s="775" t="str">
        <f aca="false">'Plant loading'!B117</f>
        <v>PEMWN</v>
      </c>
      <c r="B146" s="776" t="n">
        <f aca="false">('Plant loading'!E117)*54.5/1000</f>
        <v>10.3005</v>
      </c>
      <c r="C146" s="776" t="n">
        <f aca="false">('Plant loading'!N117)*54.5/1000</f>
        <v>0</v>
      </c>
      <c r="D146" s="777" t="n">
        <f aca="false">'Plant loading'!J117/2</f>
        <v>28.5</v>
      </c>
      <c r="E146" s="777" t="str">
        <f aca="false">'Plant loading'!C117</f>
        <v>NetSure</v>
      </c>
      <c r="F146" s="778" t="n">
        <f aca="false">D146-C146-B146</f>
        <v>18.1995</v>
      </c>
    </row>
    <row r="147" customFormat="false" ht="10.15" hidden="false" customHeight="false" outlineLevel="0" collapsed="false">
      <c r="A147" s="775" t="s">
        <v>223</v>
      </c>
      <c r="B147" s="776" t="n">
        <f aca="false">('Plant loading'!E118)*54.5/1000</f>
        <v>23.544</v>
      </c>
      <c r="C147" s="776" t="n">
        <f aca="false">('Plant loading'!N118)*54.5/1000</f>
        <v>0</v>
      </c>
      <c r="D147" s="777" t="n">
        <f aca="false">'Plant loading'!J118/2</f>
        <v>28.5</v>
      </c>
      <c r="E147" s="777" t="str">
        <f aca="false">'Plant loading'!C118</f>
        <v>NetSure</v>
      </c>
      <c r="F147" s="778" t="n">
        <f aca="false">D147-C147-B147</f>
        <v>4.956</v>
      </c>
    </row>
    <row r="148" customFormat="false" ht="10.9" hidden="false" customHeight="false" outlineLevel="0" collapsed="false">
      <c r="A148" s="779" t="s">
        <v>733</v>
      </c>
      <c r="B148" s="780" t="e">
        <f aca="false">('plant loading'!#ref!)*54.5/1000</f>
        <v>#VALUE!</v>
      </c>
      <c r="C148" s="780" t="e">
        <f aca="false">('plant loading'!#ref!)*54.5/1000</f>
        <v>#VALUE!</v>
      </c>
      <c r="D148" s="781" t="e">
        <f aca="false">'plant loading'!#ref!/2</f>
        <v>#VALUE!</v>
      </c>
      <c r="E148" s="781" t="e">
        <f aca="false">'plant loading'!#ref!</f>
        <v>#VALUE!</v>
      </c>
      <c r="F148" s="782" t="e">
        <f aca="false">D148-C148-B148</f>
        <v>#VALUE!</v>
      </c>
    </row>
    <row r="150" customFormat="false" ht="13.15" hidden="false" customHeight="false" outlineLevel="0" collapsed="false">
      <c r="A150" s="757" t="s">
        <v>734</v>
      </c>
      <c r="B150" s="595" t="s">
        <v>735</v>
      </c>
      <c r="C150" s="595" t="n">
        <f aca="false">COUNTIF('Plant loading'!Y:Y,"=100")</f>
        <v>0</v>
      </c>
    </row>
    <row r="151" customFormat="false" ht="10.15" hidden="false" customHeight="false" outlineLevel="0" collapsed="false">
      <c r="B151" s="595" t="s">
        <v>736</v>
      </c>
      <c r="C151" s="595" t="n">
        <f aca="false">COUNTIF('Plant loading'!Y:Y,"=3")</f>
        <v>0</v>
      </c>
    </row>
    <row r="152" customFormat="false" ht="10.15" hidden="false" customHeight="false" outlineLevel="0" collapsed="false">
      <c r="B152" s="595" t="s">
        <v>737</v>
      </c>
      <c r="C152" s="595" t="n">
        <f aca="false">COUNTIF('Plant loading'!Y:Y,"=0.1")</f>
        <v>0</v>
      </c>
    </row>
    <row r="153" customFormat="false" ht="10.9" hidden="false" customHeight="false" outlineLevel="0" collapsed="false"/>
    <row r="154" customFormat="false" ht="13.15" hidden="false" customHeight="false" outlineLevel="0" collapsed="false">
      <c r="A154" s="783" t="s">
        <v>738</v>
      </c>
      <c r="B154" s="784"/>
      <c r="C154" s="784"/>
      <c r="D154" s="784"/>
      <c r="E154" s="784"/>
      <c r="F154" s="785"/>
      <c r="G154" s="786"/>
    </row>
    <row r="155" customFormat="false" ht="10.15" hidden="false" customHeight="false" outlineLevel="0" collapsed="false">
      <c r="A155" s="787"/>
      <c r="B155" s="788" t="s">
        <v>608</v>
      </c>
      <c r="C155" s="788" t="s">
        <v>407</v>
      </c>
      <c r="D155" s="788" t="s">
        <v>408</v>
      </c>
      <c r="E155" s="788" t="s">
        <v>732</v>
      </c>
      <c r="F155" s="788" t="s">
        <v>593</v>
      </c>
      <c r="G155" s="789" t="s">
        <v>710</v>
      </c>
    </row>
    <row r="156" customFormat="false" ht="10.15" hidden="false" customHeight="false" outlineLevel="0" collapsed="false">
      <c r="A156" s="790" t="str">
        <f aca="false">'Plant loading'!B9</f>
        <v>PEABE</v>
      </c>
      <c r="B156" s="791" t="n">
        <f aca="false">('Plant loading'!E9)*54.5/1000</f>
        <v>41.3655</v>
      </c>
      <c r="C156" s="791" t="n">
        <f aca="false">('Plant loading'!AC9)*54.5/1000</f>
        <v>4.033</v>
      </c>
      <c r="D156" s="791" t="n">
        <f aca="false">('Plant loading'!N9)*54.5/1000-C156</f>
        <v>0</v>
      </c>
      <c r="E156" s="792" t="n">
        <f aca="false">'Plant loading'!J9/2</f>
        <v>63</v>
      </c>
      <c r="F156" s="792" t="str">
        <f aca="false">'Plant loading'!C9</f>
        <v>eSure</v>
      </c>
      <c r="G156" s="793" t="n">
        <f aca="false">E156-D156-B156-C156</f>
        <v>17.6015</v>
      </c>
    </row>
    <row r="157" customFormat="false" ht="10.15" hidden="false" customHeight="false" outlineLevel="0" collapsed="false">
      <c r="A157" s="790" t="str">
        <f aca="false">'Plant loading'!B10</f>
        <v>PEBBE</v>
      </c>
      <c r="B157" s="791" t="n">
        <f aca="false">('Plant loading'!E10)*54.5/1000</f>
        <v>49.159</v>
      </c>
      <c r="C157" s="791" t="n">
        <f aca="false">('Plant loading'!AC10)*54.5/1000</f>
        <v>3.488</v>
      </c>
      <c r="D157" s="791" t="n">
        <f aca="false">('Plant loading'!N10)*54.5/1000-C157</f>
        <v>0</v>
      </c>
      <c r="E157" s="792" t="n">
        <f aca="false">'Plant loading'!J10/2</f>
        <v>63</v>
      </c>
      <c r="F157" s="792" t="str">
        <f aca="false">'Plant loading'!C10</f>
        <v>eSure</v>
      </c>
      <c r="G157" s="793" t="n">
        <f aca="false">E157-D157-B157-C157</f>
        <v>10.353</v>
      </c>
    </row>
    <row r="158" customFormat="false" ht="10.15" hidden="false" customHeight="false" outlineLevel="0" collapsed="false">
      <c r="A158" s="790" t="str">
        <f aca="false">'Plant loading'!B11</f>
        <v>PECBE</v>
      </c>
      <c r="B158" s="791" t="n">
        <f aca="false">('Plant loading'!E11)*54.5/1000</f>
        <v>46.2705</v>
      </c>
      <c r="C158" s="791" t="n">
        <f aca="false">('Plant loading'!AC11)*54.5/1000</f>
        <v>1.635</v>
      </c>
      <c r="D158" s="791" t="n">
        <f aca="false">('Plant loading'!N11)*54.5/1000-C158</f>
        <v>0</v>
      </c>
      <c r="E158" s="792" t="n">
        <f aca="false">'Plant loading'!J11/2</f>
        <v>63</v>
      </c>
      <c r="F158" s="792" t="str">
        <f aca="false">'Plant loading'!C11</f>
        <v>eSure</v>
      </c>
      <c r="G158" s="793" t="n">
        <f aca="false">E158-D158-B158-C158</f>
        <v>15.0945</v>
      </c>
    </row>
    <row r="159" customFormat="false" ht="10.15" hidden="false" customHeight="false" outlineLevel="0" collapsed="false">
      <c r="A159" s="790" t="str">
        <f aca="false">'Plant loading'!B12</f>
        <v>PEEBE</v>
      </c>
      <c r="B159" s="791" t="n">
        <f aca="false">('Plant loading'!E12)*54.5/1000</f>
        <v>48.7775</v>
      </c>
      <c r="C159" s="791" t="n">
        <f aca="false">('Plant loading'!AC12)*54.5/1000</f>
        <v>3.052</v>
      </c>
      <c r="D159" s="791" t="n">
        <f aca="false">('Plant loading'!N12)*54.5/1000-C159</f>
        <v>0</v>
      </c>
      <c r="E159" s="792" t="n">
        <f aca="false">'Plant loading'!J12/2</f>
        <v>63</v>
      </c>
      <c r="F159" s="792" t="str">
        <f aca="false">'Plant loading'!C12</f>
        <v>eSure</v>
      </c>
      <c r="G159" s="793" t="n">
        <f aca="false">E159-D159-B159-C159</f>
        <v>11.1705</v>
      </c>
    </row>
    <row r="160" customFormat="false" ht="10.15" hidden="false" customHeight="false" outlineLevel="0" collapsed="false">
      <c r="A160" s="790" t="str">
        <f aca="false">'Plant loading'!B13</f>
        <v>PEFBE</v>
      </c>
      <c r="B160" s="791" t="n">
        <f aca="false">('Plant loading'!E13)*54.5/1000</f>
        <v>46.652</v>
      </c>
      <c r="C160" s="791" t="n">
        <f aca="false">('Plant loading'!AC13)*54.5/1000</f>
        <v>3.4335</v>
      </c>
      <c r="D160" s="791" t="n">
        <f aca="false">('Plant loading'!N13)*54.5/1000-C160</f>
        <v>0</v>
      </c>
      <c r="E160" s="792" t="n">
        <f aca="false">'Plant loading'!J13/2</f>
        <v>63</v>
      </c>
      <c r="F160" s="792" t="str">
        <f aca="false">'Plant loading'!C13</f>
        <v>eSure</v>
      </c>
      <c r="G160" s="793" t="n">
        <f aca="false">E160-D160-B160-C160</f>
        <v>12.9145</v>
      </c>
    </row>
    <row r="161" customFormat="false" ht="10.15" hidden="false" customHeight="false" outlineLevel="0" collapsed="false">
      <c r="A161" s="790" t="s">
        <v>66</v>
      </c>
      <c r="B161" s="791" t="n">
        <f aca="false">('Plant loading'!E14)*54.5/1000</f>
        <v>50.9575</v>
      </c>
      <c r="C161" s="791" t="n">
        <f aca="false">('Plant loading'!AC14)*54.5/1000</f>
        <v>5.2865</v>
      </c>
      <c r="D161" s="791" t="n">
        <f aca="false">('Plant loading'!N14)*54.5/1000-C161</f>
        <v>0</v>
      </c>
      <c r="E161" s="792" t="n">
        <f aca="false">'Plant loading'!J14/2</f>
        <v>63</v>
      </c>
      <c r="F161" s="792" t="str">
        <f aca="false">'Plant loading'!C14</f>
        <v>eSure</v>
      </c>
      <c r="G161" s="793" t="n">
        <f aca="false">E161-D161-B161-C161</f>
        <v>6.756</v>
      </c>
    </row>
    <row r="162" customFormat="false" ht="10.15" hidden="false" customHeight="false" outlineLevel="0" collapsed="false">
      <c r="A162" s="790" t="str">
        <f aca="false">'Plant loading'!B15</f>
        <v>PEHBE</v>
      </c>
      <c r="B162" s="791" t="n">
        <f aca="false">('Plant loading'!E15)*54.5/1000</f>
        <v>48.287</v>
      </c>
      <c r="C162" s="791" t="n">
        <f aca="false">('Plant loading'!AC15)*54.5/1000</f>
        <v>5.5045</v>
      </c>
      <c r="D162" s="791" t="n">
        <f aca="false">('Plant loading'!N15)*54.5/1000-C162</f>
        <v>0</v>
      </c>
      <c r="E162" s="792" t="n">
        <f aca="false">'Plant loading'!J15/2</f>
        <v>63</v>
      </c>
      <c r="F162" s="792" t="str">
        <f aca="false">'Plant loading'!C15</f>
        <v>eSure</v>
      </c>
      <c r="G162" s="793" t="n">
        <f aca="false">E162-D162-B162-C162</f>
        <v>9.2085</v>
      </c>
    </row>
    <row r="163" customFormat="false" ht="10.15" hidden="false" customHeight="false" outlineLevel="0" collapsed="false">
      <c r="A163" s="790" t="str">
        <f aca="false">'Plant loading'!B16</f>
        <v>PEIBE</v>
      </c>
      <c r="B163" s="791" t="n">
        <f aca="false">('Plant loading'!E16)*54.5/1000</f>
        <v>50.903</v>
      </c>
      <c r="C163" s="791" t="n">
        <f aca="false">('Plant loading'!AC16)*54.5/1000</f>
        <v>3.8695</v>
      </c>
      <c r="D163" s="791" t="n">
        <f aca="false">('Plant loading'!N16)*54.5/1000-C163</f>
        <v>0</v>
      </c>
      <c r="E163" s="792" t="n">
        <f aca="false">'Plant loading'!J16/2</f>
        <v>63</v>
      </c>
      <c r="F163" s="792" t="str">
        <f aca="false">'Plant loading'!C16</f>
        <v>eSure</v>
      </c>
      <c r="G163" s="793" t="n">
        <f aca="false">E163-D163-B163-C163</f>
        <v>8.2275</v>
      </c>
    </row>
    <row r="164" customFormat="false" ht="10.15" hidden="false" customHeight="false" outlineLevel="0" collapsed="false">
      <c r="A164" s="790" t="str">
        <f aca="false">'Plant loading'!B39</f>
        <v>BMGMTX-DCSYS01</v>
      </c>
      <c r="B164" s="791" t="n">
        <f aca="false">('Plant loading'!E39)*54.5/1000</f>
        <v>36.1335</v>
      </c>
      <c r="C164" s="791" t="n">
        <f aca="false">('Plant loading'!AC39)*54.5/1000</f>
        <v>1.09</v>
      </c>
      <c r="D164" s="791" t="n">
        <f aca="false">('Plant loading'!N39)*54.5/1000-C164</f>
        <v>0</v>
      </c>
      <c r="E164" s="792" t="n">
        <f aca="false">'Plant loading'!J39/2</f>
        <v>66</v>
      </c>
      <c r="F164" s="792" t="str">
        <f aca="false">'Plant loading'!C39</f>
        <v>HDR48-ES</v>
      </c>
      <c r="G164" s="793" t="n">
        <f aca="false">E164-D164-B164-C164</f>
        <v>28.7765</v>
      </c>
    </row>
    <row r="165" customFormat="false" ht="10.15" hidden="false" customHeight="false" outlineLevel="0" collapsed="false">
      <c r="A165" s="790" t="str">
        <f aca="false">'Plant loading'!B40</f>
        <v>BMGMTX-DCSYS02</v>
      </c>
      <c r="B165" s="791" t="n">
        <f aca="false">('Plant loading'!E40)*54.5/1000</f>
        <v>38.368</v>
      </c>
      <c r="C165" s="791" t="n">
        <f aca="false">('Plant loading'!AC40)*54.5/1000</f>
        <v>3.052</v>
      </c>
      <c r="D165" s="791" t="n">
        <f aca="false">('Plant loading'!N40)*54.5/1000-C165</f>
        <v>0</v>
      </c>
      <c r="E165" s="792" t="n">
        <f aca="false">'Plant loading'!J40/2</f>
        <v>66</v>
      </c>
      <c r="F165" s="792" t="str">
        <f aca="false">'Plant loading'!C40</f>
        <v>HDR48-ES</v>
      </c>
      <c r="G165" s="793" t="n">
        <f aca="false">E165-D165-B165-C165</f>
        <v>24.58</v>
      </c>
    </row>
    <row r="166" customFormat="false" ht="10.15" hidden="false" customHeight="false" outlineLevel="0" collapsed="false">
      <c r="A166" s="790" t="str">
        <f aca="false">'Plant loading'!B41</f>
        <v>BMGMTX-DCSYS03</v>
      </c>
      <c r="B166" s="791" t="n">
        <f aca="false">('Plant loading'!E41)*54.5/1000</f>
        <v>40.9295</v>
      </c>
      <c r="C166" s="791" t="n">
        <f aca="false">('Plant loading'!AC41)*54.5/1000</f>
        <v>8.2295</v>
      </c>
      <c r="D166" s="791" t="n">
        <f aca="false">('Plant loading'!N41)*54.5/1000-C166</f>
        <v>0</v>
      </c>
      <c r="E166" s="792" t="n">
        <f aca="false">'Plant loading'!J41/2</f>
        <v>66</v>
      </c>
      <c r="F166" s="792" t="str">
        <f aca="false">'Plant loading'!C41</f>
        <v>HDR48-ES</v>
      </c>
      <c r="G166" s="793" t="n">
        <f aca="false">E166-D166-B166-C166</f>
        <v>16.841</v>
      </c>
    </row>
    <row r="167" customFormat="false" ht="10.15" hidden="false" customHeight="false" outlineLevel="0" collapsed="false">
      <c r="A167" s="790" t="str">
        <f aca="false">'Plant loading'!B42</f>
        <v>BMGMTX-DCSYS04</v>
      </c>
      <c r="B167" s="791" t="n">
        <f aca="false">('Plant loading'!E42)*54.5/1000</f>
        <v>40.33</v>
      </c>
      <c r="C167" s="791" t="n">
        <f aca="false">('Plant loading'!AC42)*54.5/1000</f>
        <v>8.6655</v>
      </c>
      <c r="D167" s="791" t="n">
        <f aca="false">('Plant loading'!N42)*54.5/1000-C167</f>
        <v>0</v>
      </c>
      <c r="E167" s="792" t="n">
        <f aca="false">'Plant loading'!J42/2</f>
        <v>66</v>
      </c>
      <c r="F167" s="792" t="str">
        <f aca="false">'Plant loading'!C42</f>
        <v>HDR48-ES</v>
      </c>
      <c r="G167" s="793" t="n">
        <f aca="false">E167-D167-B167-C167</f>
        <v>17.0045</v>
      </c>
    </row>
    <row r="168" customFormat="false" ht="10.15" hidden="false" customHeight="false" outlineLevel="0" collapsed="false">
      <c r="A168" s="790" t="str">
        <f aca="false">'Plant loading'!B43</f>
        <v>BMGMTX-DCSYS05</v>
      </c>
      <c r="B168" s="791" t="n">
        <f aca="false">('Plant loading'!E43)*54.5/1000</f>
        <v>42.183</v>
      </c>
      <c r="C168" s="791" t="n">
        <f aca="false">('Plant loading'!AC43)*54.5/1000</f>
        <v>5.668</v>
      </c>
      <c r="D168" s="791" t="n">
        <f aca="false">('Plant loading'!N43)*54.5/1000-C168</f>
        <v>0</v>
      </c>
      <c r="E168" s="792" t="n">
        <f aca="false">'Plant loading'!J43/2</f>
        <v>66</v>
      </c>
      <c r="F168" s="792" t="str">
        <f aca="false">'Plant loading'!C43</f>
        <v>HDR48-ES</v>
      </c>
      <c r="G168" s="793" t="n">
        <f aca="false">E168-D168-B168-C168</f>
        <v>18.149</v>
      </c>
    </row>
    <row r="169" customFormat="false" ht="10.15" hidden="false" customHeight="false" outlineLevel="0" collapsed="false">
      <c r="A169" s="790" t="str">
        <f aca="false">'Plant loading'!B44</f>
        <v>BMGMTX-DCSYS06</v>
      </c>
      <c r="B169" s="791" t="n">
        <f aca="false">('Plant loading'!E44)*54.5/1000</f>
        <v>43.055</v>
      </c>
      <c r="C169" s="791" t="n">
        <f aca="false">('Plant loading'!AC44)*54.5/1000</f>
        <v>10.1915</v>
      </c>
      <c r="D169" s="791" t="n">
        <f aca="false">('Plant loading'!N44)*54.5/1000-C169</f>
        <v>0</v>
      </c>
      <c r="E169" s="792" t="n">
        <f aca="false">'Plant loading'!J44/2</f>
        <v>66</v>
      </c>
      <c r="F169" s="792" t="str">
        <f aca="false">'Plant loading'!C44</f>
        <v>HDR48-ES</v>
      </c>
      <c r="G169" s="793" t="n">
        <f aca="false">E169-D169-B169-C169</f>
        <v>12.7535</v>
      </c>
    </row>
    <row r="170" customFormat="false" ht="10.15" hidden="false" customHeight="false" outlineLevel="0" collapsed="false">
      <c r="A170" s="790" t="str">
        <f aca="false">'Plant loading'!B56</f>
        <v>LLDMTX-DCSYS01</v>
      </c>
      <c r="B170" s="791" t="n">
        <f aca="false">('Plant loading'!E56)*54.5/1000</f>
        <v>47.0335</v>
      </c>
      <c r="C170" s="791" t="n">
        <f aca="false">('Plant loading'!AC56)*54.5/1000</f>
        <v>3.3245</v>
      </c>
      <c r="D170" s="791" t="n">
        <f aca="false">('Plant loading'!N56)*54.5/1000-C170</f>
        <v>0</v>
      </c>
      <c r="E170" s="792" t="n">
        <f aca="false">'Plant loading'!J56/2</f>
        <v>66</v>
      </c>
      <c r="F170" s="792" t="str">
        <f aca="false">'Plant loading'!C56</f>
        <v>HDR48-ES</v>
      </c>
      <c r="G170" s="793" t="n">
        <f aca="false">E170-D170-B170-C170</f>
        <v>15.642</v>
      </c>
    </row>
    <row r="171" customFormat="false" ht="10.15" hidden="false" customHeight="false" outlineLevel="0" collapsed="false">
      <c r="A171" s="790" t="str">
        <f aca="false">'Plant loading'!B57</f>
        <v>LLDMTX-DCSYS02</v>
      </c>
      <c r="B171" s="791" t="n">
        <f aca="false">('Plant loading'!E57)*54.5/1000</f>
        <v>42.728</v>
      </c>
      <c r="C171" s="791" t="n">
        <f aca="false">('Plant loading'!AC57)*54.5/1000</f>
        <v>4.9595</v>
      </c>
      <c r="D171" s="791" t="n">
        <f aca="false">('Plant loading'!N57)*54.5/1000-C171</f>
        <v>0</v>
      </c>
      <c r="E171" s="792" t="n">
        <f aca="false">'Plant loading'!J57/2</f>
        <v>66</v>
      </c>
      <c r="F171" s="792" t="str">
        <f aca="false">'Plant loading'!C57</f>
        <v>HDR48-ES</v>
      </c>
      <c r="G171" s="793" t="n">
        <f aca="false">E171-D171-B171-C171</f>
        <v>18.3125</v>
      </c>
    </row>
    <row r="172" customFormat="false" ht="10.15" hidden="false" customHeight="false" outlineLevel="0" collapsed="false">
      <c r="A172" s="790" t="str">
        <f aca="false">'Plant loading'!B58</f>
        <v>LLDMTX-DCSYS03</v>
      </c>
      <c r="B172" s="791" t="n">
        <f aca="false">('Plant loading'!E58)*54.5/1000</f>
        <v>51.3935</v>
      </c>
      <c r="C172" s="791" t="n">
        <f aca="false">('Plant loading'!AC58)*54.5/1000</f>
        <v>4.36</v>
      </c>
      <c r="D172" s="791" t="n">
        <f aca="false">('Plant loading'!N58)*54.5/1000-C172</f>
        <v>0</v>
      </c>
      <c r="E172" s="792" t="n">
        <f aca="false">'Plant loading'!J58/2</f>
        <v>66</v>
      </c>
      <c r="F172" s="792" t="str">
        <f aca="false">'Plant loading'!C58</f>
        <v>HDR48-ES</v>
      </c>
      <c r="G172" s="793" t="n">
        <f aca="false">E172-D172-B172-C172</f>
        <v>10.2465</v>
      </c>
    </row>
    <row r="173" customFormat="false" ht="10.15" hidden="false" customHeight="false" outlineLevel="0" collapsed="false">
      <c r="A173" s="790" t="str">
        <f aca="false">'Plant loading'!B59</f>
        <v>LLDMTX-DCSYS04</v>
      </c>
      <c r="B173" s="791" t="n">
        <f aca="false">('Plant loading'!E59)*54.5/1000</f>
        <v>46.5975</v>
      </c>
      <c r="C173" s="791" t="n">
        <f aca="false">('Plant loading'!AC59)*54.5/1000</f>
        <v>3.27</v>
      </c>
      <c r="D173" s="791" t="n">
        <f aca="false">('Plant loading'!N59)*54.5/1000-C173</f>
        <v>0</v>
      </c>
      <c r="E173" s="792" t="n">
        <f aca="false">'Plant loading'!J59/2</f>
        <v>66</v>
      </c>
      <c r="F173" s="792" t="str">
        <f aca="false">'Plant loading'!C59</f>
        <v>HDR48-ES</v>
      </c>
      <c r="G173" s="793" t="n">
        <f aca="false">E173-D173-B173-C173</f>
        <v>16.1325</v>
      </c>
    </row>
    <row r="174" customFormat="false" ht="10.15" hidden="false" customHeight="false" outlineLevel="0" collapsed="false">
      <c r="A174" s="790" t="str">
        <f aca="false">'Plant loading'!B60</f>
        <v>LLDMTX-DCSYS05</v>
      </c>
      <c r="B174" s="791" t="n">
        <f aca="false">('Plant loading'!E60)*54.5/1000</f>
        <v>49.9765</v>
      </c>
      <c r="C174" s="791" t="n">
        <f aca="false">('Plant loading'!AC60)*54.5/1000</f>
        <v>3.9785</v>
      </c>
      <c r="D174" s="791" t="n">
        <f aca="false">('Plant loading'!N60)*54.5/1000-C174</f>
        <v>0</v>
      </c>
      <c r="E174" s="792" t="n">
        <f aca="false">'Plant loading'!J60/2</f>
        <v>66</v>
      </c>
      <c r="F174" s="792" t="str">
        <f aca="false">'Plant loading'!C60</f>
        <v>HDR48-ES</v>
      </c>
      <c r="G174" s="793" t="n">
        <f aca="false">E174-D174-B174-C174</f>
        <v>12.045</v>
      </c>
    </row>
    <row r="175" customFormat="false" ht="10.15" hidden="false" customHeight="false" outlineLevel="0" collapsed="false">
      <c r="A175" s="790" t="str">
        <f aca="false">'Plant loading'!B61</f>
        <v>LLDMTX-DCSYS06</v>
      </c>
      <c r="B175" s="791" t="n">
        <f aca="false">('Plant loading'!E61)*54.5/1000</f>
        <v>48.505</v>
      </c>
      <c r="C175" s="791" t="n">
        <f aca="false">('Plant loading'!AC61)*54.5/1000</f>
        <v>3.379</v>
      </c>
      <c r="D175" s="791" t="n">
        <f aca="false">('Plant loading'!N61)*54.5/1000-C175</f>
        <v>0</v>
      </c>
      <c r="E175" s="792" t="n">
        <f aca="false">'Plant loading'!J61/2</f>
        <v>66</v>
      </c>
      <c r="F175" s="792" t="str">
        <f aca="false">'Plant loading'!C61</f>
        <v>HDR48-ES</v>
      </c>
      <c r="G175" s="793" t="n">
        <f aca="false">E175-D175-B175-C175</f>
        <v>14.116</v>
      </c>
    </row>
    <row r="176" customFormat="false" ht="10.15" hidden="false" customHeight="false" outlineLevel="0" collapsed="false">
      <c r="A176" s="790" t="str">
        <f aca="false">'Plant loading'!B64</f>
        <v>PEAMS</v>
      </c>
      <c r="B176" s="791" t="n">
        <f aca="false">('Plant loading'!E64)*54.5/1000</f>
        <v>60.4405</v>
      </c>
      <c r="C176" s="791" t="n">
        <f aca="false">('Plant loading'!AC64)*54.5/1000</f>
        <v>5.45</v>
      </c>
      <c r="D176" s="791" t="n">
        <f aca="false">('Plant loading'!N64)*54.5/1000-C176</f>
        <v>0</v>
      </c>
      <c r="E176" s="792" t="n">
        <f aca="false">'Plant loading'!J64/2</f>
        <v>73.5</v>
      </c>
      <c r="F176" s="792" t="str">
        <f aca="false">'Plant loading'!C64</f>
        <v>eSure</v>
      </c>
      <c r="G176" s="793" t="n">
        <f aca="false">E176-D176-B176-C176</f>
        <v>7.6095</v>
      </c>
    </row>
    <row r="177" customFormat="false" ht="10.15" hidden="false" customHeight="false" outlineLevel="0" collapsed="false">
      <c r="A177" s="790" t="str">
        <f aca="false">'Plant loading'!B65</f>
        <v>PEBMS</v>
      </c>
      <c r="B177" s="791" t="n">
        <f aca="false">('Plant loading'!E65)*54.5/1000</f>
        <v>55.9715</v>
      </c>
      <c r="C177" s="791" t="n">
        <f aca="false">('Plant loading'!AC65)*54.5/1000</f>
        <v>6.3765</v>
      </c>
      <c r="D177" s="791" t="n">
        <f aca="false">('Plant loading'!N65)*54.5/1000-C177</f>
        <v>0</v>
      </c>
      <c r="E177" s="792" t="n">
        <f aca="false">'Plant loading'!J65/2</f>
        <v>73.5</v>
      </c>
      <c r="F177" s="792" t="str">
        <f aca="false">'Plant loading'!C65</f>
        <v>eSure</v>
      </c>
      <c r="G177" s="793" t="n">
        <f aca="false">E177-D177-B177-C177</f>
        <v>11.152</v>
      </c>
    </row>
    <row r="178" customFormat="false" ht="10.15" hidden="false" customHeight="false" outlineLevel="0" collapsed="false">
      <c r="A178" s="790" t="str">
        <f aca="false">'Plant loading'!B66</f>
        <v>PECMS</v>
      </c>
      <c r="B178" s="791" t="n">
        <f aca="false">('Plant loading'!E66)*54.5/1000</f>
        <v>58.969</v>
      </c>
      <c r="C178" s="791" t="n">
        <f aca="false">('Plant loading'!AC66)*54.5/1000</f>
        <v>6.5945</v>
      </c>
      <c r="D178" s="791" t="n">
        <f aca="false">('Plant loading'!N66)*54.5/1000-C178</f>
        <v>0</v>
      </c>
      <c r="E178" s="792" t="n">
        <f aca="false">'Plant loading'!J66/2</f>
        <v>73.5</v>
      </c>
      <c r="F178" s="792" t="str">
        <f aca="false">'Plant loading'!C66</f>
        <v>eSure</v>
      </c>
      <c r="G178" s="793" t="n">
        <f aca="false">E178-D178-B178-C178</f>
        <v>7.9365</v>
      </c>
    </row>
    <row r="179" customFormat="false" ht="10.15" hidden="false" customHeight="false" outlineLevel="0" collapsed="false">
      <c r="A179" s="790" t="str">
        <f aca="false">'Plant loading'!B67</f>
        <v>PEDMS</v>
      </c>
      <c r="B179" s="791" t="n">
        <f aca="false">('Plant loading'!E67)*54.5/1000</f>
        <v>61.7485</v>
      </c>
      <c r="C179" s="791" t="n">
        <f aca="false">('Plant loading'!AC67)*54.5/1000</f>
        <v>8.2295</v>
      </c>
      <c r="D179" s="791" t="n">
        <f aca="false">('Plant loading'!N67)*54.5/1000-C179</f>
        <v>0</v>
      </c>
      <c r="E179" s="792" t="n">
        <f aca="false">'Plant loading'!J67/2</f>
        <v>73.5</v>
      </c>
      <c r="F179" s="792" t="str">
        <f aca="false">'Plant loading'!C67</f>
        <v>eSure</v>
      </c>
      <c r="G179" s="793" t="n">
        <f aca="false">E179-D179-B179-C179</f>
        <v>3.522</v>
      </c>
    </row>
    <row r="180" customFormat="false" ht="10.15" hidden="false" customHeight="false" outlineLevel="0" collapsed="false">
      <c r="A180" s="790" t="str">
        <f aca="false">'Plant loading'!B68</f>
        <v>PEEMS</v>
      </c>
      <c r="B180" s="791" t="n">
        <f aca="false">('Plant loading'!E68)*54.5/1000</f>
        <v>58.2605</v>
      </c>
      <c r="C180" s="791" t="n">
        <f aca="false">('Plant loading'!AC68)*54.5/1000</f>
        <v>3.2155</v>
      </c>
      <c r="D180" s="791" t="n">
        <f aca="false">('Plant loading'!N68)*54.5/1000-C180</f>
        <v>0</v>
      </c>
      <c r="E180" s="792" t="n">
        <f aca="false">'Plant loading'!J68/2</f>
        <v>73.5</v>
      </c>
      <c r="F180" s="792" t="str">
        <f aca="false">'Plant loading'!C68</f>
        <v>eSure</v>
      </c>
      <c r="G180" s="793" t="n">
        <f aca="false">E180-D180-B180-C180</f>
        <v>12.024</v>
      </c>
    </row>
    <row r="181" customFormat="false" ht="10.9" hidden="false" customHeight="false" outlineLevel="0" collapsed="false">
      <c r="A181" s="794" t="str">
        <f aca="false">'Plant loading'!B69</f>
        <v>PEFMS</v>
      </c>
      <c r="B181" s="795" t="n">
        <f aca="false">('Plant loading'!E69)*54.5/1000</f>
        <v>57.3885</v>
      </c>
      <c r="C181" s="795" t="n">
        <f aca="false">('Plant loading'!AC69)*54.5/1000</f>
        <v>3.4335</v>
      </c>
      <c r="D181" s="795" t="n">
        <f aca="false">('Plant loading'!N69)*54.5/1000-C181</f>
        <v>0</v>
      </c>
      <c r="E181" s="796" t="n">
        <f aca="false">'Plant loading'!J69/2</f>
        <v>73.5</v>
      </c>
      <c r="F181" s="796" t="str">
        <f aca="false">'Plant loading'!C69</f>
        <v>eSure</v>
      </c>
      <c r="G181" s="793" t="n">
        <f aca="false">E181-D181-B181-C181</f>
        <v>12.678</v>
      </c>
    </row>
    <row r="183" customFormat="false" ht="10.9" hidden="false" customHeight="false" outlineLevel="0" collapsed="false"/>
    <row r="184" customFormat="false" ht="13.15" hidden="false" customHeight="false" outlineLevel="0" collapsed="false">
      <c r="A184" s="783" t="s">
        <v>739</v>
      </c>
      <c r="B184" s="784"/>
      <c r="C184" s="784"/>
      <c r="D184" s="784"/>
      <c r="E184" s="784"/>
      <c r="F184" s="785"/>
      <c r="G184" s="786"/>
    </row>
    <row r="185" customFormat="false" ht="10.15" hidden="false" customHeight="false" outlineLevel="0" collapsed="false">
      <c r="A185" s="787"/>
      <c r="B185" s="788" t="s">
        <v>608</v>
      </c>
      <c r="C185" s="788" t="s">
        <v>407</v>
      </c>
      <c r="D185" s="788" t="s">
        <v>408</v>
      </c>
      <c r="E185" s="788" t="s">
        <v>732</v>
      </c>
      <c r="F185" s="788" t="s">
        <v>593</v>
      </c>
      <c r="G185" s="789" t="s">
        <v>710</v>
      </c>
    </row>
    <row r="186" customFormat="false" ht="10.15" hidden="false" customHeight="false" outlineLevel="0" collapsed="false">
      <c r="A186" s="792" t="str">
        <f aca="false">'Plant loading'!B4</f>
        <v>PEAAN</v>
      </c>
      <c r="B186" s="791" t="n">
        <f aca="false">('Plant loading'!E4)*54.5/1000</f>
        <v>31.828</v>
      </c>
      <c r="C186" s="791" t="n">
        <f aca="false">('Plant loading'!AC4)*54.5/1000</f>
        <v>2.943</v>
      </c>
      <c r="D186" s="791" t="n">
        <f aca="false">('Plant loading'!N4)*54.5/1000-C186</f>
        <v>0</v>
      </c>
      <c r="E186" s="792" t="n">
        <f aca="false">'Plant loading'!J4/2</f>
        <v>63</v>
      </c>
      <c r="F186" s="792" t="str">
        <f aca="false">'Plant loading'!C4</f>
        <v>eSure</v>
      </c>
      <c r="G186" s="791" t="n">
        <f aca="false">E186-D186-B186</f>
        <v>31.172</v>
      </c>
    </row>
    <row r="187" customFormat="false" ht="10.15" hidden="false" customHeight="false" outlineLevel="0" collapsed="false">
      <c r="A187" s="792" t="str">
        <f aca="false">'Plant loading'!B5</f>
        <v>PEBAN</v>
      </c>
      <c r="B187" s="791" t="n">
        <f aca="false">('Plant loading'!E5)*54.5/1000</f>
        <v>29.8115</v>
      </c>
      <c r="C187" s="791" t="n">
        <f aca="false">('Plant loading'!AC5)*54.5/1000</f>
        <v>2.943</v>
      </c>
      <c r="D187" s="791" t="n">
        <f aca="false">('Plant loading'!N5)*54.5/1000-C187</f>
        <v>0</v>
      </c>
      <c r="E187" s="792" t="n">
        <f aca="false">'Plant loading'!J5/2</f>
        <v>63</v>
      </c>
      <c r="F187" s="792" t="str">
        <f aca="false">'Plant loading'!C5</f>
        <v>eSure</v>
      </c>
      <c r="G187" s="791" t="n">
        <f aca="false">E187-D187-B187</f>
        <v>33.1885</v>
      </c>
    </row>
    <row r="188" customFormat="false" ht="10.15" hidden="false" customHeight="false" outlineLevel="0" collapsed="false">
      <c r="A188" s="792" t="str">
        <f aca="false">'Plant loading'!B6</f>
        <v>PECAN</v>
      </c>
      <c r="B188" s="791" t="n">
        <f aca="false">('Plant loading'!E6)*54.5/1000</f>
        <v>24.4705</v>
      </c>
      <c r="C188" s="791" t="n">
        <f aca="false">('Plant loading'!AC6)*54.5/1000</f>
        <v>2.616</v>
      </c>
      <c r="D188" s="791" t="n">
        <f aca="false">('Plant loading'!N6)*54.5/1000-C188</f>
        <v>0</v>
      </c>
      <c r="E188" s="792" t="n">
        <f aca="false">'Plant loading'!J6/2</f>
        <v>63</v>
      </c>
      <c r="F188" s="792" t="str">
        <f aca="false">'Plant loading'!C6</f>
        <v>eSure</v>
      </c>
      <c r="G188" s="791" t="n">
        <f aca="false">E188-D188-B188</f>
        <v>38.5295</v>
      </c>
    </row>
    <row r="189" customFormat="false" ht="10.15" hidden="false" customHeight="false" outlineLevel="0" collapsed="false">
      <c r="A189" s="792" t="str">
        <f aca="false">'Plant loading'!B7</f>
        <v>PEFAN</v>
      </c>
      <c r="B189" s="791" t="n">
        <f aca="false">('Plant loading'!E7)*54.5/1000</f>
        <v>37.7685</v>
      </c>
      <c r="C189" s="791" t="n">
        <f aca="false">('Plant loading'!AC7)*54.5/1000</f>
        <v>2.725</v>
      </c>
      <c r="D189" s="791" t="n">
        <f aca="false">('Plant loading'!N7)*54.5/1000-C189</f>
        <v>0</v>
      </c>
      <c r="E189" s="792" t="n">
        <f aca="false">'Plant loading'!J7/2</f>
        <v>63</v>
      </c>
      <c r="F189" s="792" t="str">
        <f aca="false">'Plant loading'!C7</f>
        <v>eSure</v>
      </c>
      <c r="G189" s="791" t="n">
        <f aca="false">E189-D189-B189</f>
        <v>25.2315</v>
      </c>
    </row>
    <row r="190" customFormat="false" ht="10.15" hidden="false" customHeight="false" outlineLevel="0" collapsed="false">
      <c r="A190" s="792" t="str">
        <f aca="false">'Plant loading'!B8</f>
        <v>PEGAN</v>
      </c>
      <c r="B190" s="791" t="n">
        <f aca="false">('Plant loading'!E8)*54.5/1000</f>
        <v>40.2755</v>
      </c>
      <c r="C190" s="791" t="n">
        <f aca="false">('Plant loading'!AC8)*54.5/1000</f>
        <v>2.6705</v>
      </c>
      <c r="D190" s="791" t="n">
        <f aca="false">('Plant loading'!N8)*54.5/1000-C190</f>
        <v>0</v>
      </c>
      <c r="E190" s="792" t="n">
        <f aca="false">'Plant loading'!J8/2</f>
        <v>63</v>
      </c>
      <c r="F190" s="792" t="str">
        <f aca="false">'Plant loading'!C8</f>
        <v>eSure</v>
      </c>
      <c r="G190" s="791" t="n">
        <f aca="false">E190-D190-B190</f>
        <v>22.7245</v>
      </c>
    </row>
    <row r="191" customFormat="false" ht="10.15" hidden="false" customHeight="false" outlineLevel="0" collapsed="false">
      <c r="A191" s="790" t="str">
        <f aca="false">'Plant loading'!B17</f>
        <v>PEACY</v>
      </c>
      <c r="B191" s="791" t="n">
        <f aca="false">('Plant loading'!E17)*54.5/1000</f>
        <v>18.0395</v>
      </c>
      <c r="C191" s="791" t="n">
        <f aca="false">('Plant loading'!AC17)*54.5/1000</f>
        <v>0</v>
      </c>
      <c r="D191" s="791" t="n">
        <f aca="false">('Plant loading'!N17)*54.5/1000-C191</f>
        <v>0</v>
      </c>
      <c r="E191" s="792" t="n">
        <f aca="false">'Plant loading'!J17/2</f>
        <v>63</v>
      </c>
      <c r="F191" s="792" t="str">
        <f aca="false">'Plant loading'!C17</f>
        <v>eSure</v>
      </c>
      <c r="G191" s="793" t="n">
        <f aca="false">E191-D191-B191</f>
        <v>44.9605</v>
      </c>
    </row>
    <row r="192" customFormat="false" ht="10.15" hidden="false" customHeight="false" outlineLevel="0" collapsed="false">
      <c r="A192" s="790" t="str">
        <f aca="false">'Plant loading'!B18</f>
        <v>PEBCY</v>
      </c>
      <c r="B192" s="791" t="n">
        <f aca="false">('Plant loading'!E18)*54.5/1000</f>
        <v>20.7645</v>
      </c>
      <c r="C192" s="791" t="n">
        <f aca="false">('Plant loading'!AC18)*54.5/1000</f>
        <v>0</v>
      </c>
      <c r="D192" s="791" t="n">
        <f aca="false">('Plant loading'!N18)*54.5/1000-C192</f>
        <v>0</v>
      </c>
      <c r="E192" s="792" t="n">
        <f aca="false">'Plant loading'!J18/2</f>
        <v>63</v>
      </c>
      <c r="F192" s="792" t="str">
        <f aca="false">'Plant loading'!C18</f>
        <v>eSure</v>
      </c>
      <c r="G192" s="793" t="n">
        <f aca="false">E192-D192-B192</f>
        <v>42.2355</v>
      </c>
    </row>
    <row r="193" customFormat="false" ht="10.15" hidden="false" customHeight="false" outlineLevel="0" collapsed="false">
      <c r="A193" s="790" t="str">
        <f aca="false">'Plant loading'!B19</f>
        <v>PECCY</v>
      </c>
      <c r="B193" s="791" t="n">
        <f aca="false">('Plant loading'!E19)*54.5/1000</f>
        <v>33.027</v>
      </c>
      <c r="C193" s="791" t="n">
        <f aca="false">('Plant loading'!AC19)*54.5/1000</f>
        <v>0</v>
      </c>
      <c r="D193" s="791" t="n">
        <f aca="false">('Plant loading'!N19)*54.5/1000-C193</f>
        <v>0</v>
      </c>
      <c r="E193" s="792" t="n">
        <f aca="false">'Plant loading'!J19/2</f>
        <v>63</v>
      </c>
      <c r="F193" s="792" t="str">
        <f aca="false">'Plant loading'!C19</f>
        <v>eSure</v>
      </c>
      <c r="G193" s="793" t="n">
        <f aca="false">E193-D193-B193</f>
        <v>29.973</v>
      </c>
    </row>
    <row r="194" customFormat="false" ht="10.15" hidden="false" customHeight="false" outlineLevel="0" collapsed="false">
      <c r="A194" s="790" t="str">
        <f aca="false">'Plant loading'!B20</f>
        <v>PEDCY</v>
      </c>
      <c r="B194" s="791" t="n">
        <f aca="false">('Plant loading'!E20)*54.5/1000</f>
        <v>26.4325</v>
      </c>
      <c r="C194" s="791" t="n">
        <f aca="false">('Plant loading'!AC20)*54.5/1000</f>
        <v>0</v>
      </c>
      <c r="D194" s="791" t="n">
        <f aca="false">('Plant loading'!N20)*54.5/1000-C194</f>
        <v>0</v>
      </c>
      <c r="E194" s="792" t="n">
        <f aca="false">'Plant loading'!J20/2</f>
        <v>63</v>
      </c>
      <c r="F194" s="792" t="str">
        <f aca="false">'Plant loading'!C20</f>
        <v>eSure</v>
      </c>
      <c r="G194" s="793" t="n">
        <f aca="false">E194-D194-B194</f>
        <v>36.5675</v>
      </c>
    </row>
    <row r="195" customFormat="false" ht="10.15" hidden="false" customHeight="false" outlineLevel="0" collapsed="false">
      <c r="A195" s="790" t="str">
        <f aca="false">'Plant loading'!B21</f>
        <v>PEECY</v>
      </c>
      <c r="B195" s="791" t="n">
        <f aca="false">('Plant loading'!E21)*54.5/1000</f>
        <v>15.8595</v>
      </c>
      <c r="C195" s="791" t="n">
        <f aca="false">('Plant loading'!AC21)*54.5/1000</f>
        <v>0</v>
      </c>
      <c r="D195" s="791" t="n">
        <f aca="false">('Plant loading'!N21)*54.5/1000-C195</f>
        <v>0</v>
      </c>
      <c r="E195" s="792" t="n">
        <f aca="false">'Plant loading'!J21/2</f>
        <v>63</v>
      </c>
      <c r="F195" s="792" t="str">
        <f aca="false">'Plant loading'!C21</f>
        <v>eSure</v>
      </c>
      <c r="G195" s="793" t="n">
        <f aca="false">E195-D195-B195</f>
        <v>47.1405</v>
      </c>
    </row>
    <row r="196" customFormat="false" ht="10.15" hidden="false" customHeight="false" outlineLevel="0" collapsed="false">
      <c r="A196" s="790" t="str">
        <f aca="false">'Plant loading'!B32</f>
        <v>PEAGR</v>
      </c>
      <c r="B196" s="791" t="n">
        <f aca="false">('Plant loading'!E32)*54.5/1000</f>
        <v>36.2425</v>
      </c>
      <c r="C196" s="791" t="n">
        <f aca="false">('Plant loading'!AC32)*54.5/1000</f>
        <v>7.303</v>
      </c>
      <c r="D196" s="791" t="n">
        <f aca="false">('Plant loading'!N32)*54.5/1000-C196</f>
        <v>0</v>
      </c>
      <c r="E196" s="792" t="n">
        <f aca="false">'Plant loading'!J32/2</f>
        <v>63</v>
      </c>
      <c r="F196" s="792" t="str">
        <f aca="false">'Plant loading'!C32</f>
        <v>eSure</v>
      </c>
      <c r="G196" s="793" t="n">
        <f aca="false">E196-D196-B196</f>
        <v>26.7575</v>
      </c>
    </row>
    <row r="197" customFormat="false" ht="10.15" hidden="false" customHeight="false" outlineLevel="0" collapsed="false">
      <c r="A197" s="790" t="str">
        <f aca="false">'Plant loading'!B33</f>
        <v>PEBGR</v>
      </c>
      <c r="B197" s="791" t="n">
        <f aca="false">('Plant loading'!E33)*54.5/1000</f>
        <v>45.126</v>
      </c>
      <c r="C197" s="791" t="n">
        <f aca="false">('Plant loading'!AC33)*54.5/1000</f>
        <v>8.0115</v>
      </c>
      <c r="D197" s="791" t="n">
        <f aca="false">('Plant loading'!N33)*54.5/1000-C197</f>
        <v>0</v>
      </c>
      <c r="E197" s="792" t="n">
        <f aca="false">'Plant loading'!J33/2</f>
        <v>63</v>
      </c>
      <c r="F197" s="792" t="str">
        <f aca="false">'Plant loading'!C33</f>
        <v>eSure</v>
      </c>
      <c r="G197" s="793" t="n">
        <f aca="false">E197-D197-B197</f>
        <v>17.874</v>
      </c>
    </row>
    <row r="198" customFormat="false" ht="10.15" hidden="false" customHeight="false" outlineLevel="0" collapsed="false">
      <c r="A198" s="790" t="str">
        <f aca="false">'Plant loading'!B34</f>
        <v>PECGR</v>
      </c>
      <c r="B198" s="791" t="n">
        <f aca="false">('Plant loading'!E34)*54.5/1000</f>
        <v>41.311</v>
      </c>
      <c r="C198" s="791" t="n">
        <f aca="false">('Plant loading'!AC34)*54.5/1000</f>
        <v>12.426</v>
      </c>
      <c r="D198" s="791" t="n">
        <f aca="false">('Plant loading'!N34)*54.5/1000-C198</f>
        <v>0</v>
      </c>
      <c r="E198" s="792" t="n">
        <f aca="false">'Plant loading'!J34/2</f>
        <v>63</v>
      </c>
      <c r="F198" s="792" t="str">
        <f aca="false">'Plant loading'!C34</f>
        <v>eSure</v>
      </c>
      <c r="G198" s="793" t="n">
        <f aca="false">E198-D198-B198</f>
        <v>21.689</v>
      </c>
    </row>
    <row r="199" customFormat="false" ht="10.15" hidden="false" customHeight="false" outlineLevel="0" collapsed="false">
      <c r="A199" s="790" t="str">
        <f aca="false">'Plant loading'!B35</f>
        <v>PEDGR</v>
      </c>
      <c r="B199" s="791" t="n">
        <f aca="false">('Plant loading'!E35)*54.5/1000</f>
        <v>41.311</v>
      </c>
      <c r="C199" s="791" t="n">
        <f aca="false">('Plant loading'!AC35)*54.5/1000</f>
        <v>12.644</v>
      </c>
      <c r="D199" s="791" t="n">
        <f aca="false">('Plant loading'!N35)*54.5/1000-C199</f>
        <v>0</v>
      </c>
      <c r="E199" s="792" t="n">
        <f aca="false">'Plant loading'!J35/2</f>
        <v>63</v>
      </c>
      <c r="F199" s="792" t="str">
        <f aca="false">'Plant loading'!C35</f>
        <v>eSure</v>
      </c>
      <c r="G199" s="793" t="n">
        <f aca="false">E199-D199-B199</f>
        <v>21.689</v>
      </c>
    </row>
    <row r="200" customFormat="false" ht="10.15" hidden="false" customHeight="false" outlineLevel="0" collapsed="false">
      <c r="A200" s="790" t="str">
        <f aca="false">'Plant loading'!B36</f>
        <v>PEEGR</v>
      </c>
      <c r="B200" s="791" t="n">
        <f aca="false">('Plant loading'!E36)*54.5/1000</f>
        <v>41.4745</v>
      </c>
      <c r="C200" s="791" t="n">
        <f aca="false">('Plant loading'!AC36)*54.5/1000</f>
        <v>9.81</v>
      </c>
      <c r="D200" s="791" t="n">
        <f aca="false">('Plant loading'!N36)*54.5/1000-C200</f>
        <v>0</v>
      </c>
      <c r="E200" s="792" t="n">
        <f aca="false">'Plant loading'!J36/2</f>
        <v>63</v>
      </c>
      <c r="F200" s="792" t="str">
        <f aca="false">'Plant loading'!C36</f>
        <v>eSure</v>
      </c>
      <c r="G200" s="793" t="n">
        <f aca="false">E200-D200-B200</f>
        <v>21.5255</v>
      </c>
    </row>
    <row r="201" customFormat="false" ht="10.15" hidden="false" customHeight="false" outlineLevel="0" collapsed="false">
      <c r="A201" s="790" t="str">
        <f aca="false">'Plant loading'!B72</f>
        <v>OLDMTX-DCSYS01</v>
      </c>
      <c r="B201" s="791" t="n">
        <f aca="false">('Plant loading'!E72)*54.5/1000</f>
        <v>42.837</v>
      </c>
      <c r="C201" s="791" t="n">
        <f aca="false">('Plant loading'!AC72)*54.5/1000</f>
        <v>8.7745</v>
      </c>
      <c r="D201" s="791" t="n">
        <f aca="false">('Plant loading'!N72)*54.5/1000-C201</f>
        <v>0</v>
      </c>
      <c r="E201" s="792" t="n">
        <f aca="false">'Plant loading'!J72/2</f>
        <v>66</v>
      </c>
      <c r="F201" s="792" t="str">
        <f aca="false">'Plant loading'!C72</f>
        <v>HDR48-ES</v>
      </c>
      <c r="G201" s="793" t="n">
        <f aca="false">E201-D201-B201</f>
        <v>23.163</v>
      </c>
    </row>
    <row r="202" customFormat="false" ht="10.15" hidden="false" customHeight="false" outlineLevel="0" collapsed="false">
      <c r="A202" s="790" t="str">
        <f aca="false">'Plant loading'!B73</f>
        <v>OLDMTX-DCSYS02</v>
      </c>
      <c r="B202" s="791" t="n">
        <f aca="false">('Plant loading'!E73)*54.5/1000</f>
        <v>39.6215</v>
      </c>
      <c r="C202" s="791" t="n">
        <f aca="false">('Plant loading'!AC73)*54.5/1000</f>
        <v>11.1725</v>
      </c>
      <c r="D202" s="791" t="n">
        <f aca="false">('Plant loading'!N73)*54.5/1000-C202</f>
        <v>0</v>
      </c>
      <c r="E202" s="792" t="n">
        <f aca="false">'Plant loading'!J73/2</f>
        <v>66</v>
      </c>
      <c r="F202" s="792" t="str">
        <f aca="false">'Plant loading'!C73</f>
        <v>HDR48-ES</v>
      </c>
      <c r="G202" s="793" t="n">
        <f aca="false">E202-D202-B202</f>
        <v>26.3785</v>
      </c>
    </row>
    <row r="203" customFormat="false" ht="10.15" hidden="false" customHeight="false" outlineLevel="0" collapsed="false">
      <c r="A203" s="790" t="str">
        <f aca="false">'Plant loading'!B74</f>
        <v>OLDMTX-DCSYS03</v>
      </c>
      <c r="B203" s="791" t="n">
        <f aca="false">('Plant loading'!E74)*54.5/1000</f>
        <v>43.491</v>
      </c>
      <c r="C203" s="791" t="n">
        <f aca="false">('Plant loading'!AC74)*54.5/1000</f>
        <v>5.3955</v>
      </c>
      <c r="D203" s="791" t="n">
        <f aca="false">('Plant loading'!N74)*54.5/1000-C203</f>
        <v>0</v>
      </c>
      <c r="E203" s="792" t="n">
        <f aca="false">'Plant loading'!J74/2</f>
        <v>66</v>
      </c>
      <c r="F203" s="792" t="str">
        <f aca="false">'Plant loading'!C74</f>
        <v>HDR48-ES</v>
      </c>
      <c r="G203" s="793" t="n">
        <f aca="false">E203-D203-B203</f>
        <v>22.509</v>
      </c>
    </row>
    <row r="204" customFormat="false" ht="10.15" hidden="false" customHeight="false" outlineLevel="0" collapsed="false">
      <c r="A204" s="790" t="str">
        <f aca="false">'Plant loading'!B75</f>
        <v>OLDMTX-DCSYS04</v>
      </c>
      <c r="B204" s="791" t="n">
        <f aca="false">('Plant loading'!E75)*54.5/1000</f>
        <v>31.174</v>
      </c>
      <c r="C204" s="791" t="n">
        <f aca="false">('Plant loading'!AC75)*54.5/1000</f>
        <v>10.8455</v>
      </c>
      <c r="D204" s="791" t="n">
        <f aca="false">('Plant loading'!N75)*54.5/1000-C204</f>
        <v>0</v>
      </c>
      <c r="E204" s="792" t="n">
        <f aca="false">'Plant loading'!J75/2</f>
        <v>51</v>
      </c>
      <c r="F204" s="792" t="str">
        <f aca="false">'Plant loading'!C75</f>
        <v>HDR48-ES</v>
      </c>
      <c r="G204" s="793" t="n">
        <f aca="false">E204-D204-B204</f>
        <v>19.826</v>
      </c>
    </row>
    <row r="205" customFormat="false" ht="10.15" hidden="false" customHeight="false" outlineLevel="0" collapsed="false">
      <c r="A205" s="790" t="str">
        <f aca="false">'Plant loading'!B76</f>
        <v>OLDMTX-DCSYS05</v>
      </c>
      <c r="B205" s="791" t="n">
        <f aca="false">('Plant loading'!E76)*54.5/1000</f>
        <v>28.449</v>
      </c>
      <c r="C205" s="791" t="n">
        <f aca="false">('Plant loading'!AC76)*54.5/1000</f>
        <v>8.1205</v>
      </c>
      <c r="D205" s="791" t="n">
        <f aca="false">('Plant loading'!N76)*54.5/1000-C205</f>
        <v>0</v>
      </c>
      <c r="E205" s="792" t="n">
        <f aca="false">'Plant loading'!J76/2</f>
        <v>66</v>
      </c>
      <c r="F205" s="792" t="str">
        <f aca="false">'Plant loading'!C76</f>
        <v>HDR48-ES</v>
      </c>
      <c r="G205" s="793" t="n">
        <f aca="false">E205-D205-B205</f>
        <v>37.551</v>
      </c>
    </row>
    <row r="206" customFormat="false" ht="10.15" hidden="false" customHeight="false" outlineLevel="0" collapsed="false">
      <c r="A206" s="790" t="str">
        <f aca="false">'Plant loading'!B77</f>
        <v>OLDMTX-DCSYS06</v>
      </c>
      <c r="B206" s="791" t="n">
        <f aca="false">('Plant loading'!E77)*54.5/1000</f>
        <v>34.2805</v>
      </c>
      <c r="C206" s="791" t="n">
        <f aca="false">('Plant loading'!AC77)*54.5/1000</f>
        <v>11.881</v>
      </c>
      <c r="D206" s="791" t="n">
        <f aca="false">('Plant loading'!N77)*54.5/1000-C206</f>
        <v>0</v>
      </c>
      <c r="E206" s="792" t="n">
        <f aca="false">'Plant loading'!J77/2</f>
        <v>66</v>
      </c>
      <c r="F206" s="792" t="str">
        <f aca="false">'Plant loading'!C77</f>
        <v>HDR48-ES</v>
      </c>
      <c r="G206" s="793" t="n">
        <f aca="false">E206-D206-B206</f>
        <v>31.7195</v>
      </c>
    </row>
    <row r="207" customFormat="false" ht="10.15" hidden="false" customHeight="false" outlineLevel="0" collapsed="false">
      <c r="A207" s="790" t="str">
        <f aca="false">'Plant loading'!B80</f>
        <v>PEARM</v>
      </c>
      <c r="B207" s="791" t="n">
        <f aca="false">('Plant loading'!E80)*54.5/1000</f>
        <v>20.492</v>
      </c>
      <c r="C207" s="791" t="n">
        <f aca="false">('Plant loading'!AC80)*54.5/1000</f>
        <v>0</v>
      </c>
      <c r="D207" s="791" t="n">
        <f aca="false">('Plant loading'!N80)*54.5/1000-C207</f>
        <v>0</v>
      </c>
      <c r="E207" s="792" t="n">
        <f aca="false">'Plant loading'!J80/2</f>
        <v>63</v>
      </c>
      <c r="F207" s="792" t="str">
        <f aca="false">'Plant loading'!C80</f>
        <v>eSure</v>
      </c>
      <c r="G207" s="793" t="n">
        <f aca="false">E207-D207-B207</f>
        <v>42.508</v>
      </c>
    </row>
    <row r="208" customFormat="false" ht="10.15" hidden="false" customHeight="false" outlineLevel="0" collapsed="false">
      <c r="A208" s="790" t="str">
        <f aca="false">'Plant loading'!B81</f>
        <v>PEBRM</v>
      </c>
      <c r="B208" s="791" t="n">
        <f aca="false">('Plant loading'!E81)*54.5/1000</f>
        <v>25.5605</v>
      </c>
      <c r="C208" s="791" t="n">
        <f aca="false">('Plant loading'!AC81)*54.5/1000</f>
        <v>0</v>
      </c>
      <c r="D208" s="791" t="n">
        <f aca="false">('Plant loading'!N81)*54.5/1000-C208</f>
        <v>0</v>
      </c>
      <c r="E208" s="792" t="n">
        <f aca="false">'Plant loading'!J81/2</f>
        <v>63</v>
      </c>
      <c r="F208" s="792" t="str">
        <f aca="false">'Plant loading'!C81</f>
        <v>eSure</v>
      </c>
      <c r="G208" s="793" t="n">
        <f aca="false">E208-D208-B208</f>
        <v>37.4395</v>
      </c>
    </row>
    <row r="209" customFormat="false" ht="10.15" hidden="false" customHeight="false" outlineLevel="0" collapsed="false">
      <c r="A209" s="790" t="str">
        <f aca="false">'Plant loading'!B82</f>
        <v>PECRM</v>
      </c>
      <c r="B209" s="791" t="n">
        <f aca="false">('Plant loading'!E82)*54.5/1000</f>
        <v>28.994</v>
      </c>
      <c r="C209" s="791" t="n">
        <f aca="false">('Plant loading'!AC82)*54.5/1000</f>
        <v>0</v>
      </c>
      <c r="D209" s="791" t="n">
        <f aca="false">('Plant loading'!N82)*54.5/1000-C209</f>
        <v>0</v>
      </c>
      <c r="E209" s="792" t="n">
        <f aca="false">'Plant loading'!J82/2</f>
        <v>63</v>
      </c>
      <c r="F209" s="792" t="str">
        <f aca="false">'Plant loading'!C82</f>
        <v>eSure</v>
      </c>
      <c r="G209" s="793" t="n">
        <f aca="false">E209-D209-B209</f>
        <v>34.006</v>
      </c>
    </row>
    <row r="210" customFormat="false" ht="10.15" hidden="false" customHeight="false" outlineLevel="0" collapsed="false">
      <c r="A210" s="790" t="str">
        <f aca="false">'Plant loading'!B83</f>
        <v>PEDRM</v>
      </c>
      <c r="B210" s="791" t="n">
        <f aca="false">('Plant loading'!E83)*54.5/1000</f>
        <v>13.7885</v>
      </c>
      <c r="C210" s="791" t="n">
        <f aca="false">('Plant loading'!AC83)*54.5/1000</f>
        <v>0</v>
      </c>
      <c r="D210" s="791" t="n">
        <f aca="false">('Plant loading'!N83)*54.5/1000-C210</f>
        <v>0</v>
      </c>
      <c r="E210" s="792" t="n">
        <f aca="false">'Plant loading'!J83/2</f>
        <v>63</v>
      </c>
      <c r="F210" s="792" t="str">
        <f aca="false">'Plant loading'!C83</f>
        <v>eSure</v>
      </c>
      <c r="G210" s="793" t="n">
        <f aca="false">E210-D210-B210</f>
        <v>49.2115</v>
      </c>
    </row>
    <row r="211" customFormat="false" ht="10.9" hidden="false" customHeight="false" outlineLevel="0" collapsed="false">
      <c r="A211" s="794" t="str">
        <f aca="false">'Plant loading'!B84</f>
        <v>PEERM</v>
      </c>
      <c r="B211" s="795" t="n">
        <f aca="false">('Plant loading'!E84)*54.5/1000</f>
        <v>11.554</v>
      </c>
      <c r="C211" s="795" t="n">
        <f aca="false">('Plant loading'!AC84)*54.5/1000</f>
        <v>0</v>
      </c>
      <c r="D211" s="795" t="n">
        <f aca="false">('Plant loading'!N84)*54.5/1000-C211</f>
        <v>0</v>
      </c>
      <c r="E211" s="796" t="n">
        <f aca="false">'Plant loading'!J84/2</f>
        <v>63</v>
      </c>
      <c r="F211" s="796" t="str">
        <f aca="false">'Plant loading'!C84</f>
        <v>eSure</v>
      </c>
      <c r="G211" s="797" t="n">
        <f aca="false">E211-D211-B211</f>
        <v>51.446</v>
      </c>
    </row>
    <row r="212" customFormat="false" ht="10.15" hidden="false" customHeight="false" outlineLevel="0" collapsed="false">
      <c r="A212" s="595"/>
      <c r="B212" s="595"/>
      <c r="C212" s="595"/>
      <c r="D212" s="595"/>
      <c r="E212" s="595"/>
      <c r="F212" s="595"/>
    </row>
    <row r="213" customFormat="false" ht="10.15" hidden="false" customHeight="false" outlineLevel="0" collapsed="false">
      <c r="A213" s="798" t="s">
        <v>740</v>
      </c>
      <c r="B213" s="595"/>
      <c r="C213" s="595"/>
      <c r="D213" s="595"/>
      <c r="E213" s="595"/>
      <c r="F213" s="595"/>
    </row>
    <row r="214" customFormat="false" ht="10.15" hidden="false" customHeight="false" outlineLevel="0" collapsed="false">
      <c r="A214" s="595"/>
      <c r="B214" s="764" t="s">
        <v>608</v>
      </c>
      <c r="C214" s="764" t="s">
        <v>407</v>
      </c>
      <c r="D214" s="764" t="s">
        <v>408</v>
      </c>
      <c r="E214" s="764" t="s">
        <v>732</v>
      </c>
      <c r="F214" s="764" t="s">
        <v>593</v>
      </c>
      <c r="G214" s="764" t="s">
        <v>710</v>
      </c>
    </row>
    <row r="215" customFormat="false" ht="10.15" hidden="false" customHeight="false" outlineLevel="0" collapsed="false">
      <c r="A215" s="595" t="str">
        <f aca="false">'Plant loading'!B22</f>
        <v>PECEH</v>
      </c>
      <c r="B215" s="799" t="n">
        <f aca="false">('Plant loading'!E22)*54.5/1000</f>
        <v>48.0145</v>
      </c>
      <c r="C215" s="799" t="n">
        <f aca="false">('Plant loading'!AC22)*54.5/1000</f>
        <v>10.9</v>
      </c>
      <c r="D215" s="799" t="n">
        <f aca="false">('Plant loading'!N22)*54.5/1000-C215</f>
        <v>0</v>
      </c>
      <c r="E215" s="595" t="n">
        <f aca="false">'Plant loading'!J22/2</f>
        <v>63</v>
      </c>
      <c r="F215" s="595" t="str">
        <f aca="false">'Plant loading'!C22</f>
        <v>eSure</v>
      </c>
      <c r="G215" s="799" t="n">
        <f aca="false">E215-D215-B215</f>
        <v>14.9855</v>
      </c>
    </row>
    <row r="216" customFormat="false" ht="10.15" hidden="false" customHeight="false" outlineLevel="0" collapsed="false">
      <c r="A216" s="595" t="str">
        <f aca="false">'Plant loading'!B23</f>
        <v>PEDEH</v>
      </c>
      <c r="B216" s="799" t="n">
        <f aca="false">('Plant loading'!E23)*54.5/1000</f>
        <v>51.775</v>
      </c>
      <c r="C216" s="799" t="n">
        <f aca="false">('Plant loading'!AC23)*54.5/1000</f>
        <v>9.6465</v>
      </c>
      <c r="D216" s="799" t="n">
        <f aca="false">('Plant loading'!N23)*54.5/1000-C216</f>
        <v>0</v>
      </c>
      <c r="E216" s="595" t="n">
        <f aca="false">'Plant loading'!J23/2</f>
        <v>63</v>
      </c>
      <c r="F216" s="595" t="str">
        <f aca="false">'Plant loading'!C23</f>
        <v>eSure</v>
      </c>
      <c r="G216" s="799" t="n">
        <f aca="false">E216-D216-B216</f>
        <v>11.225</v>
      </c>
    </row>
    <row r="217" customFormat="false" ht="10.15" hidden="false" customHeight="false" outlineLevel="0" collapsed="false">
      <c r="A217" s="595" t="str">
        <f aca="false">'Plant loading'!B24</f>
        <v>PEEEH</v>
      </c>
      <c r="B217" s="799" t="n">
        <f aca="false">('Plant loading'!E24)*54.5/1000</f>
        <v>46.7065</v>
      </c>
      <c r="C217" s="799" t="n">
        <f aca="false">('Plant loading'!AC24)*54.5/1000</f>
        <v>10.573</v>
      </c>
      <c r="D217" s="799" t="n">
        <f aca="false">('Plant loading'!N24)*54.5/1000-C217</f>
        <v>0</v>
      </c>
      <c r="E217" s="595" t="n">
        <f aca="false">'Plant loading'!J24/2</f>
        <v>63</v>
      </c>
      <c r="F217" s="595" t="str">
        <f aca="false">'Plant loading'!C24</f>
        <v>eSure</v>
      </c>
      <c r="G217" s="799" t="n">
        <f aca="false">E217-D217-B217</f>
        <v>16.2935</v>
      </c>
    </row>
    <row r="218" customFormat="false" ht="10.15" hidden="false" customHeight="false" outlineLevel="0" collapsed="false">
      <c r="A218" s="595" t="str">
        <f aca="false">'Plant loading'!B25</f>
        <v>PEFEH</v>
      </c>
      <c r="B218" s="799" t="n">
        <f aca="false">('Plant loading'!E25)*54.5/1000</f>
        <v>47.633</v>
      </c>
      <c r="C218" s="799" t="n">
        <f aca="false">('Plant loading'!AC25)*54.5/1000</f>
        <v>9.374</v>
      </c>
      <c r="D218" s="799" t="n">
        <f aca="false">('Plant loading'!N25)*54.5/1000-C218</f>
        <v>0</v>
      </c>
      <c r="E218" s="595" t="n">
        <f aca="false">'Plant loading'!J25/2</f>
        <v>63</v>
      </c>
      <c r="F218" s="595" t="str">
        <f aca="false">'Plant loading'!C25</f>
        <v>eSure</v>
      </c>
      <c r="G218" s="799" t="n">
        <f aca="false">E218-D218-B218</f>
        <v>15.367</v>
      </c>
    </row>
    <row r="219" customFormat="false" ht="10.15" hidden="false" customHeight="false" outlineLevel="0" collapsed="false">
      <c r="A219" s="595" t="str">
        <f aca="false">'Plant loading'!B26</f>
        <v>PEGEH</v>
      </c>
      <c r="B219" s="799" t="n">
        <f aca="false">('Plant loading'!E26)*54.5/1000</f>
        <v>50.576</v>
      </c>
      <c r="C219" s="799" t="n">
        <f aca="false">('Plant loading'!AC26)*54.5/1000</f>
        <v>9.9735</v>
      </c>
      <c r="D219" s="799" t="n">
        <f aca="false">('Plant loading'!N26)*54.5/1000-C219</f>
        <v>0</v>
      </c>
      <c r="E219" s="595" t="n">
        <f aca="false">'Plant loading'!J26/2</f>
        <v>63</v>
      </c>
      <c r="F219" s="595" t="str">
        <f aca="false">'Plant loading'!C26</f>
        <v>eSure</v>
      </c>
      <c r="G219" s="799" t="n">
        <f aca="false">E219-D219-B219</f>
        <v>12.424</v>
      </c>
    </row>
    <row r="220" customFormat="false" ht="10.15" hidden="false" customHeight="false" outlineLevel="0" collapsed="false">
      <c r="A220" s="595" t="str">
        <f aca="false">'Plant loading'!B28</f>
        <v>PEDER</v>
      </c>
      <c r="B220" s="799" t="n">
        <f aca="false">('Plant loading'!E28)*54.5/1000</f>
        <v>20.6555</v>
      </c>
      <c r="C220" s="799" t="n">
        <f aca="false">('Plant loading'!AC28)*54.5/1000</f>
        <v>0</v>
      </c>
      <c r="D220" s="799" t="n">
        <f aca="false">('Plant loading'!N28)*54.5/1000-C220</f>
        <v>0</v>
      </c>
      <c r="E220" s="595" t="n">
        <f aca="false">'Plant loading'!J28/2</f>
        <v>63</v>
      </c>
      <c r="F220" s="595" t="str">
        <f aca="false">'Plant loading'!C28</f>
        <v>eSure</v>
      </c>
      <c r="G220" s="799" t="n">
        <f aca="false">E220-D220-B220</f>
        <v>42.3445</v>
      </c>
    </row>
    <row r="221" customFormat="false" ht="10.15" hidden="false" customHeight="false" outlineLevel="0" collapsed="false">
      <c r="A221" s="595" t="str">
        <f aca="false">'Plant loading'!B29</f>
        <v>PEEER</v>
      </c>
      <c r="B221" s="799" t="n">
        <f aca="false">('Plant loading'!E29)*54.5/1000</f>
        <v>16.5135</v>
      </c>
      <c r="C221" s="799" t="n">
        <f aca="false">('Plant loading'!AC29)*54.5/1000</f>
        <v>0</v>
      </c>
      <c r="D221" s="799" t="n">
        <f aca="false">('Plant loading'!N29)*54.5/1000-C221</f>
        <v>0</v>
      </c>
      <c r="E221" s="595" t="n">
        <f aca="false">'Plant loading'!J29/2</f>
        <v>63</v>
      </c>
      <c r="F221" s="595" t="str">
        <f aca="false">'Plant loading'!C29</f>
        <v>eSure</v>
      </c>
      <c r="G221" s="799" t="n">
        <f aca="false">E221-D221-B221</f>
        <v>46.4865</v>
      </c>
    </row>
    <row r="222" customFormat="false" ht="10.15" hidden="false" customHeight="false" outlineLevel="0" collapsed="false">
      <c r="A222" s="595" t="str">
        <f aca="false">'Plant loading'!B30</f>
        <v>PEFER</v>
      </c>
      <c r="B222" s="799" t="n">
        <f aca="false">('Plant loading'!E30)*54.5/1000</f>
        <v>19.62</v>
      </c>
      <c r="C222" s="799" t="n">
        <f aca="false">('Plant loading'!AC30)*54.5/1000</f>
        <v>0</v>
      </c>
      <c r="D222" s="799" t="n">
        <f aca="false">('Plant loading'!N30)*54.5/1000-C222</f>
        <v>0</v>
      </c>
      <c r="E222" s="595" t="n">
        <f aca="false">'Plant loading'!J30/2</f>
        <v>63</v>
      </c>
      <c r="F222" s="595" t="str">
        <f aca="false">'Plant loading'!C30</f>
        <v>eSure</v>
      </c>
      <c r="G222" s="799" t="n">
        <f aca="false">E222-D222-B222</f>
        <v>43.38</v>
      </c>
    </row>
    <row r="223" customFormat="false" ht="10.15" hidden="false" customHeight="false" outlineLevel="0" collapsed="false">
      <c r="A223" s="595" t="str">
        <f aca="false">'Plant loading'!B31</f>
        <v>PEGER</v>
      </c>
      <c r="B223" s="799" t="n">
        <f aca="false">('Plant loading'!E31)*54.5/1000</f>
        <v>11.9355</v>
      </c>
      <c r="C223" s="799" t="n">
        <f aca="false">('Plant loading'!AC31)*54.5/1000</f>
        <v>0</v>
      </c>
      <c r="D223" s="799" t="n">
        <f aca="false">('Plant loading'!N31)*54.5/1000-C223</f>
        <v>0</v>
      </c>
      <c r="E223" s="595" t="n">
        <f aca="false">'Plant loading'!J31/2</f>
        <v>63</v>
      </c>
      <c r="F223" s="595" t="str">
        <f aca="false">'Plant loading'!C31</f>
        <v>eSure</v>
      </c>
      <c r="G223" s="799" t="n">
        <f aca="false">E223-D223-B223</f>
        <v>51.0645</v>
      </c>
    </row>
    <row r="224" customFormat="false" ht="10.15" hidden="false" customHeight="false" outlineLevel="0" collapsed="false">
      <c r="A224" s="595" t="str">
        <f aca="false">'Plant loading'!B47</f>
        <v>PEAKS</v>
      </c>
      <c r="B224" s="799" t="n">
        <f aca="false">('Plant loading'!E47)*54.5/1000</f>
        <v>13.0255</v>
      </c>
      <c r="C224" s="799" t="n">
        <f aca="false">('Plant loading'!AC47)*54.5/1000</f>
        <v>0</v>
      </c>
      <c r="D224" s="799" t="n">
        <f aca="false">('Plant loading'!N47)*54.5/1000-C224</f>
        <v>0</v>
      </c>
      <c r="E224" s="595" t="n">
        <f aca="false">'Plant loading'!J47/2</f>
        <v>42</v>
      </c>
      <c r="F224" s="595" t="str">
        <f aca="false">'Plant loading'!C47</f>
        <v>eSure</v>
      </c>
      <c r="G224" s="799" t="n">
        <f aca="false">E224-D224-B224</f>
        <v>28.9745</v>
      </c>
    </row>
    <row r="225" customFormat="false" ht="10.15" hidden="false" customHeight="false" outlineLevel="0" collapsed="false">
      <c r="A225" s="595" t="str">
        <f aca="false">'Plant loading'!B48</f>
        <v>PEBKS</v>
      </c>
      <c r="B225" s="799" t="n">
        <f aca="false">('Plant loading'!E48)*54.5/1000</f>
        <v>18.0395</v>
      </c>
      <c r="C225" s="799" t="n">
        <f aca="false">('Plant loading'!AC48)*54.5/1000</f>
        <v>0</v>
      </c>
      <c r="D225" s="799" t="n">
        <f aca="false">('Plant loading'!N48)*54.5/1000-C225</f>
        <v>0</v>
      </c>
      <c r="E225" s="595" t="n">
        <f aca="false">'Plant loading'!J48/2</f>
        <v>52.5</v>
      </c>
      <c r="F225" s="595" t="str">
        <f aca="false">'Plant loading'!C48</f>
        <v>eSure</v>
      </c>
      <c r="G225" s="799" t="n">
        <f aca="false">E225-D225-B225</f>
        <v>34.4605</v>
      </c>
    </row>
    <row r="226" customFormat="false" ht="10.15" hidden="false" customHeight="false" outlineLevel="0" collapsed="false">
      <c r="A226" s="595" t="e">
        <f aca="false">'plant loading'!#ref!</f>
        <v>#VALUE!</v>
      </c>
      <c r="B226" s="799" t="e">
        <f aca="false">('plant loading'!#ref!)*54.5/1000</f>
        <v>#VALUE!</v>
      </c>
      <c r="C226" s="799" t="e">
        <f aca="false">('plant loading'!#ref!)*54.5/1000</f>
        <v>#VALUE!</v>
      </c>
      <c r="D226" s="799" t="e">
        <f aca="false">('plant loading'!#ref!)*54.5/1000-C226</f>
        <v>#VALUE!</v>
      </c>
      <c r="E226" s="595" t="e">
        <f aca="false">'plant loading'!#ref!/2</f>
        <v>#VALUE!</v>
      </c>
      <c r="F226" s="595" t="e">
        <f aca="false">'plant loading'!#ref!</f>
        <v>#VALUE!</v>
      </c>
      <c r="G226" s="799" t="e">
        <f aca="false">E226-D226-B226</f>
        <v>#VALUE!</v>
      </c>
    </row>
    <row r="227" customFormat="false" ht="10.15" hidden="false" customHeight="false" outlineLevel="0" collapsed="false">
      <c r="A227" s="595" t="e">
        <f aca="false">'plant loading'!#ref!</f>
        <v>#VALUE!</v>
      </c>
      <c r="B227" s="799" t="e">
        <f aca="false">('plant loading'!#ref!)*54.5/1000</f>
        <v>#VALUE!</v>
      </c>
      <c r="C227" s="799" t="e">
        <f aca="false">('plant loading'!#ref!)*54.5/1000</f>
        <v>#VALUE!</v>
      </c>
      <c r="D227" s="799" t="e">
        <f aca="false">('plant loading'!#ref!)*54.5/1000-C227</f>
        <v>#VALUE!</v>
      </c>
      <c r="E227" s="595" t="e">
        <f aca="false">'plant loading'!#ref!/2</f>
        <v>#VALUE!</v>
      </c>
      <c r="F227" s="595" t="e">
        <f aca="false">'plant loading'!#ref!</f>
        <v>#VALUE!</v>
      </c>
      <c r="G227" s="799" t="e">
        <f aca="false">E227-D227-B227</f>
        <v>#VALUE!</v>
      </c>
    </row>
    <row r="228" customFormat="false" ht="10.15" hidden="false" customHeight="false" outlineLevel="0" collapsed="false">
      <c r="A228" s="595" t="str">
        <f aca="false">'Plant loading'!B49</f>
        <v>PEEKS</v>
      </c>
      <c r="B228" s="799" t="n">
        <f aca="false">('Plant loading'!E49)*54.5/1000</f>
        <v>5.45</v>
      </c>
      <c r="C228" s="799" t="n">
        <f aca="false">('Plant loading'!AC49)*54.5/1000</f>
        <v>0</v>
      </c>
      <c r="D228" s="799" t="n">
        <f aca="false">('Plant loading'!N49)*54.5/1000-C228</f>
        <v>0</v>
      </c>
      <c r="E228" s="595" t="n">
        <f aca="false">'Plant loading'!J49/2</f>
        <v>21</v>
      </c>
      <c r="F228" s="595" t="str">
        <f aca="false">'Plant loading'!C49</f>
        <v>eSure</v>
      </c>
      <c r="G228" s="799" t="n">
        <f aca="false">E228-D228-B228</f>
        <v>15.55</v>
      </c>
    </row>
    <row r="229" customFormat="false" ht="10.15" hidden="false" customHeight="false" outlineLevel="0" collapsed="false">
      <c r="A229" s="595" t="str">
        <f aca="false">'Plant loading'!B50</f>
        <v>PEIKS</v>
      </c>
      <c r="B229" s="799" t="n">
        <f aca="false">('Plant loading'!E50)*54.5/1000</f>
        <v>26.4325</v>
      </c>
      <c r="C229" s="799" t="n">
        <f aca="false">('Plant loading'!AC50)*54.5/1000</f>
        <v>0</v>
      </c>
      <c r="D229" s="799" t="n">
        <f aca="false">('Plant loading'!N50)*54.5/1000-C229</f>
        <v>0</v>
      </c>
      <c r="E229" s="595" t="n">
        <f aca="false">'Plant loading'!J50/2</f>
        <v>63</v>
      </c>
      <c r="F229" s="595" t="str">
        <f aca="false">'Plant loading'!C50</f>
        <v>eSure</v>
      </c>
      <c r="G229" s="799" t="n">
        <f aca="false">E229-D229-B229</f>
        <v>36.5675</v>
      </c>
    </row>
    <row r="230" customFormat="false" ht="10.15" hidden="false" customHeight="false" outlineLevel="0" collapsed="false">
      <c r="A230" s="595" t="str">
        <f aca="false">'Plant loading'!B51</f>
        <v>PEJKS</v>
      </c>
      <c r="B230" s="799" t="n">
        <f aca="false">('Plant loading'!E51)*54.5/1000</f>
        <v>12.971</v>
      </c>
      <c r="C230" s="799" t="n">
        <f aca="false">('Plant loading'!AC51)*54.5/1000</f>
        <v>0</v>
      </c>
      <c r="D230" s="799" t="n">
        <f aca="false">('Plant loading'!N51)*54.5/1000-C230</f>
        <v>0</v>
      </c>
      <c r="E230" s="595" t="n">
        <f aca="false">'Plant loading'!J51/2</f>
        <v>63</v>
      </c>
      <c r="F230" s="595" t="str">
        <f aca="false">'Plant loading'!C51</f>
        <v>eSure</v>
      </c>
      <c r="G230" s="799" t="n">
        <f aca="false">E230-D230-B230</f>
        <v>50.029</v>
      </c>
    </row>
    <row r="231" customFormat="false" ht="10.15" hidden="false" customHeight="false" outlineLevel="0" collapsed="false">
      <c r="A231" s="595" t="str">
        <f aca="false">'Plant loading'!B52</f>
        <v>PEKKS</v>
      </c>
      <c r="B231" s="799" t="n">
        <f aca="false">('Plant loading'!E52)*54.5/1000</f>
        <v>23.326</v>
      </c>
      <c r="C231" s="799" t="n">
        <f aca="false">('Plant loading'!AC52)*54.5/1000</f>
        <v>0</v>
      </c>
      <c r="D231" s="799" t="n">
        <f aca="false">('Plant loading'!N52)*54.5/1000-C231</f>
        <v>0</v>
      </c>
      <c r="E231" s="595" t="n">
        <f aca="false">'Plant loading'!J52/2</f>
        <v>52.5</v>
      </c>
      <c r="F231" s="595" t="str">
        <f aca="false">'Plant loading'!C52</f>
        <v>eSure</v>
      </c>
      <c r="G231" s="799" t="n">
        <f aca="false">E231-D231-B231</f>
        <v>29.174</v>
      </c>
    </row>
    <row r="232" customFormat="false" ht="10.15" hidden="false" customHeight="false" outlineLevel="0" collapsed="false">
      <c r="A232" s="595" t="str">
        <f aca="false">'Plant loading'!B53</f>
        <v>PELKS</v>
      </c>
      <c r="B232" s="799" t="n">
        <f aca="false">('Plant loading'!E53)*54.5/1000</f>
        <v>8.4475</v>
      </c>
      <c r="C232" s="799" t="n">
        <f aca="false">('Plant loading'!AC53)*54.5/1000</f>
        <v>0</v>
      </c>
      <c r="D232" s="799" t="n">
        <f aca="false">('Plant loading'!N53)*54.5/1000-C232</f>
        <v>0</v>
      </c>
      <c r="E232" s="595" t="n">
        <f aca="false">'Plant loading'!J53/2</f>
        <v>42</v>
      </c>
      <c r="F232" s="595" t="str">
        <f aca="false">'Plant loading'!C53</f>
        <v>eSure</v>
      </c>
      <c r="G232" s="799" t="n">
        <f aca="false">E232-D232-B232</f>
        <v>33.5525</v>
      </c>
    </row>
    <row r="233" customFormat="false" ht="10.15" hidden="false" customHeight="false" outlineLevel="0" collapsed="false">
      <c r="A233" s="595" t="str">
        <f aca="false">'Plant loading'!B54</f>
        <v>PEMKS</v>
      </c>
      <c r="B233" s="799" t="n">
        <f aca="false">('Plant loading'!E54)*54.5/1000</f>
        <v>7.4665</v>
      </c>
      <c r="C233" s="799" t="n">
        <f aca="false">('Plant loading'!AC54)*54.5/1000</f>
        <v>0</v>
      </c>
      <c r="D233" s="799" t="n">
        <f aca="false">('Plant loading'!N54)*54.5/1000-C233</f>
        <v>0</v>
      </c>
      <c r="E233" s="595" t="n">
        <f aca="false">'Plant loading'!J54/2</f>
        <v>42</v>
      </c>
      <c r="F233" s="595" t="str">
        <f aca="false">'Plant loading'!C54</f>
        <v>eSure</v>
      </c>
      <c r="G233" s="799" t="n">
        <f aca="false">E233-D233-B233</f>
        <v>34.5335</v>
      </c>
    </row>
    <row r="234" customFormat="false" ht="10.15" hidden="false" customHeight="false" outlineLevel="0" collapsed="false">
      <c r="A234" s="595" t="str">
        <f aca="false">'Plant loading'!B55</f>
        <v>PENKS</v>
      </c>
      <c r="B234" s="799" t="n">
        <f aca="false">('Plant loading'!E55)*54.5/1000</f>
        <v>5.5045</v>
      </c>
      <c r="C234" s="799" t="n">
        <f aca="false">('Plant loading'!AC55)*54.5/1000</f>
        <v>0</v>
      </c>
      <c r="D234" s="799" t="n">
        <f aca="false">('Plant loading'!N55)*54.5/1000-C234</f>
        <v>0</v>
      </c>
      <c r="E234" s="595" t="n">
        <f aca="false">'Plant loading'!J55/2</f>
        <v>21</v>
      </c>
      <c r="F234" s="595" t="str">
        <f aca="false">'Plant loading'!C55</f>
        <v>eSure</v>
      </c>
      <c r="G234" s="799" t="n">
        <f aca="false">E234-D234-B234</f>
        <v>15.4955</v>
      </c>
    </row>
    <row r="235" customFormat="false" ht="10.15" hidden="false" customHeight="false" outlineLevel="0" collapsed="false">
      <c r="A235" s="595" t="str">
        <f aca="false">'Plant loading'!B85</f>
        <v>PEASN</v>
      </c>
      <c r="B235" s="799" t="n">
        <f aca="false">('Plant loading'!E85)*54.5/1000</f>
        <v>19.4565</v>
      </c>
      <c r="C235" s="799" t="n">
        <f aca="false">('Plant loading'!AC85)*54.5/1000</f>
        <v>0</v>
      </c>
      <c r="D235" s="799" t="n">
        <f aca="false">('Plant loading'!N85)*54.5/1000-C235</f>
        <v>0</v>
      </c>
      <c r="E235" s="595" t="n">
        <f aca="false">'Plant loading'!J85/2</f>
        <v>63</v>
      </c>
      <c r="F235" s="595" t="str">
        <f aca="false">'Plant loading'!C85</f>
        <v>eSure</v>
      </c>
      <c r="G235" s="799" t="n">
        <f aca="false">E235-D235-B235</f>
        <v>43.5435</v>
      </c>
    </row>
    <row r="236" customFormat="false" ht="10.15" hidden="false" customHeight="false" outlineLevel="0" collapsed="false">
      <c r="A236" s="595" t="str">
        <f aca="false">'Plant loading'!B86</f>
        <v>PEBSN</v>
      </c>
      <c r="B236" s="799" t="n">
        <f aca="false">('Plant loading'!E86)*54.5/1000</f>
        <v>26.596</v>
      </c>
      <c r="C236" s="799" t="n">
        <f aca="false">('Plant loading'!AC86)*54.5/1000</f>
        <v>0</v>
      </c>
      <c r="D236" s="799" t="n">
        <f aca="false">('Plant loading'!N86)*54.5/1000-C236</f>
        <v>0</v>
      </c>
      <c r="E236" s="595" t="n">
        <f aca="false">'Plant loading'!J86/2</f>
        <v>63</v>
      </c>
      <c r="F236" s="595" t="str">
        <f aca="false">'Plant loading'!C86</f>
        <v>eSure</v>
      </c>
      <c r="G236" s="799" t="n">
        <f aca="false">E236-D236-B236</f>
        <v>36.404</v>
      </c>
    </row>
    <row r="237" customFormat="false" ht="10.15" hidden="false" customHeight="false" outlineLevel="0" collapsed="false">
      <c r="A237" s="595" t="str">
        <f aca="false">'Plant loading'!B87</f>
        <v>PECSN</v>
      </c>
      <c r="B237" s="799" t="n">
        <f aca="false">('Plant loading'!E87)*54.5/1000</f>
        <v>24.4705</v>
      </c>
      <c r="C237" s="799" t="n">
        <f aca="false">('Plant loading'!AC87)*54.5/1000</f>
        <v>0</v>
      </c>
      <c r="D237" s="799" t="n">
        <f aca="false">('Plant loading'!N87)*54.5/1000-C237</f>
        <v>0</v>
      </c>
      <c r="E237" s="595" t="n">
        <f aca="false">'Plant loading'!J87/2</f>
        <v>63</v>
      </c>
      <c r="F237" s="595" t="str">
        <f aca="false">'Plant loading'!C87</f>
        <v>eSure</v>
      </c>
      <c r="G237" s="799" t="n">
        <f aca="false">E237-D237-B237</f>
        <v>38.5295</v>
      </c>
    </row>
    <row r="238" customFormat="false" ht="10.15" hidden="false" customHeight="false" outlineLevel="0" collapsed="false">
      <c r="A238" s="595" t="str">
        <f aca="false">'Plant loading'!B88</f>
        <v>PEESN</v>
      </c>
      <c r="B238" s="799" t="n">
        <f aca="false">('Plant loading'!E88)*54.5/1000</f>
        <v>17.1675</v>
      </c>
      <c r="C238" s="799" t="n">
        <f aca="false">('Plant loading'!AC88)*54.5/1000</f>
        <v>0</v>
      </c>
      <c r="D238" s="799" t="n">
        <f aca="false">('Plant loading'!N88)*54.5/1000-C238</f>
        <v>0</v>
      </c>
      <c r="E238" s="595" t="n">
        <f aca="false">'Plant loading'!J88/2</f>
        <v>63</v>
      </c>
      <c r="F238" s="595" t="str">
        <f aca="false">'Plant loading'!C88</f>
        <v>eSure</v>
      </c>
      <c r="G238" s="799" t="n">
        <f aca="false">E238-D238-B238</f>
        <v>45.8325</v>
      </c>
    </row>
    <row r="239" customFormat="false" ht="10.15" hidden="false" customHeight="false" outlineLevel="0" collapsed="false">
      <c r="A239" s="595" t="str">
        <f aca="false">'Plant loading'!B89</f>
        <v>PEASY</v>
      </c>
      <c r="B239" s="799" t="n">
        <f aca="false">('Plant loading'!E89)*54.5/1000</f>
        <v>29.3755</v>
      </c>
      <c r="C239" s="799" t="n">
        <f aca="false">('Plant loading'!AC89)*54.5/1000</f>
        <v>0</v>
      </c>
      <c r="D239" s="799" t="n">
        <f aca="false">('Plant loading'!N89)*54.5/1000-C239</f>
        <v>0</v>
      </c>
      <c r="E239" s="595" t="n">
        <f aca="false">'Plant loading'!J89/2</f>
        <v>63</v>
      </c>
      <c r="F239" s="595" t="str">
        <f aca="false">'Plant loading'!C89</f>
        <v>eSure</v>
      </c>
      <c r="G239" s="799" t="n">
        <f aca="false">E239-D239-B239</f>
        <v>33.6245</v>
      </c>
    </row>
    <row r="240" customFormat="false" ht="10.15" hidden="false" customHeight="false" outlineLevel="0" collapsed="false">
      <c r="A240" s="595" t="str">
        <f aca="false">'Plant loading'!B90</f>
        <v>PEBSY</v>
      </c>
      <c r="B240" s="799" t="n">
        <f aca="false">('Plant loading'!E90)*54.5/1000</f>
        <v>25.179</v>
      </c>
      <c r="C240" s="799" t="n">
        <f aca="false">('Plant loading'!AC90)*54.5/1000</f>
        <v>0</v>
      </c>
      <c r="D240" s="799" t="n">
        <f aca="false">('Plant loading'!N90)*54.5/1000-C240</f>
        <v>0</v>
      </c>
      <c r="E240" s="595" t="n">
        <f aca="false">'Plant loading'!J90/2</f>
        <v>63</v>
      </c>
      <c r="F240" s="595" t="str">
        <f aca="false">'Plant loading'!C90</f>
        <v>eSure</v>
      </c>
      <c r="G240" s="799" t="n">
        <f aca="false">E240-D240-B240</f>
        <v>37.821</v>
      </c>
    </row>
    <row r="241" customFormat="false" ht="10.15" hidden="false" customHeight="false" outlineLevel="0" collapsed="false">
      <c r="A241" s="595" t="str">
        <f aca="false">'Plant loading'!B91</f>
        <v>PECSY</v>
      </c>
      <c r="B241" s="799" t="n">
        <f aca="false">('Plant loading'!E91)*54.5/1000</f>
        <v>21.6365</v>
      </c>
      <c r="C241" s="799" t="n">
        <f aca="false">('Plant loading'!AC91)*54.5/1000</f>
        <v>0</v>
      </c>
      <c r="D241" s="799" t="n">
        <f aca="false">('Plant loading'!N91)*54.5/1000-C241</f>
        <v>0</v>
      </c>
      <c r="E241" s="595" t="n">
        <f aca="false">'Plant loading'!J91/2</f>
        <v>63</v>
      </c>
      <c r="F241" s="595" t="str">
        <f aca="false">'Plant loading'!C91</f>
        <v>eSure</v>
      </c>
      <c r="G241" s="799" t="n">
        <f aca="false">E241-D241-B241</f>
        <v>41.3635</v>
      </c>
    </row>
    <row r="242" customFormat="false" ht="10.15" hidden="false" customHeight="false" outlineLevel="0" collapsed="false">
      <c r="A242" s="595" t="str">
        <f aca="false">'Plant loading'!B92</f>
        <v>PEDSY</v>
      </c>
      <c r="B242" s="799" t="n">
        <f aca="false">('Plant loading'!E92)*54.5/1000</f>
        <v>15.369</v>
      </c>
      <c r="C242" s="799" t="n">
        <f aca="false">('Plant loading'!AC92)*54.5/1000</f>
        <v>0</v>
      </c>
      <c r="D242" s="799" t="n">
        <f aca="false">('Plant loading'!N92)*54.5/1000-C242</f>
        <v>0</v>
      </c>
      <c r="E242" s="595" t="n">
        <f aca="false">'Plant loading'!J92/2</f>
        <v>63</v>
      </c>
      <c r="F242" s="595" t="str">
        <f aca="false">'Plant loading'!C92</f>
        <v>eSure</v>
      </c>
      <c r="G242" s="799" t="n">
        <f aca="false">E242-D242-B242</f>
        <v>47.631</v>
      </c>
    </row>
    <row r="243" customFormat="false" ht="10.15" hidden="false" customHeight="false" outlineLevel="0" collapsed="false">
      <c r="A243" s="595" t="str">
        <f aca="false">'Plant loading'!B93</f>
        <v>PEESY</v>
      </c>
      <c r="B243" s="799" t="n">
        <f aca="false">('Plant loading'!E93)*54.5/1000</f>
        <v>17.2765</v>
      </c>
      <c r="C243" s="799" t="n">
        <f aca="false">('Plant loading'!AC93)*54.5/1000</f>
        <v>0</v>
      </c>
      <c r="D243" s="799" t="n">
        <f aca="false">('Plant loading'!N93)*54.5/1000-C243</f>
        <v>0</v>
      </c>
      <c r="E243" s="595" t="n">
        <f aca="false">'Plant loading'!J93/2</f>
        <v>52.5</v>
      </c>
      <c r="F243" s="595" t="str">
        <f aca="false">'Plant loading'!C93</f>
        <v>eSure</v>
      </c>
      <c r="G243" s="799" t="n">
        <f aca="false">E243-D243-B243</f>
        <v>35.2235</v>
      </c>
    </row>
    <row r="244" customFormat="false" ht="10.15" hidden="false" customHeight="false" outlineLevel="0" collapsed="false">
      <c r="A244" s="595"/>
      <c r="B244" s="764" t="s">
        <v>741</v>
      </c>
      <c r="C244" s="764" t="s">
        <v>711</v>
      </c>
      <c r="D244" s="764" t="s">
        <v>742</v>
      </c>
      <c r="E244" s="764" t="s">
        <v>710</v>
      </c>
    </row>
    <row r="245" customFormat="false" ht="10.15" hidden="false" customHeight="false" outlineLevel="0" collapsed="false">
      <c r="A245" s="595" t="s">
        <v>743</v>
      </c>
      <c r="B245" s="450" t="n">
        <f aca="false">SUM('Inverter Loading'!O34:O35)/3</f>
        <v>16.7133333333333</v>
      </c>
      <c r="C245" s="450" t="n">
        <f aca="false">746*54.5/1000</f>
        <v>40.657</v>
      </c>
      <c r="D245" s="450" t="n">
        <f aca="false">186*54.5/1000</f>
        <v>10.137</v>
      </c>
      <c r="E245" s="450" t="n">
        <f aca="false">123*54.5/1000</f>
        <v>6.7035</v>
      </c>
    </row>
    <row r="246" customFormat="false" ht="10.15" hidden="false" customHeight="false" outlineLevel="0" collapsed="false">
      <c r="A246" s="595" t="s">
        <v>744</v>
      </c>
      <c r="B246" s="450" t="n">
        <f aca="false">SUM('Inverter Loading'!O34:O35)/3</f>
        <v>16.7133333333333</v>
      </c>
      <c r="C246" s="450" t="n">
        <f aca="false">640*54.5/1000</f>
        <v>34.88</v>
      </c>
      <c r="D246" s="450" t="n">
        <f aca="false">146*54.5/1000</f>
        <v>7.957</v>
      </c>
      <c r="E246" s="450" t="n">
        <f aca="false">269*54.5/1000</f>
        <v>14.6605</v>
      </c>
    </row>
    <row r="247" customFormat="false" ht="10.15" hidden="false" customHeight="false" outlineLevel="0" collapsed="false">
      <c r="A247" s="595" t="s">
        <v>745</v>
      </c>
      <c r="B247" s="450" t="n">
        <f aca="false">SUM('Inverter Loading'!O34:O35)/3</f>
        <v>16.7133333333333</v>
      </c>
      <c r="C247" s="450" t="n">
        <f aca="false">791*54.5/1000</f>
        <v>43.1095</v>
      </c>
      <c r="D247" s="450" t="n">
        <f aca="false">90*54.5/1000</f>
        <v>4.905</v>
      </c>
      <c r="E247" s="450" t="n">
        <f aca="false">174*54.5/1000</f>
        <v>9.483</v>
      </c>
    </row>
    <row r="248" customFormat="false" ht="10.15" hidden="false" customHeight="false" outlineLevel="0" collapsed="false">
      <c r="A248" s="595" t="s">
        <v>746</v>
      </c>
      <c r="B248" s="450" t="n">
        <f aca="false">SUM('Inverter Loading'!O34:O35)/3</f>
        <v>16.7133333333333</v>
      </c>
      <c r="C248" s="450" t="n">
        <f aca="false">617*54.5/1000</f>
        <v>33.6265</v>
      </c>
      <c r="D248" s="450" t="n">
        <v>0</v>
      </c>
      <c r="E248" s="450" t="n">
        <f aca="false">438*54.5/1000</f>
        <v>23.871</v>
      </c>
    </row>
    <row r="249" customFormat="false" ht="10.15" hidden="false" customHeight="false" outlineLevel="0" collapsed="false">
      <c r="A249" s="595" t="s">
        <v>747</v>
      </c>
      <c r="B249" s="450" t="n">
        <f aca="false">SUM('Inverter Loading'!O34:O35)/3</f>
        <v>16.7133333333333</v>
      </c>
      <c r="C249" s="450" t="n">
        <f aca="false">690*54.5/1000</f>
        <v>37.605</v>
      </c>
      <c r="D249" s="450" t="n">
        <v>0</v>
      </c>
      <c r="E249" s="450" t="n">
        <f aca="false">365*54.5/1000</f>
        <v>19.8925</v>
      </c>
    </row>
    <row r="250" customFormat="false" ht="10.15" hidden="false" customHeight="false" outlineLevel="0" collapsed="false">
      <c r="A250" s="595" t="s">
        <v>748</v>
      </c>
      <c r="B250" s="450" t="n">
        <f aca="false">SUM('Inverter Loading'!O34:O35)/3</f>
        <v>16.7133333333333</v>
      </c>
      <c r="C250" s="450" t="n">
        <f aca="false">634*54.5/1000</f>
        <v>34.553</v>
      </c>
      <c r="D250" s="450" t="n">
        <v>0</v>
      </c>
      <c r="E250" s="450" t="n">
        <f aca="false">421*54.5/1000</f>
        <v>22.9445</v>
      </c>
    </row>
  </sheetData>
  <printOptions headings="false" gridLines="false" gridLinesSet="true" horizontalCentered="false" verticalCentered="false"/>
  <pageMargins left="0.75" right="0.75" top="1" bottom="1" header="0.511805555555555" footer="0.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1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66796875" defaultRowHeight="10.15" zeroHeight="false" outlineLevelRow="0" outlineLevelCol="0"/>
  <cols>
    <col collapsed="false" customWidth="true" hidden="false" outlineLevel="0" max="1" min="1" style="0" width="32.17"/>
    <col collapsed="false" customWidth="true" hidden="false" outlineLevel="0" max="2" min="2" style="0" width="21.17"/>
    <col collapsed="false" customWidth="true" hidden="false" outlineLevel="0" max="4" min="3" style="0" width="22.17"/>
    <col collapsed="false" customWidth="true" hidden="false" outlineLevel="0" max="5" min="5" style="0" width="23.66"/>
    <col collapsed="false" customWidth="true" hidden="false" outlineLevel="0" max="6" min="6" style="0" width="4.17"/>
    <col collapsed="false" customWidth="true" hidden="false" outlineLevel="0" max="7" min="7" style="0" width="24.66"/>
    <col collapsed="false" customWidth="true" hidden="false" outlineLevel="0" max="8" min="8" style="0" width="24.17"/>
    <col collapsed="false" customWidth="true" hidden="false" outlineLevel="0" max="9" min="9" style="0" width="16"/>
    <col collapsed="false" customWidth="true" hidden="false" outlineLevel="0" max="11" min="10" style="0" width="15.17"/>
    <col collapsed="false" customWidth="true" hidden="false" outlineLevel="0" max="12" min="12" style="0" width="10.5"/>
    <col collapsed="false" customWidth="true" hidden="false" outlineLevel="0" max="13" min="13" style="0" width="11.17"/>
    <col collapsed="false" customWidth="true" hidden="false" outlineLevel="0" max="14" min="14" style="0" width="9.5"/>
    <col collapsed="false" customWidth="true" hidden="false" outlineLevel="0" max="15" min="15" style="0" width="6.17"/>
    <col collapsed="false" customWidth="true" hidden="false" outlineLevel="0" max="16" min="16" style="0" width="12.5"/>
  </cols>
  <sheetData>
    <row r="1" customFormat="false" ht="13.15" hidden="false" customHeight="false" outlineLevel="0" collapsed="false">
      <c r="A1" s="568" t="s">
        <v>749</v>
      </c>
    </row>
    <row r="2" customFormat="false" ht="26.45" hidden="false" customHeight="false" outlineLevel="0" collapsed="false">
      <c r="A2" s="568" t="s">
        <v>524</v>
      </c>
      <c r="B2" s="568"/>
      <c r="C2" s="567" t="s">
        <v>750</v>
      </c>
      <c r="D2" s="563" t="s">
        <v>553</v>
      </c>
      <c r="E2" s="567" t="s">
        <v>554</v>
      </c>
    </row>
    <row r="3" customFormat="false" ht="10.15" hidden="false" customHeight="false" outlineLevel="0" collapsed="false">
      <c r="A3" s="800" t="str">
        <f aca="false">'Cab Floorspace-Archived'!A34</f>
        <v>XAN</v>
      </c>
      <c r="B3" s="449" t="s">
        <v>751</v>
      </c>
      <c r="C3" s="595" t="n">
        <f aca="false">'Cab Floorspace-Archived'!B34</f>
        <v>847</v>
      </c>
      <c r="D3" s="595" t="n">
        <f aca="false">'Cab Floorspace-Archived'!D34</f>
        <v>2</v>
      </c>
      <c r="E3" s="595" t="n">
        <f aca="false">'Cab Floorspace-Archived'!E34</f>
        <v>94</v>
      </c>
    </row>
    <row r="4" customFormat="false" ht="10.15" hidden="false" customHeight="false" outlineLevel="0" collapsed="false">
      <c r="A4" s="800"/>
      <c r="B4" s="449" t="s">
        <v>752</v>
      </c>
      <c r="C4" s="595" t="n">
        <f aca="false">'Cab Floorspace-Archived'!F34</f>
        <v>136</v>
      </c>
      <c r="D4" s="595" t="n">
        <f aca="false">'Cab Floorspace-Archived'!H34</f>
        <v>0</v>
      </c>
      <c r="E4" s="595" t="n">
        <f aca="false">'Cab Floorspace-Archived'!I34</f>
        <v>190</v>
      </c>
    </row>
    <row r="5" customFormat="false" ht="10.15" hidden="false" customHeight="false" outlineLevel="0" collapsed="false">
      <c r="A5" s="800" t="str">
        <f aca="false">'Cab Floorspace-Archived'!A23</f>
        <v>XBE</v>
      </c>
      <c r="B5" s="449" t="s">
        <v>751</v>
      </c>
      <c r="C5" s="595" t="n">
        <f aca="false">'Cab Floorspace-Archived'!B23</f>
        <v>1353</v>
      </c>
      <c r="D5" s="595" t="n">
        <f aca="false">'Cab Floorspace-Archived'!D23</f>
        <v>0</v>
      </c>
      <c r="E5" s="595" t="n">
        <f aca="false">'Cab Floorspace-Archived'!E23</f>
        <v>261</v>
      </c>
    </row>
    <row r="6" customFormat="false" ht="10.15" hidden="false" customHeight="false" outlineLevel="0" collapsed="false">
      <c r="A6" s="800"/>
      <c r="B6" s="449" t="s">
        <v>752</v>
      </c>
      <c r="C6" s="595" t="n">
        <f aca="false">'Cab Floorspace-Archived'!F23</f>
        <v>259</v>
      </c>
      <c r="D6" s="595" t="n">
        <f aca="false">'Cab Floorspace-Archived'!H23</f>
        <v>8</v>
      </c>
      <c r="E6" s="595" t="n">
        <f aca="false">'Cab Floorspace-Archived'!I23</f>
        <v>318</v>
      </c>
    </row>
    <row r="7" customFormat="false" ht="10.15" hidden="false" customHeight="false" outlineLevel="0" collapsed="false">
      <c r="A7" s="800" t="str">
        <f aca="false">'Cab Floorspace-Archived'!A35</f>
        <v>XCY</v>
      </c>
      <c r="B7" s="449" t="s">
        <v>751</v>
      </c>
      <c r="C7" s="595" t="n">
        <f aca="false">'Cab Floorspace-Archived'!B35</f>
        <v>990</v>
      </c>
      <c r="D7" s="595" t="n">
        <f aca="false">'Cab Floorspace-Archived'!D35</f>
        <v>0</v>
      </c>
      <c r="E7" s="595" t="n">
        <f aca="false">'Cab Floorspace-Archived'!E35</f>
        <v>83</v>
      </c>
    </row>
    <row r="8" customFormat="false" ht="13.15" hidden="false" customHeight="false" outlineLevel="0" collapsed="false">
      <c r="A8" s="800"/>
      <c r="B8" s="449" t="s">
        <v>752</v>
      </c>
      <c r="C8" s="595" t="n">
        <f aca="false">'Cab Floorspace-Archived'!F35</f>
        <v>167</v>
      </c>
      <c r="D8" s="595" t="n">
        <f aca="false">'Cab Floorspace-Archived'!H35</f>
        <v>0</v>
      </c>
      <c r="E8" s="595" t="n">
        <f aca="false">'Cab Floorspace-Archived'!I35</f>
        <v>444</v>
      </c>
      <c r="G8" s="592" t="s">
        <v>514</v>
      </c>
      <c r="H8" s="593" t="s">
        <v>545</v>
      </c>
    </row>
    <row r="9" customFormat="false" ht="10.15" hidden="false" customHeight="false" outlineLevel="0" collapsed="false">
      <c r="A9" s="800" t="str">
        <f aca="false">'Cab Floorspace-Archived'!A28</f>
        <v>XGR</v>
      </c>
      <c r="B9" s="449" t="s">
        <v>751</v>
      </c>
      <c r="C9" s="595" t="n">
        <f aca="false">'Cab Floorspace-Archived'!B28</f>
        <v>930</v>
      </c>
      <c r="D9" s="595" t="n">
        <f aca="false">'Cab Floorspace-Archived'!D28</f>
        <v>10</v>
      </c>
      <c r="E9" s="595" t="n">
        <f aca="false">'Cab Floorspace-Archived'!E28</f>
        <v>104</v>
      </c>
      <c r="G9" s="0" t="n">
        <v>26</v>
      </c>
      <c r="H9" s="573" t="n">
        <f aca="false">INT(G9*600)/800</f>
        <v>19.5</v>
      </c>
    </row>
    <row r="10" customFormat="false" ht="10.15" hidden="false" customHeight="false" outlineLevel="0" collapsed="false">
      <c r="A10" s="800"/>
      <c r="B10" s="449" t="s">
        <v>752</v>
      </c>
      <c r="C10" s="595" t="n">
        <f aca="false">'Cab Floorspace-Archived'!F28</f>
        <v>210</v>
      </c>
      <c r="D10" s="595" t="n">
        <f aca="false">'Cab Floorspace-Archived'!H28</f>
        <v>2</v>
      </c>
      <c r="E10" s="595" t="n">
        <f aca="false">'Cab Floorspace-Archived'!I28</f>
        <v>303</v>
      </c>
      <c r="G10" s="0" t="n">
        <v>11</v>
      </c>
      <c r="H10" s="573" t="n">
        <f aca="false">INT(G10*600)/800</f>
        <v>8.25</v>
      </c>
    </row>
    <row r="11" customFormat="false" ht="10.15" hidden="false" customHeight="false" outlineLevel="0" collapsed="false">
      <c r="A11" s="800" t="str">
        <f aca="false">'Cab Floorspace-Archived'!A27</f>
        <v>XGL</v>
      </c>
      <c r="B11" s="449" t="s">
        <v>751</v>
      </c>
      <c r="C11" s="595" t="n">
        <f aca="false">'Cab Floorspace-Archived'!B27</f>
        <v>878</v>
      </c>
      <c r="D11" s="595" t="n">
        <f aca="false">'Cab Floorspace-Archived'!D27</f>
        <v>0</v>
      </c>
      <c r="E11" s="595" t="n">
        <f aca="false">'Cab Floorspace-Archived'!E27</f>
        <v>155</v>
      </c>
      <c r="H11" s="573"/>
    </row>
    <row r="12" customFormat="false" ht="10.15" hidden="false" customHeight="false" outlineLevel="0" collapsed="false">
      <c r="A12" s="800"/>
      <c r="B12" s="449" t="s">
        <v>752</v>
      </c>
      <c r="C12" s="595" t="n">
        <f aca="false">'Cab Floorspace-Archived'!F27</f>
        <v>265</v>
      </c>
      <c r="D12" s="595" t="n">
        <f aca="false">'Cab Floorspace-Archived'!H27</f>
        <v>0</v>
      </c>
      <c r="E12" s="595" t="n">
        <f aca="false">'Cab Floorspace-Archived'!I27</f>
        <v>133</v>
      </c>
      <c r="H12" s="573"/>
    </row>
    <row r="13" customFormat="false" ht="10.15" hidden="false" customHeight="false" outlineLevel="0" collapsed="false">
      <c r="A13" s="800" t="str">
        <f aca="false">'Cab Floorspace-Archived'!A25</f>
        <v>XLD</v>
      </c>
      <c r="B13" s="449" t="s">
        <v>751</v>
      </c>
      <c r="C13" s="595" t="n">
        <f aca="false">'Cab Floorspace-Archived'!B25</f>
        <v>922</v>
      </c>
      <c r="D13" s="595" t="n">
        <f aca="false">'Cab Floorspace-Archived'!D25</f>
        <v>0</v>
      </c>
      <c r="E13" s="595" t="n">
        <f aca="false">'Cab Floorspace-Archived'!E25</f>
        <v>111</v>
      </c>
      <c r="H13" s="573"/>
    </row>
    <row r="14" customFormat="false" ht="10.15" hidden="false" customHeight="false" outlineLevel="0" collapsed="false">
      <c r="A14" s="800"/>
      <c r="B14" s="449" t="s">
        <v>752</v>
      </c>
      <c r="C14" s="595" t="n">
        <f aca="false">'Cab Floorspace-Archived'!F25</f>
        <v>282</v>
      </c>
      <c r="D14" s="595" t="n">
        <f aca="false">'Cab Floorspace-Archived'!H25</f>
        <v>0</v>
      </c>
      <c r="E14" s="595" t="n">
        <f aca="false">'Cab Floorspace-Archived'!I25</f>
        <v>168</v>
      </c>
      <c r="H14" s="573"/>
    </row>
    <row r="15" customFormat="false" ht="10.15" hidden="false" customHeight="false" outlineLevel="0" collapsed="false">
      <c r="A15" s="800" t="str">
        <f aca="false">'Cab Floorspace-Archived'!A24</f>
        <v>XMS</v>
      </c>
      <c r="B15" s="449" t="s">
        <v>751</v>
      </c>
      <c r="C15" s="595" t="n">
        <f aca="false">'Cab Floorspace-Archived'!B24</f>
        <v>837</v>
      </c>
      <c r="D15" s="595" t="n">
        <f aca="false">'Cab Floorspace-Archived'!D24</f>
        <v>6</v>
      </c>
      <c r="E15" s="595" t="n">
        <f aca="false">'Cab Floorspace-Archived'!E24</f>
        <v>200</v>
      </c>
      <c r="H15" s="573"/>
    </row>
    <row r="16" customFormat="false" ht="10.15" hidden="false" customHeight="false" outlineLevel="0" collapsed="false">
      <c r="A16" s="800"/>
      <c r="B16" s="449" t="s">
        <v>752</v>
      </c>
      <c r="C16" s="595" t="n">
        <f aca="false">'Cab Floorspace-Archived'!F24</f>
        <v>198</v>
      </c>
      <c r="D16" s="595" t="n">
        <f aca="false">'Cab Floorspace-Archived'!H24</f>
        <v>6</v>
      </c>
      <c r="E16" s="595" t="n">
        <f aca="false">'Cab Floorspace-Archived'!I24</f>
        <v>182</v>
      </c>
      <c r="H16" s="573"/>
    </row>
    <row r="17" customFormat="false" ht="10.15" hidden="false" customHeight="false" outlineLevel="0" collapsed="false">
      <c r="A17" s="800" t="str">
        <f aca="false">'Cab Floorspace-Archived'!A29</f>
        <v>XOM</v>
      </c>
      <c r="B17" s="449" t="s">
        <v>751</v>
      </c>
      <c r="C17" s="595" t="n">
        <f aca="false">'Cab Floorspace-Archived'!B29</f>
        <v>1298</v>
      </c>
      <c r="D17" s="595" t="n">
        <f aca="false">'Cab Floorspace-Archived'!D29</f>
        <v>0</v>
      </c>
      <c r="E17" s="595" t="n">
        <f aca="false">'Cab Floorspace-Archived'!E29</f>
        <v>106</v>
      </c>
      <c r="H17" s="573"/>
    </row>
    <row r="18" customFormat="false" ht="10.15" hidden="false" customHeight="false" outlineLevel="0" collapsed="false">
      <c r="A18" s="800"/>
      <c r="B18" s="449" t="s">
        <v>752</v>
      </c>
      <c r="C18" s="595" t="n">
        <f aca="false">'Cab Floorspace-Archived'!F29</f>
        <v>179</v>
      </c>
      <c r="D18" s="595" t="n">
        <f aca="false">'Cab Floorspace-Archived'!H29</f>
        <v>0</v>
      </c>
      <c r="E18" s="595" t="n">
        <f aca="false">'Cab Floorspace-Archived'!I29</f>
        <v>357</v>
      </c>
      <c r="H18" s="573"/>
    </row>
    <row r="19" customFormat="false" ht="10.15" hidden="false" customHeight="false" outlineLevel="0" collapsed="false">
      <c r="A19" s="800" t="str">
        <f aca="false">'Cab Floorspace-Archived'!A41</f>
        <v>XRM</v>
      </c>
      <c r="B19" s="449" t="s">
        <v>751</v>
      </c>
      <c r="C19" s="595" t="n">
        <f aca="false">'Cab Floorspace-Archived'!B41</f>
        <v>1015</v>
      </c>
      <c r="D19" s="595" t="n">
        <f aca="false">'Cab Floorspace-Archived'!D41</f>
        <v>2</v>
      </c>
      <c r="E19" s="595" t="n">
        <f aca="false">'Cab Floorspace-Archived'!E41</f>
        <v>61</v>
      </c>
      <c r="H19" s="573"/>
    </row>
    <row r="20" customFormat="false" ht="13.15" hidden="false" customHeight="false" outlineLevel="0" collapsed="false">
      <c r="A20" s="800"/>
      <c r="B20" s="449" t="s">
        <v>752</v>
      </c>
      <c r="C20" s="595" t="n">
        <f aca="false">'Cab Floorspace-Archived'!F41</f>
        <v>216</v>
      </c>
      <c r="D20" s="595" t="n">
        <f aca="false">'Cab Floorspace-Archived'!H41</f>
        <v>2</v>
      </c>
      <c r="E20" s="595" t="n">
        <f aca="false">'Cab Floorspace-Archived'!I41</f>
        <v>377</v>
      </c>
      <c r="G20" s="568" t="s">
        <v>753</v>
      </c>
    </row>
    <row r="21" customFormat="false" ht="39.6" hidden="false" customHeight="false" outlineLevel="0" collapsed="false">
      <c r="A21" s="543"/>
      <c r="B21" s="449"/>
      <c r="C21" s="595"/>
      <c r="D21" s="595"/>
      <c r="E21" s="595"/>
      <c r="G21" s="598" t="s">
        <v>524</v>
      </c>
      <c r="H21" s="599" t="s">
        <v>754</v>
      </c>
      <c r="I21" s="600" t="s">
        <v>755</v>
      </c>
      <c r="J21" s="600" t="s">
        <v>553</v>
      </c>
      <c r="K21" s="600" t="s">
        <v>756</v>
      </c>
      <c r="L21" s="801" t="s">
        <v>757</v>
      </c>
      <c r="M21" s="802" t="s">
        <v>758</v>
      </c>
      <c r="N21" s="802" t="s">
        <v>535</v>
      </c>
      <c r="O21" s="600" t="s">
        <v>533</v>
      </c>
      <c r="P21" s="600" t="s">
        <v>538</v>
      </c>
    </row>
    <row r="22" customFormat="false" ht="13.15" hidden="false" customHeight="false" outlineLevel="0" collapsed="false">
      <c r="A22" s="803" t="s">
        <v>759</v>
      </c>
      <c r="B22" s="449"/>
      <c r="C22" s="595"/>
      <c r="D22" s="595"/>
      <c r="E22" s="595"/>
      <c r="G22" s="804" t="s">
        <v>254</v>
      </c>
      <c r="H22" s="805" t="n">
        <v>48</v>
      </c>
      <c r="I22" s="805" t="n">
        <v>1</v>
      </c>
      <c r="J22" s="805" t="n">
        <v>2</v>
      </c>
      <c r="K22" s="805" t="n">
        <f aca="false">60-(H22+I22+J22)</f>
        <v>9</v>
      </c>
      <c r="L22" s="447" t="n">
        <f aca="false">(H22+I22+J22+K22)*1.6</f>
        <v>96</v>
      </c>
      <c r="M22" s="447" t="n">
        <f aca="false">I22*1.6</f>
        <v>1.6</v>
      </c>
      <c r="N22" s="447" t="n">
        <f aca="false">J22*1.6</f>
        <v>3.2</v>
      </c>
      <c r="O22" s="447" t="n">
        <f aca="false">H22*1.6</f>
        <v>76.8</v>
      </c>
      <c r="P22" s="447" t="n">
        <f aca="false">L22-M22-N22-O22</f>
        <v>14.4</v>
      </c>
    </row>
    <row r="23" customFormat="false" ht="26.45" hidden="false" customHeight="false" outlineLevel="0" collapsed="false">
      <c r="A23" s="568" t="s">
        <v>524</v>
      </c>
      <c r="B23" s="568"/>
      <c r="C23" s="567" t="s">
        <v>750</v>
      </c>
      <c r="D23" s="563" t="s">
        <v>553</v>
      </c>
      <c r="E23" s="567" t="s">
        <v>554</v>
      </c>
      <c r="G23" s="804" t="s">
        <v>268</v>
      </c>
      <c r="H23" s="805" t="n">
        <v>58</v>
      </c>
      <c r="I23" s="805" t="n">
        <v>0</v>
      </c>
      <c r="J23" s="805" t="n">
        <v>1</v>
      </c>
      <c r="K23" s="805" t="n">
        <f aca="false">59-(H23+I23+J23)</f>
        <v>0</v>
      </c>
      <c r="L23" s="447" t="n">
        <f aca="false">(H23+I23+J23+K23)*1.6</f>
        <v>94.4</v>
      </c>
      <c r="M23" s="447" t="n">
        <f aca="false">I23*1.6</f>
        <v>0</v>
      </c>
      <c r="N23" s="447" t="n">
        <f aca="false">J23*1.6</f>
        <v>1.6</v>
      </c>
      <c r="O23" s="447" t="n">
        <f aca="false">H23*1.6</f>
        <v>92.8</v>
      </c>
      <c r="P23" s="447" t="n">
        <f aca="false">L23-M23-N23-O23</f>
        <v>0</v>
      </c>
    </row>
    <row r="24" customFormat="false" ht="10.15" hidden="false" customHeight="false" outlineLevel="0" collapsed="false">
      <c r="A24" s="800" t="str">
        <f aca="false">'Cab Floorspace-Archived'!A26</f>
        <v>XEH</v>
      </c>
      <c r="B24" s="449" t="s">
        <v>751</v>
      </c>
      <c r="C24" s="595" t="n">
        <f aca="false">'Cab Floorspace-Archived'!B26</f>
        <v>724</v>
      </c>
      <c r="D24" s="595" t="n">
        <f aca="false">'Cab Floorspace-Archived'!D26</f>
        <v>4</v>
      </c>
      <c r="E24" s="595" t="n">
        <f aca="false">'Cab Floorspace-Archived'!E26</f>
        <v>103</v>
      </c>
      <c r="G24" s="804" t="s">
        <v>267</v>
      </c>
      <c r="H24" s="805" t="n">
        <v>51</v>
      </c>
      <c r="I24" s="805" t="n">
        <v>0</v>
      </c>
      <c r="J24" s="805" t="n">
        <v>0</v>
      </c>
      <c r="K24" s="805" t="n">
        <f aca="false">51-(H24+I24+J24)</f>
        <v>0</v>
      </c>
      <c r="L24" s="447" t="n">
        <f aca="false">(H24+I24+J24+K24)*1.6</f>
        <v>81.6</v>
      </c>
      <c r="M24" s="447" t="n">
        <f aca="false">I24*1.6</f>
        <v>0</v>
      </c>
      <c r="N24" s="447" t="n">
        <f aca="false">J24*1.6</f>
        <v>0</v>
      </c>
      <c r="O24" s="447" t="n">
        <f aca="false">H24*1.6</f>
        <v>81.6</v>
      </c>
      <c r="P24" s="447" t="n">
        <f aca="false">L24-M24-N24-O24</f>
        <v>0</v>
      </c>
    </row>
    <row r="25" customFormat="false" ht="10.15" hidden="false" customHeight="false" outlineLevel="0" collapsed="false">
      <c r="A25" s="800"/>
      <c r="B25" s="449" t="s">
        <v>752</v>
      </c>
      <c r="C25" s="595" t="n">
        <f aca="false">'Cab Floorspace-Archived'!F26</f>
        <v>227</v>
      </c>
      <c r="D25" s="595" t="n">
        <f aca="false">'Cab Floorspace-Archived'!H26</f>
        <v>0</v>
      </c>
      <c r="E25" s="595" t="n">
        <f aca="false">'Cab Floorspace-Archived'!I26</f>
        <v>109</v>
      </c>
      <c r="G25" s="804" t="s">
        <v>259</v>
      </c>
      <c r="H25" s="805" t="n">
        <v>56</v>
      </c>
      <c r="I25" s="805" t="n">
        <v>0</v>
      </c>
      <c r="J25" s="805" t="n">
        <v>3</v>
      </c>
      <c r="K25" s="805" t="n">
        <f aca="false">62-(H25+I25+J25)</f>
        <v>3</v>
      </c>
      <c r="L25" s="447" t="n">
        <f aca="false">(H25+I25+J25+K25)*1.6</f>
        <v>99.2</v>
      </c>
      <c r="M25" s="447" t="n">
        <f aca="false">I25*1.6</f>
        <v>0</v>
      </c>
      <c r="N25" s="447" t="n">
        <f aca="false">J25*1.6</f>
        <v>4.8</v>
      </c>
      <c r="O25" s="447" t="n">
        <f aca="false">H25*1.6</f>
        <v>89.6</v>
      </c>
      <c r="P25" s="447" t="n">
        <f aca="false">L25-M25-N25-O25</f>
        <v>4.8</v>
      </c>
    </row>
    <row r="26" customFormat="false" ht="10.15" hidden="false" customHeight="false" outlineLevel="0" collapsed="false">
      <c r="A26" s="800" t="str">
        <f aca="false">'Cab Floorspace-Archived'!A36</f>
        <v>XER</v>
      </c>
      <c r="B26" s="449" t="s">
        <v>751</v>
      </c>
      <c r="C26" s="595" t="n">
        <f aca="false">'Cab Floorspace-Archived'!B36</f>
        <v>669</v>
      </c>
      <c r="D26" s="595" t="n">
        <f aca="false">'Cab Floorspace-Archived'!D36</f>
        <v>0</v>
      </c>
      <c r="E26" s="595" t="n">
        <f aca="false">'Cab Floorspace-Archived'!E36</f>
        <v>32</v>
      </c>
      <c r="G26" s="804" t="s">
        <v>265</v>
      </c>
      <c r="H26" s="805" t="n">
        <v>20</v>
      </c>
      <c r="I26" s="805" t="n">
        <v>0</v>
      </c>
      <c r="J26" s="805" t="n">
        <v>6</v>
      </c>
      <c r="K26" s="805" t="n">
        <f aca="false">39-(H26+I26+J26)</f>
        <v>13</v>
      </c>
      <c r="L26" s="447" t="n">
        <f aca="false">(H26+I26+J26+K26)*1.6</f>
        <v>62.4</v>
      </c>
      <c r="M26" s="447" t="n">
        <f aca="false">I26*1.6</f>
        <v>0</v>
      </c>
      <c r="N26" s="447" t="n">
        <f aca="false">J26*1.6</f>
        <v>9.6</v>
      </c>
      <c r="O26" s="447" t="n">
        <f aca="false">H26*1.6</f>
        <v>32</v>
      </c>
      <c r="P26" s="447" t="n">
        <f aca="false">L26-M26-N26-O26</f>
        <v>20.8</v>
      </c>
    </row>
    <row r="27" customFormat="false" ht="10.15" hidden="false" customHeight="false" outlineLevel="0" collapsed="false">
      <c r="A27" s="800"/>
      <c r="B27" s="449" t="s">
        <v>752</v>
      </c>
      <c r="C27" s="595" t="n">
        <f aca="false">'Cab Floorspace-Archived'!F36</f>
        <v>183</v>
      </c>
      <c r="D27" s="595" t="n">
        <f aca="false">'Cab Floorspace-Archived'!H36</f>
        <v>0</v>
      </c>
      <c r="E27" s="595" t="n">
        <f aca="false">'Cab Floorspace-Archived'!I36</f>
        <v>201</v>
      </c>
      <c r="G27" s="806" t="s">
        <v>253</v>
      </c>
      <c r="H27" s="805" t="n">
        <v>8</v>
      </c>
      <c r="I27" s="805" t="n">
        <v>0</v>
      </c>
      <c r="J27" s="805" t="n">
        <v>4</v>
      </c>
      <c r="K27" s="805" t="n">
        <v>5</v>
      </c>
      <c r="L27" s="447" t="n">
        <f aca="false">(H27+I27+J27+K27)*1.6</f>
        <v>27.2</v>
      </c>
      <c r="M27" s="447" t="n">
        <f aca="false">I27*1.6</f>
        <v>0</v>
      </c>
      <c r="N27" s="447" t="n">
        <f aca="false">J27*1.6</f>
        <v>6.4</v>
      </c>
      <c r="O27" s="447" t="n">
        <f aca="false">H27*1.6</f>
        <v>12.8</v>
      </c>
      <c r="P27" s="447" t="n">
        <f aca="false">L27-M27-N27-O27</f>
        <v>8</v>
      </c>
    </row>
    <row r="28" customFormat="false" ht="10.15" hidden="false" customHeight="false" outlineLevel="0" collapsed="false">
      <c r="A28" s="800" t="str">
        <f aca="false">'Cab Floorspace-Archived'!A38</f>
        <v>XKS (1st)</v>
      </c>
      <c r="B28" s="449" t="s">
        <v>751</v>
      </c>
      <c r="C28" s="595" t="n">
        <f aca="false">'Cab Floorspace-Archived'!B38</f>
        <v>580</v>
      </c>
      <c r="D28" s="595" t="n">
        <f aca="false">'Cab Floorspace-Archived'!D38</f>
        <v>0</v>
      </c>
      <c r="E28" s="595" t="n">
        <f aca="false">'Cab Floorspace-Archived'!E38</f>
        <v>39</v>
      </c>
      <c r="G28" s="806" t="s">
        <v>263</v>
      </c>
      <c r="H28" s="805" t="n">
        <v>7</v>
      </c>
      <c r="I28" s="805" t="n">
        <v>2</v>
      </c>
      <c r="J28" s="805" t="n">
        <v>0</v>
      </c>
      <c r="K28" s="805" t="n">
        <f aca="false">21-(H28+I28+J28)</f>
        <v>12</v>
      </c>
      <c r="L28" s="447" t="n">
        <f aca="false">(H28+I28+J28+K28)*1.6</f>
        <v>33.6</v>
      </c>
      <c r="M28" s="447" t="n">
        <f aca="false">I28*1.6</f>
        <v>3.2</v>
      </c>
      <c r="N28" s="447" t="n">
        <f aca="false">J28*1.6</f>
        <v>0</v>
      </c>
      <c r="O28" s="447" t="n">
        <f aca="false">H28*1.6</f>
        <v>11.2</v>
      </c>
      <c r="P28" s="447" t="n">
        <f aca="false">L28-M28-N28-O28</f>
        <v>19.2</v>
      </c>
    </row>
    <row r="29" customFormat="false" ht="10.15" hidden="false" customHeight="false" outlineLevel="0" collapsed="false">
      <c r="A29" s="800"/>
      <c r="B29" s="449" t="s">
        <v>752</v>
      </c>
      <c r="C29" s="595" t="n">
        <f aca="false">'Cab Floorspace-Archived'!F38</f>
        <v>131</v>
      </c>
      <c r="D29" s="595" t="n">
        <f aca="false">'Cab Floorspace-Archived'!H38</f>
        <v>0</v>
      </c>
      <c r="E29" s="595" t="n">
        <f aca="false">'Cab Floorspace-Archived'!I38</f>
        <v>171</v>
      </c>
      <c r="G29" s="449"/>
      <c r="H29" s="595"/>
      <c r="I29" s="595"/>
      <c r="J29" s="595"/>
    </row>
    <row r="30" customFormat="false" ht="10.15" hidden="false" customHeight="false" outlineLevel="0" collapsed="false">
      <c r="A30" s="800" t="str">
        <f aca="false">'Cab Floorspace-Archived'!A39</f>
        <v>XKS (2nd)</v>
      </c>
      <c r="B30" s="449" t="s">
        <v>751</v>
      </c>
      <c r="C30" s="595" t="n">
        <f aca="false">'Cab Floorspace-Archived'!B39</f>
        <v>582</v>
      </c>
      <c r="D30" s="595" t="n">
        <f aca="false">'Cab Floorspace-Archived'!D39</f>
        <v>0</v>
      </c>
      <c r="E30" s="595" t="n">
        <f aca="false">'Cab Floorspace-Archived'!E39</f>
        <v>39</v>
      </c>
      <c r="G30" s="449"/>
      <c r="H30" s="595"/>
      <c r="I30" s="595"/>
      <c r="J30" s="595"/>
    </row>
    <row r="31" customFormat="false" ht="10.15" hidden="false" customHeight="false" outlineLevel="0" collapsed="false">
      <c r="A31" s="800"/>
      <c r="B31" s="449" t="s">
        <v>752</v>
      </c>
      <c r="C31" s="595" t="n">
        <f aca="false">'Cab Floorspace-Archived'!F39</f>
        <v>125</v>
      </c>
      <c r="D31" s="595" t="n">
        <f aca="false">'Cab Floorspace-Archived'!H39</f>
        <v>0</v>
      </c>
      <c r="E31" s="595" t="n">
        <f aca="false">'Cab Floorspace-Archived'!I39</f>
        <v>148</v>
      </c>
      <c r="G31" s="449"/>
      <c r="H31" s="595"/>
      <c r="I31" s="595"/>
      <c r="J31" s="595"/>
    </row>
    <row r="32" customFormat="false" ht="10.15" hidden="false" customHeight="false" outlineLevel="0" collapsed="false">
      <c r="A32" s="800" t="str">
        <f aca="false">'Cab Floorspace-Archived'!A40</f>
        <v>XKS (3rd)</v>
      </c>
      <c r="B32" s="449" t="s">
        <v>751</v>
      </c>
      <c r="C32" s="595" t="n">
        <f aca="false">'Cab Floorspace-Archived'!B40</f>
        <v>592</v>
      </c>
      <c r="D32" s="595" t="n">
        <f aca="false">'Cab Floorspace-Archived'!D40</f>
        <v>0</v>
      </c>
      <c r="E32" s="595" t="n">
        <f aca="false">'Cab Floorspace-Archived'!E40</f>
        <v>30</v>
      </c>
      <c r="G32" s="449"/>
      <c r="H32" s="595"/>
      <c r="I32" s="595"/>
      <c r="J32" s="595"/>
    </row>
    <row r="33" customFormat="false" ht="10.15" hidden="false" customHeight="false" outlineLevel="0" collapsed="false">
      <c r="A33" s="800"/>
      <c r="B33" s="449" t="s">
        <v>752</v>
      </c>
      <c r="C33" s="595" t="n">
        <f aca="false">'Cab Floorspace-Archived'!F40</f>
        <v>45</v>
      </c>
      <c r="D33" s="595" t="n">
        <f aca="false">'Cab Floorspace-Archived'!H40</f>
        <v>0</v>
      </c>
      <c r="E33" s="595" t="n">
        <f aca="false">'Cab Floorspace-Archived'!I40</f>
        <v>195</v>
      </c>
    </row>
    <row r="34" customFormat="false" ht="10.15" hidden="false" customHeight="false" outlineLevel="0" collapsed="false">
      <c r="A34" s="800" t="str">
        <f aca="false">'Cab Floorspace-Archived'!A42</f>
        <v>XSN</v>
      </c>
      <c r="B34" s="449" t="s">
        <v>751</v>
      </c>
      <c r="C34" s="595" t="n">
        <f aca="false">'Cab Floorspace-Archived'!B42</f>
        <v>1161</v>
      </c>
      <c r="D34" s="595" t="n">
        <f aca="false">'Cab Floorspace-Archived'!D42</f>
        <v>14</v>
      </c>
      <c r="E34" s="595" t="n">
        <f aca="false">'Cab Floorspace-Archived'!E42</f>
        <v>43</v>
      </c>
    </row>
    <row r="35" customFormat="false" ht="10.15" hidden="false" customHeight="false" outlineLevel="0" collapsed="false">
      <c r="A35" s="800"/>
      <c r="B35" s="449" t="s">
        <v>752</v>
      </c>
      <c r="C35" s="595" t="n">
        <f aca="false">'Cab Floorspace-Archived'!F42</f>
        <v>145</v>
      </c>
      <c r="D35" s="595" t="n">
        <f aca="false">'Cab Floorspace-Archived'!H42</f>
        <v>0</v>
      </c>
      <c r="E35" s="595" t="n">
        <f aca="false">'Cab Floorspace-Archived'!I42</f>
        <v>521</v>
      </c>
    </row>
    <row r="36" customFormat="false" ht="10.15" hidden="false" customHeight="false" outlineLevel="0" collapsed="false">
      <c r="A36" s="800" t="str">
        <f aca="false">'Cab Floorspace-Archived'!A43</f>
        <v>XSY</v>
      </c>
      <c r="B36" s="449" t="s">
        <v>751</v>
      </c>
      <c r="C36" s="595" t="n">
        <f aca="false">'Cab Floorspace-Archived'!B43</f>
        <v>818</v>
      </c>
      <c r="D36" s="595" t="n">
        <f aca="false">'Cab Floorspace-Archived'!D43</f>
        <v>0</v>
      </c>
      <c r="E36" s="595" t="n">
        <f aca="false">'Cab Floorspace-Archived'!E43</f>
        <v>43</v>
      </c>
    </row>
    <row r="37" customFormat="false" ht="10.15" hidden="false" customHeight="false" outlineLevel="0" collapsed="false">
      <c r="A37" s="800"/>
      <c r="B37" s="449" t="s">
        <v>752</v>
      </c>
      <c r="C37" s="595" t="n">
        <f aca="false">'Cab Floorspace-Archived'!F43</f>
        <v>186</v>
      </c>
      <c r="D37" s="595" t="n">
        <f aca="false">'Cab Floorspace-Archived'!H43</f>
        <v>0</v>
      </c>
      <c r="E37" s="595" t="n">
        <f aca="false">'Cab Floorspace-Archived'!I43</f>
        <v>283</v>
      </c>
    </row>
    <row r="38" customFormat="false" ht="13.15" hidden="false" customHeight="false" outlineLevel="0" collapsed="false">
      <c r="A38" s="568"/>
      <c r="B38" s="568"/>
      <c r="C38" s="567"/>
      <c r="D38" s="563"/>
      <c r="E38" s="567"/>
    </row>
    <row r="39" customFormat="false" ht="13.15" hidden="false" customHeight="false" outlineLevel="0" collapsed="false">
      <c r="A39" s="568"/>
      <c r="B39" s="568"/>
      <c r="C39" s="567"/>
      <c r="D39" s="563"/>
      <c r="E39" s="567"/>
    </row>
    <row r="41" customFormat="false" ht="10.15" hidden="false" customHeight="false" outlineLevel="0" collapsed="false">
      <c r="A41" s="0" t="s">
        <v>760</v>
      </c>
      <c r="B41" s="543" t="s">
        <v>761</v>
      </c>
      <c r="C41" s="595" t="s">
        <v>762</v>
      </c>
      <c r="D41" s="543" t="s">
        <v>553</v>
      </c>
      <c r="E41" s="543" t="s">
        <v>763</v>
      </c>
    </row>
    <row r="42" customFormat="false" ht="10.15" hidden="false" customHeight="false" outlineLevel="0" collapsed="false">
      <c r="B42" s="543" t="e">
        <f aca="false">SUM(C3,C7,C24,C26,C9,#REF!,C28,C30,C32,C17,C19,C34,C36)</f>
        <v>#REF!</v>
      </c>
      <c r="C42" s="543" t="n">
        <f aca="false">(C5+C11+C13+C15)</f>
        <v>3990</v>
      </c>
      <c r="D42" s="543" t="e">
        <f aca="false">SUM(D3,D5,D7,D24,D26,D9,D11,#REF!,D28,D30,D32,D13,D15,D17,D19,D34,D36)</f>
        <v>#REF!</v>
      </c>
      <c r="E42" s="543" t="e">
        <f aca="false">SUM(E3,E5,E7,E24,E26,E9,E11,#REF!,E28,E30,E32,E13,E15,E17,E19,E34,E36)</f>
        <v>#REF!</v>
      </c>
    </row>
    <row r="43" customFormat="false" ht="10.15" hidden="false" customHeight="false" outlineLevel="0" collapsed="false">
      <c r="A43" s="0" t="s">
        <v>764</v>
      </c>
      <c r="B43" s="543" t="s">
        <v>761</v>
      </c>
      <c r="C43" s="595" t="s">
        <v>762</v>
      </c>
      <c r="D43" s="543" t="s">
        <v>553</v>
      </c>
      <c r="E43" s="543" t="s">
        <v>554</v>
      </c>
    </row>
    <row r="44" customFormat="false" ht="10.15" hidden="false" customHeight="false" outlineLevel="0" collapsed="false">
      <c r="B44" s="543" t="e">
        <f aca="false">SUM(C4,C8,C25,C27,C10,#REF!,C29,C31,C33,C18,C20,C35,C37)</f>
        <v>#REF!</v>
      </c>
      <c r="C44" s="543" t="n">
        <f aca="false">(C6+C12+C14+C16)</f>
        <v>1004</v>
      </c>
      <c r="D44" s="543" t="e">
        <f aca="false">SUM(D4,D6,D8,D25,D27,D10,D12,#REF!,D29,D31,D33,D14,D16,D18,D20,D35,D37)</f>
        <v>#REF!</v>
      </c>
      <c r="E44" s="543" t="e">
        <f aca="false">SUM(E4,E6,E8,E25,E27,E10,E12,#REF!,E29,E31,E33,E14,E16,E18,E20,E35,E37)</f>
        <v>#REF!</v>
      </c>
    </row>
    <row r="46" customFormat="false" ht="26.45" hidden="false" customHeight="false" outlineLevel="0" collapsed="false">
      <c r="A46" s="568" t="s">
        <v>524</v>
      </c>
      <c r="C46" s="567" t="s">
        <v>750</v>
      </c>
      <c r="D46" s="563" t="s">
        <v>553</v>
      </c>
      <c r="E46" s="567" t="s">
        <v>554</v>
      </c>
    </row>
    <row r="47" customFormat="false" ht="10.15" hidden="false" customHeight="false" outlineLevel="0" collapsed="false">
      <c r="A47" s="807" t="s">
        <v>274</v>
      </c>
      <c r="B47" s="620" t="s">
        <v>751</v>
      </c>
      <c r="C47" s="0" t="n">
        <f aca="false">'Cab Floorspace-Archived'!B69</f>
        <v>103</v>
      </c>
      <c r="D47" s="0" t="n">
        <f aca="false">'Cab Floorspace-Archived'!E69</f>
        <v>104</v>
      </c>
      <c r="E47" s="0" t="n">
        <f aca="false">'Cab Floorspace-Archived'!F69</f>
        <v>4</v>
      </c>
    </row>
    <row r="48" customFormat="false" ht="10.15" hidden="false" customHeight="false" outlineLevel="0" collapsed="false">
      <c r="A48" s="807"/>
      <c r="B48" s="620" t="s">
        <v>752</v>
      </c>
      <c r="C48" s="0" t="n">
        <f aca="false">'Cab Floorspace-Archived'!G69</f>
        <v>0</v>
      </c>
      <c r="D48" s="0" t="n">
        <f aca="false">'Cab Floorspace-Archived'!H69</f>
        <v>0</v>
      </c>
      <c r="E48" s="0" t="n">
        <f aca="false">'Cab Floorspace-Archived'!I69</f>
        <v>9</v>
      </c>
    </row>
    <row r="49" customFormat="false" ht="10.15" hidden="false" customHeight="false" outlineLevel="0" collapsed="false">
      <c r="A49" s="807" t="s">
        <v>277</v>
      </c>
      <c r="B49" s="620" t="s">
        <v>751</v>
      </c>
      <c r="C49" s="0" t="n">
        <f aca="false">'Cab Floorspace-Archived'!B70</f>
        <v>116</v>
      </c>
      <c r="D49" s="0" t="n">
        <f aca="false">'Cab Floorspace-Archived'!E70</f>
        <v>527</v>
      </c>
      <c r="E49" s="0" t="n">
        <f aca="false">'Cab Floorspace-Archived'!F70</f>
        <v>6</v>
      </c>
    </row>
    <row r="50" customFormat="false" ht="10.15" hidden="false" customHeight="false" outlineLevel="0" collapsed="false">
      <c r="A50" s="807"/>
      <c r="B50" s="620" t="s">
        <v>752</v>
      </c>
      <c r="C50" s="0" t="n">
        <f aca="false">'Cab Floorspace-Archived'!G70</f>
        <v>0</v>
      </c>
      <c r="D50" s="0" t="n">
        <f aca="false">'Cab Floorspace-Archived'!H70</f>
        <v>0</v>
      </c>
      <c r="E50" s="0" t="n">
        <f aca="false">'Cab Floorspace-Archived'!I70</f>
        <v>46</v>
      </c>
    </row>
    <row r="51" customFormat="false" ht="10.15" hidden="false" customHeight="false" outlineLevel="0" collapsed="false">
      <c r="A51" s="807" t="s">
        <v>276</v>
      </c>
      <c r="B51" s="620" t="s">
        <v>751</v>
      </c>
      <c r="C51" s="0" t="n">
        <f aca="false">'Cab Floorspace-Archived'!B71</f>
        <v>122</v>
      </c>
      <c r="D51" s="0" t="n">
        <f aca="false">'Cab Floorspace-Archived'!E71</f>
        <v>268</v>
      </c>
      <c r="E51" s="0" t="n">
        <f aca="false">'Cab Floorspace-Archived'!F71</f>
        <v>0</v>
      </c>
    </row>
    <row r="52" customFormat="false" ht="10.15" hidden="false" customHeight="false" outlineLevel="0" collapsed="false">
      <c r="A52" s="807"/>
      <c r="B52" s="620" t="s">
        <v>752</v>
      </c>
      <c r="C52" s="0" t="n">
        <f aca="false">'Cab Floorspace-Archived'!G71</f>
        <v>0</v>
      </c>
      <c r="D52" s="0" t="n">
        <f aca="false">'Cab Floorspace-Archived'!H71</f>
        <v>0</v>
      </c>
      <c r="E52" s="0" t="n">
        <f aca="false">'Cab Floorspace-Archived'!I71</f>
        <v>12</v>
      </c>
    </row>
    <row r="53" customFormat="false" ht="10.15" hidden="false" customHeight="false" outlineLevel="0" collapsed="false">
      <c r="A53" s="807" t="s">
        <v>278</v>
      </c>
      <c r="B53" s="620" t="s">
        <v>751</v>
      </c>
      <c r="C53" s="0" t="n">
        <f aca="false">'Cab Floorspace-Archived'!B72</f>
        <v>180</v>
      </c>
      <c r="D53" s="0" t="n">
        <f aca="false">'Cab Floorspace-Archived'!E72</f>
        <v>450</v>
      </c>
      <c r="E53" s="0" t="n">
        <f aca="false">'Cab Floorspace-Archived'!F72</f>
        <v>1</v>
      </c>
    </row>
    <row r="54" customFormat="false" ht="10.15" hidden="false" customHeight="false" outlineLevel="0" collapsed="false">
      <c r="A54" s="807"/>
      <c r="B54" s="620" t="s">
        <v>752</v>
      </c>
      <c r="C54" s="0" t="n">
        <f aca="false">'Cab Floorspace-Archived'!G72</f>
        <v>0</v>
      </c>
      <c r="D54" s="0" t="n">
        <f aca="false">'Cab Floorspace-Archived'!H72</f>
        <v>0</v>
      </c>
      <c r="E54" s="0" t="n">
        <f aca="false">'Cab Floorspace-Archived'!I72</f>
        <v>5</v>
      </c>
    </row>
    <row r="55" customFormat="false" ht="10.15" hidden="false" customHeight="false" outlineLevel="0" collapsed="false">
      <c r="A55" s="807" t="s">
        <v>279</v>
      </c>
      <c r="B55" s="620" t="s">
        <v>751</v>
      </c>
      <c r="C55" s="0" t="n">
        <f aca="false">'Cab Floorspace-Archived'!B73</f>
        <v>21</v>
      </c>
      <c r="D55" s="0" t="n">
        <f aca="false">'Cab Floorspace-Archived'!E73</f>
        <v>8</v>
      </c>
      <c r="E55" s="0" t="n">
        <f aca="false">'Cab Floorspace-Archived'!F73</f>
        <v>0</v>
      </c>
    </row>
    <row r="56" customFormat="false" ht="10.15" hidden="false" customHeight="false" outlineLevel="0" collapsed="false">
      <c r="A56" s="807"/>
      <c r="B56" s="620" t="s">
        <v>752</v>
      </c>
      <c r="C56" s="0" t="n">
        <f aca="false">'Cab Floorspace-Archived'!G73</f>
        <v>0</v>
      </c>
      <c r="D56" s="0" t="n">
        <f aca="false">'Cab Floorspace-Archived'!H73</f>
        <v>0</v>
      </c>
      <c r="E56" s="0" t="n">
        <f aca="false">'Cab Floorspace-Archived'!I73</f>
        <v>0</v>
      </c>
    </row>
    <row r="57" customFormat="false" ht="10.15" hidden="false" customHeight="false" outlineLevel="0" collapsed="false">
      <c r="A57" s="807" t="s">
        <v>280</v>
      </c>
      <c r="B57" s="620" t="s">
        <v>751</v>
      </c>
      <c r="C57" s="0" t="n">
        <f aca="false">'Cab Floorspace-Archived'!B74</f>
        <v>225</v>
      </c>
      <c r="D57" s="0" t="n">
        <f aca="false">'Cab Floorspace-Archived'!E74</f>
        <v>161</v>
      </c>
      <c r="E57" s="0" t="n">
        <f aca="false">'Cab Floorspace-Archived'!F74</f>
        <v>0</v>
      </c>
    </row>
    <row r="58" customFormat="false" ht="10.15" hidden="false" customHeight="false" outlineLevel="0" collapsed="false">
      <c r="A58" s="807"/>
      <c r="B58" s="620" t="s">
        <v>752</v>
      </c>
      <c r="C58" s="0" t="n">
        <f aca="false">'Cab Floorspace-Archived'!G74</f>
        <v>0</v>
      </c>
      <c r="D58" s="0" t="n">
        <f aca="false">'Cab Floorspace-Archived'!H74</f>
        <v>0</v>
      </c>
      <c r="E58" s="0" t="n">
        <f aca="false">'Cab Floorspace-Archived'!I74</f>
        <v>0</v>
      </c>
    </row>
    <row r="59" customFormat="false" ht="10.15" hidden="false" customHeight="false" outlineLevel="0" collapsed="false">
      <c r="A59" s="807" t="s">
        <v>282</v>
      </c>
      <c r="B59" s="620" t="s">
        <v>751</v>
      </c>
      <c r="C59" s="0" t="n">
        <f aca="false">'Cab Floorspace-Archived'!B76</f>
        <v>73</v>
      </c>
      <c r="D59" s="0" t="n">
        <f aca="false">'Cab Floorspace-Archived'!E76</f>
        <v>99</v>
      </c>
      <c r="E59" s="0" t="n">
        <f aca="false">'Cab Floorspace-Archived'!F76</f>
        <v>0</v>
      </c>
    </row>
    <row r="60" customFormat="false" ht="10.15" hidden="false" customHeight="false" outlineLevel="0" collapsed="false">
      <c r="A60" s="807"/>
      <c r="B60" s="620" t="s">
        <v>752</v>
      </c>
      <c r="C60" s="0" t="n">
        <f aca="false">'Cab Floorspace-Archived'!G76</f>
        <v>0</v>
      </c>
      <c r="D60" s="0" t="n">
        <f aca="false">'Cab Floorspace-Archived'!H76</f>
        <v>1</v>
      </c>
      <c r="E60" s="0" t="n">
        <f aca="false">'Cab Floorspace-Archived'!I76</f>
        <v>6</v>
      </c>
    </row>
    <row r="61" customFormat="false" ht="10.15" hidden="false" customHeight="false" outlineLevel="0" collapsed="false">
      <c r="A61" s="807" t="s">
        <v>281</v>
      </c>
      <c r="B61" s="620" t="s">
        <v>751</v>
      </c>
      <c r="C61" s="0" t="n">
        <f aca="false">'Cab Floorspace-Archived'!B77</f>
        <v>247</v>
      </c>
      <c r="D61" s="0" t="n">
        <f aca="false">'Cab Floorspace-Archived'!E77</f>
        <v>264</v>
      </c>
      <c r="E61" s="0" t="n">
        <f aca="false">'Cab Floorspace-Archived'!F77</f>
        <v>14</v>
      </c>
    </row>
    <row r="62" customFormat="false" ht="10.15" hidden="false" customHeight="false" outlineLevel="0" collapsed="false">
      <c r="A62" s="807"/>
      <c r="B62" s="620" t="s">
        <v>752</v>
      </c>
      <c r="C62" s="0" t="n">
        <f aca="false">'Cab Floorspace-Archived'!G77</f>
        <v>0</v>
      </c>
      <c r="D62" s="0" t="n">
        <f aca="false">'Cab Floorspace-Archived'!H77</f>
        <v>0</v>
      </c>
      <c r="E62" s="0" t="n">
        <f aca="false">'Cab Floorspace-Archived'!I77</f>
        <v>7</v>
      </c>
    </row>
    <row r="63" customFormat="false" ht="10.15" hidden="false" customHeight="false" outlineLevel="0" collapsed="false">
      <c r="A63" s="615" t="s">
        <v>548</v>
      </c>
      <c r="B63" s="620" t="s">
        <v>751</v>
      </c>
      <c r="C63" s="0" t="n">
        <f aca="false">'Cab Floorspace-Archived'!B84</f>
        <v>51</v>
      </c>
      <c r="D63" s="0" t="n">
        <f aca="false">'Cab Floorspace-Archived'!C84</f>
        <v>0</v>
      </c>
      <c r="E63" s="0" t="n">
        <f aca="false">'Cab Floorspace-Archived'!D84</f>
        <v>4</v>
      </c>
    </row>
    <row r="64" customFormat="false" ht="10.15" hidden="false" customHeight="false" outlineLevel="0" collapsed="false">
      <c r="A64" s="615"/>
      <c r="B64" s="620" t="s">
        <v>752</v>
      </c>
      <c r="C64" s="0" t="n">
        <f aca="false">'Cab Floorspace-Archived'!E84</f>
        <v>0</v>
      </c>
      <c r="D64" s="0" t="n">
        <f aca="false">'Cab Floorspace-Archived'!F84</f>
        <v>0</v>
      </c>
      <c r="E64" s="0" t="n">
        <f aca="false">'Cab Floorspace-Archived'!G84</f>
        <v>0</v>
      </c>
    </row>
    <row r="65" customFormat="false" ht="10.15" hidden="false" customHeight="false" outlineLevel="0" collapsed="false">
      <c r="A65" s="807" t="s">
        <v>283</v>
      </c>
      <c r="B65" s="620" t="s">
        <v>751</v>
      </c>
      <c r="C65" s="0" t="n">
        <f aca="false">'Cab Floorspace-Archived'!B79</f>
        <v>100</v>
      </c>
      <c r="D65" s="0" t="n">
        <f aca="false">'Cab Floorspace-Archived'!E79</f>
        <v>56</v>
      </c>
      <c r="E65" s="0" t="n">
        <f aca="false">'Cab Floorspace-Archived'!F79</f>
        <v>0</v>
      </c>
    </row>
    <row r="66" customFormat="false" ht="10.15" hidden="false" customHeight="false" outlineLevel="0" collapsed="false">
      <c r="A66" s="807"/>
      <c r="B66" s="620" t="s">
        <v>752</v>
      </c>
      <c r="C66" s="0" t="n">
        <f aca="false">'Cab Floorspace-Archived'!G79</f>
        <v>0</v>
      </c>
      <c r="D66" s="0" t="n">
        <f aca="false">'Cab Floorspace-Archived'!H79</f>
        <v>0</v>
      </c>
      <c r="E66" s="0" t="n">
        <f aca="false">'Cab Floorspace-Archived'!I79</f>
        <v>0</v>
      </c>
    </row>
    <row r="67" customFormat="false" ht="10.15" hidden="false" customHeight="false" outlineLevel="0" collapsed="false">
      <c r="A67" s="807" t="s">
        <v>284</v>
      </c>
      <c r="B67" s="620" t="s">
        <v>751</v>
      </c>
      <c r="C67" s="0" t="n">
        <f aca="false">'Cab Floorspace-Archived'!B81</f>
        <v>152</v>
      </c>
      <c r="D67" s="0" t="n">
        <f aca="false">'Cab Floorspace-Archived'!E81</f>
        <v>488</v>
      </c>
      <c r="E67" s="0" t="n">
        <f aca="false">'Cab Floorspace-Archived'!F81</f>
        <v>8</v>
      </c>
    </row>
    <row r="68" customFormat="false" ht="10.15" hidden="false" customHeight="false" outlineLevel="0" collapsed="false">
      <c r="A68" s="807"/>
      <c r="B68" s="620" t="s">
        <v>752</v>
      </c>
      <c r="C68" s="0" t="n">
        <f aca="false">'Cab Floorspace-Archived'!G81</f>
        <v>0</v>
      </c>
      <c r="D68" s="0" t="n">
        <f aca="false">'Cab Floorspace-Archived'!H81</f>
        <v>1</v>
      </c>
      <c r="E68" s="0" t="n">
        <f aca="false">'Cab Floorspace-Archived'!I81</f>
        <v>0</v>
      </c>
    </row>
    <row r="69" customFormat="false" ht="10.15" hidden="false" customHeight="false" outlineLevel="0" collapsed="false">
      <c r="A69" s="807" t="s">
        <v>285</v>
      </c>
      <c r="B69" s="620" t="s">
        <v>751</v>
      </c>
      <c r="C69" s="0" t="n">
        <f aca="false">'Cab Floorspace-Archived'!B82</f>
        <v>64</v>
      </c>
      <c r="D69" s="0" t="n">
        <f aca="false">'Cab Floorspace-Archived'!E82</f>
        <v>41</v>
      </c>
      <c r="E69" s="0" t="n">
        <f aca="false">'Cab Floorspace-Archived'!F82</f>
        <v>0</v>
      </c>
    </row>
    <row r="70" customFormat="false" ht="10.15" hidden="false" customHeight="false" outlineLevel="0" collapsed="false">
      <c r="A70" s="807"/>
      <c r="B70" s="620" t="s">
        <v>752</v>
      </c>
      <c r="C70" s="0" t="n">
        <f aca="false">'Cab Floorspace-Archived'!G82</f>
        <v>0</v>
      </c>
      <c r="D70" s="0" t="n">
        <f aca="false">'Cab Floorspace-Archived'!H82</f>
        <v>0</v>
      </c>
      <c r="E70" s="0" t="n">
        <f aca="false">'Cab Floorspace-Archived'!I82</f>
        <v>0</v>
      </c>
    </row>
    <row r="72" customFormat="false" ht="10.15" hidden="false" customHeight="false" outlineLevel="0" collapsed="false">
      <c r="A72" s="0" t="s">
        <v>760</v>
      </c>
      <c r="B72" s="543" t="s">
        <v>552</v>
      </c>
      <c r="C72" s="543" t="s">
        <v>553</v>
      </c>
      <c r="D72" s="543" t="s">
        <v>763</v>
      </c>
    </row>
    <row r="73" customFormat="false" ht="10.15" hidden="false" customHeight="false" outlineLevel="0" collapsed="false">
      <c r="B73" s="543" t="e">
        <f aca="false">SUM(C47,C49,C51,C53,C55,#REF!,C57,C59,C61,C65,C67,C69)</f>
        <v>#REF!</v>
      </c>
      <c r="C73" s="543" t="e">
        <f aca="false">SUM(,D47,D49,D51,D53,D55,#REF!,D57,D59,D61,D65,D67,D69)</f>
        <v>#REF!</v>
      </c>
      <c r="D73" s="543" t="e">
        <f aca="false">SUM(E47,E49,E51,E53,E55,#REF!,E57,E59,E61,E65,E67,E69)</f>
        <v>#REF!</v>
      </c>
    </row>
    <row r="74" customFormat="false" ht="10.15" hidden="false" customHeight="false" outlineLevel="0" collapsed="false">
      <c r="A74" s="0" t="s">
        <v>764</v>
      </c>
      <c r="B74" s="543" t="s">
        <v>750</v>
      </c>
      <c r="C74" s="543" t="s">
        <v>553</v>
      </c>
      <c r="D74" s="543" t="s">
        <v>554</v>
      </c>
    </row>
    <row r="75" customFormat="false" ht="10.15" hidden="false" customHeight="false" outlineLevel="0" collapsed="false">
      <c r="B75" s="543" t="e">
        <f aca="false">SUM(C48,C50,C52,C54,C56,#REF!,C58,C60,C62,C66,C68,C70)</f>
        <v>#REF!</v>
      </c>
      <c r="C75" s="543" t="n">
        <v>3</v>
      </c>
      <c r="D75" s="543" t="e">
        <f aca="false">SUM(E48,E50,E52,E54,E56,#REF!,E58,E60,E62,E66,E68,E70)</f>
        <v>#REF!</v>
      </c>
    </row>
    <row r="82" customFormat="false" ht="10.15" hidden="false" customHeight="false" outlineLevel="0" collapsed="false">
      <c r="A82" s="442" t="s">
        <v>765</v>
      </c>
    </row>
    <row r="83" customFormat="false" ht="10.15" hidden="false" customHeight="false" outlineLevel="0" collapsed="false">
      <c r="C83" s="449" t="s">
        <v>766</v>
      </c>
      <c r="D83" s="449" t="s">
        <v>767</v>
      </c>
    </row>
    <row r="84" customFormat="false" ht="11.45" hidden="false" customHeight="false" outlineLevel="0" collapsed="false">
      <c r="A84" s="620" t="s">
        <v>768</v>
      </c>
      <c r="B84" s="595" t="n">
        <f aca="false">((C84*D84)+2*((C84*(D84/2)))+2*((1200*((2*D84)/20))))/1000000</f>
        <v>1.152</v>
      </c>
      <c r="C84" s="595" t="n">
        <v>600</v>
      </c>
      <c r="D84" s="595" t="n">
        <v>800</v>
      </c>
      <c r="E84" s="620" t="s">
        <v>769</v>
      </c>
    </row>
    <row r="85" customFormat="false" ht="11.45" hidden="false" customHeight="false" outlineLevel="0" collapsed="false">
      <c r="A85" s="620" t="s">
        <v>770</v>
      </c>
      <c r="B85" s="595" t="n">
        <f aca="false">((C85*D85)+2*((C85*(D85/2)))+2*((1200*((2*D85)/20))))/1000000</f>
        <v>2.208</v>
      </c>
      <c r="C85" s="595" t="n">
        <v>800</v>
      </c>
      <c r="D85" s="595" t="n">
        <v>1200</v>
      </c>
      <c r="E85" s="620" t="s">
        <v>771</v>
      </c>
    </row>
    <row r="87" customFormat="false" ht="11.45" hidden="false" customHeight="false" outlineLevel="0" collapsed="false">
      <c r="B87" s="764" t="s">
        <v>772</v>
      </c>
      <c r="C87" s="764"/>
    </row>
    <row r="88" customFormat="false" ht="10.15" hidden="false" customHeight="false" outlineLevel="0" collapsed="false">
      <c r="A88" s="0" t="s">
        <v>253</v>
      </c>
      <c r="B88" s="450" t="n">
        <f aca="false">('Cab Floorspace-Archived'!B34*$B$84)+('Cab Floorspace-Archived'!F34*$B$85)</f>
        <v>1276.032</v>
      </c>
      <c r="C88" s="450"/>
      <c r="D88" s="450"/>
    </row>
    <row r="89" customFormat="false" ht="10.15" hidden="false" customHeight="false" outlineLevel="0" collapsed="false">
      <c r="A89" s="0" t="s">
        <v>254</v>
      </c>
      <c r="B89" s="450" t="n">
        <f aca="false">('Cab Floorspace-Archived'!B23*$B$84)+('Cab Floorspace-Archived'!F23*$B$85)</f>
        <v>2130.528</v>
      </c>
      <c r="C89" s="450"/>
      <c r="D89" s="450"/>
    </row>
    <row r="90" customFormat="false" ht="10.15" hidden="false" customHeight="false" outlineLevel="0" collapsed="false">
      <c r="A90" s="0" t="s">
        <v>256</v>
      </c>
      <c r="B90" s="450" t="n">
        <f aca="false">('Cab Floorspace-Archived'!B35*$B$84)+('Cab Floorspace-Archived'!F35*$B$85)</f>
        <v>1509.216</v>
      </c>
      <c r="C90" s="450"/>
      <c r="D90" s="450"/>
      <c r="E90" s="808"/>
    </row>
    <row r="91" customFormat="false" ht="10.15" hidden="false" customHeight="false" outlineLevel="0" collapsed="false">
      <c r="A91" s="0" t="s">
        <v>259</v>
      </c>
      <c r="B91" s="450" t="n">
        <f aca="false">('Cab Floorspace-Archived'!B26*$B$84)+('Cab Floorspace-Archived'!F26*$B$85)</f>
        <v>1335.264</v>
      </c>
    </row>
    <row r="92" customFormat="false" ht="10.15" hidden="false" customHeight="false" outlineLevel="0" collapsed="false">
      <c r="A92" s="0" t="s">
        <v>261</v>
      </c>
      <c r="B92" s="450" t="n">
        <f aca="false">('Cab Floorspace-Archived'!B36*$B$84)+('Cab Floorspace-Archived'!F36*$B$85)</f>
        <v>1174.752</v>
      </c>
    </row>
    <row r="93" customFormat="false" ht="10.15" hidden="false" customHeight="false" outlineLevel="0" collapsed="false">
      <c r="A93" s="0" t="s">
        <v>263</v>
      </c>
      <c r="B93" s="450" t="n">
        <f aca="false">('Cab Floorspace-Archived'!B28*$B$84)+('Cab Floorspace-Archived'!F28*$B$85)</f>
        <v>1535.04</v>
      </c>
    </row>
    <row r="94" customFormat="false" ht="10.15" hidden="false" customHeight="false" outlineLevel="0" collapsed="false">
      <c r="A94" s="0" t="s">
        <v>265</v>
      </c>
      <c r="B94" s="450" t="n">
        <f aca="false">('Cab Floorspace-Archived'!B27*$B$84)+('Cab Floorspace-Archived'!F27*$B$85)</f>
        <v>1596.576</v>
      </c>
    </row>
    <row r="95" customFormat="false" ht="10.15" hidden="false" customHeight="false" outlineLevel="0" collapsed="false">
      <c r="A95" s="620" t="s">
        <v>266</v>
      </c>
      <c r="B95" s="450" t="e">
        <f aca="false">(('cab floorspace-archived'!#ref!+'Cab Floorspace-Archived'!B38+'Cab Floorspace-Archived'!B39+'Cab Floorspace-Archived'!B40)*$B$84)+(('cab floorspace-archived'!#ref!+'Cab Floorspace-Archived'!F38+'Cab Floorspace-Archived'!F39+'Cab Floorspace-Archived'!F40)*$B$85)</f>
        <v>#VALUE!</v>
      </c>
    </row>
    <row r="96" customFormat="false" ht="10.15" hidden="false" customHeight="false" outlineLevel="0" collapsed="false">
      <c r="A96" s="0" t="s">
        <v>267</v>
      </c>
      <c r="B96" s="450" t="n">
        <f aca="false">('Cab Floorspace-Archived'!B25*$B$84)+('Cab Floorspace-Archived'!F25*$B$85)</f>
        <v>1684.8</v>
      </c>
    </row>
    <row r="97" customFormat="false" ht="10.15" hidden="false" customHeight="false" outlineLevel="0" collapsed="false">
      <c r="A97" s="0" t="s">
        <v>268</v>
      </c>
      <c r="B97" s="450" t="n">
        <f aca="false">('Cab Floorspace-Archived'!B24*$B$84)+('Cab Floorspace-Archived'!F24*$B$85)</f>
        <v>1401.408</v>
      </c>
    </row>
    <row r="98" customFormat="false" ht="10.15" hidden="false" customHeight="false" outlineLevel="0" collapsed="false">
      <c r="A98" s="0" t="s">
        <v>269</v>
      </c>
      <c r="B98" s="450" t="n">
        <f aca="false">('Cab Floorspace-Archived'!B29*$B$84)+('Cab Floorspace-Archived'!F29*$B$85)</f>
        <v>1890.528</v>
      </c>
    </row>
    <row r="99" customFormat="false" ht="10.15" hidden="false" customHeight="false" outlineLevel="0" collapsed="false">
      <c r="A99" s="0" t="s">
        <v>270</v>
      </c>
      <c r="B99" s="450" t="n">
        <f aca="false">('Cab Floorspace-Archived'!B41*$B$84)+('Cab Floorspace-Archived'!F41*$B$85)</f>
        <v>1646.208</v>
      </c>
    </row>
    <row r="100" customFormat="false" ht="10.15" hidden="false" customHeight="false" outlineLevel="0" collapsed="false">
      <c r="A100" s="0" t="s">
        <v>271</v>
      </c>
      <c r="B100" s="450" t="n">
        <f aca="false">('Cab Floorspace-Archived'!B42*$B$84)+('Cab Floorspace-Archived'!F42*$B$85)</f>
        <v>1657.632</v>
      </c>
    </row>
    <row r="101" customFormat="false" ht="10.15" hidden="false" customHeight="false" outlineLevel="0" collapsed="false">
      <c r="A101" s="0" t="s">
        <v>272</v>
      </c>
      <c r="B101" s="450" t="n">
        <f aca="false">('Cab Floorspace-Archived'!B43*$B$84)+('Cab Floorspace-Archived'!F43*$B$85)</f>
        <v>1353.024</v>
      </c>
    </row>
    <row r="103" customFormat="false" ht="10.15" hidden="false" customHeight="false" outlineLevel="0" collapsed="false">
      <c r="A103" s="0" t="s">
        <v>274</v>
      </c>
      <c r="B103" s="450" t="n">
        <f aca="false">('Cab Floorspace-Archived'!B69*$B$84)+('Cab Floorspace-Archived'!G69*$B$85)</f>
        <v>118.656</v>
      </c>
    </row>
    <row r="104" customFormat="false" ht="10.15" hidden="false" customHeight="false" outlineLevel="0" collapsed="false">
      <c r="A104" s="0" t="s">
        <v>277</v>
      </c>
      <c r="B104" s="450" t="n">
        <f aca="false">('Cab Floorspace-Archived'!B70*$B$84)+('Cab Floorspace-Archived'!G70*$B$85)</f>
        <v>133.632</v>
      </c>
    </row>
    <row r="105" customFormat="false" ht="10.15" hidden="false" customHeight="false" outlineLevel="0" collapsed="false">
      <c r="A105" s="0" t="s">
        <v>276</v>
      </c>
      <c r="B105" s="450" t="n">
        <f aca="false">('Cab Floorspace-Archived'!B71*$B$84)+('Cab Floorspace-Archived'!G71*$B$85)</f>
        <v>140.544</v>
      </c>
    </row>
    <row r="106" customFormat="false" ht="10.15" hidden="false" customHeight="false" outlineLevel="0" collapsed="false">
      <c r="A106" s="0" t="s">
        <v>278</v>
      </c>
      <c r="B106" s="450" t="n">
        <f aca="false">('Cab Floorspace-Archived'!B72*$B$84)+('Cab Floorspace-Archived'!G72*$B$85)</f>
        <v>207.36</v>
      </c>
    </row>
    <row r="107" customFormat="false" ht="10.15" hidden="false" customHeight="false" outlineLevel="0" collapsed="false">
      <c r="A107" s="0" t="s">
        <v>279</v>
      </c>
      <c r="B107" s="450" t="n">
        <f aca="false">33*$B$84</f>
        <v>38.016</v>
      </c>
      <c r="C107" s="620" t="s">
        <v>773</v>
      </c>
    </row>
    <row r="108" customFormat="false" ht="10.15" hidden="false" customHeight="false" outlineLevel="0" collapsed="false">
      <c r="A108" s="0" t="s">
        <v>686</v>
      </c>
      <c r="B108" s="450" t="n">
        <f aca="false">29*$B$84</f>
        <v>33.408</v>
      </c>
      <c r="C108" s="620" t="s">
        <v>773</v>
      </c>
    </row>
    <row r="109" customFormat="false" ht="10.15" hidden="false" customHeight="false" outlineLevel="0" collapsed="false">
      <c r="A109" s="0" t="s">
        <v>280</v>
      </c>
      <c r="B109" s="450" t="n">
        <f aca="false">('Cab Floorspace-Archived'!B74*$B$84)+('Cab Floorspace-Archived'!G74*$B$85)</f>
        <v>259.2</v>
      </c>
    </row>
    <row r="110" customFormat="false" ht="10.15" hidden="false" customHeight="false" outlineLevel="0" collapsed="false">
      <c r="A110" s="620" t="s">
        <v>282</v>
      </c>
      <c r="B110" s="450" t="n">
        <f aca="false">(('Cab Floorspace-Archived'!B76+105)*$B$84)+('Cab Floorspace-Archived'!G76*$B$85)</f>
        <v>205.056</v>
      </c>
      <c r="C110" s="620" t="s">
        <v>774</v>
      </c>
    </row>
    <row r="111" customFormat="false" ht="10.15" hidden="false" customHeight="false" outlineLevel="0" collapsed="false">
      <c r="A111" s="0" t="s">
        <v>281</v>
      </c>
      <c r="B111" s="450" t="n">
        <f aca="false">('Cab Floorspace-Archived'!B77*$B$84)+('Cab Floorspace-Archived'!G77*$B$85)+'Cab Floorspace-Archived'!B86</f>
        <v>333.504</v>
      </c>
    </row>
    <row r="112" customFormat="false" ht="10.15" hidden="false" customHeight="false" outlineLevel="0" collapsed="false">
      <c r="A112" s="620" t="s">
        <v>283</v>
      </c>
      <c r="B112" s="450" t="n">
        <f aca="false">(('Cab Floorspace-Archived'!B79+29)*$B$84)+(('Cab Floorspace-Archived'!G79+11)*$B$85)</f>
        <v>172.896</v>
      </c>
      <c r="C112" s="620" t="s">
        <v>775</v>
      </c>
    </row>
    <row r="113" customFormat="false" ht="10.15" hidden="false" customHeight="false" outlineLevel="0" collapsed="false">
      <c r="A113" s="0" t="s">
        <v>284</v>
      </c>
      <c r="B113" s="450" t="n">
        <f aca="false">('Cab Floorspace-Archived'!B81*$B$84)+('Cab Floorspace-Archived'!G81*$B$85)</f>
        <v>175.104</v>
      </c>
    </row>
    <row r="114" customFormat="false" ht="10.15" hidden="false" customHeight="false" outlineLevel="0" collapsed="false">
      <c r="A114" s="0" t="s">
        <v>285</v>
      </c>
      <c r="B114" s="450" t="n">
        <f aca="false">('Cab Floorspace-Archived'!B82*$B$84)+('Cab Floorspace-Archived'!G82*$B$85)</f>
        <v>73.728</v>
      </c>
    </row>
  </sheetData>
  <mergeCells count="28">
    <mergeCell ref="A3:A4"/>
    <mergeCell ref="A5:A6"/>
    <mergeCell ref="A7:A8"/>
    <mergeCell ref="A9:A10"/>
    <mergeCell ref="A11:A12"/>
    <mergeCell ref="A13:A14"/>
    <mergeCell ref="A15:A16"/>
    <mergeCell ref="A17:A18"/>
    <mergeCell ref="A19:A20"/>
    <mergeCell ref="A24:A25"/>
    <mergeCell ref="A26:A27"/>
    <mergeCell ref="A28:A29"/>
    <mergeCell ref="A30:A31"/>
    <mergeCell ref="A32:A33"/>
    <mergeCell ref="A34:A35"/>
    <mergeCell ref="A36:A37"/>
    <mergeCell ref="A47:A48"/>
    <mergeCell ref="A49:A50"/>
    <mergeCell ref="A51:A52"/>
    <mergeCell ref="A53:A54"/>
    <mergeCell ref="A55:A56"/>
    <mergeCell ref="A57:A58"/>
    <mergeCell ref="A59:A60"/>
    <mergeCell ref="A61:A62"/>
    <mergeCell ref="A63:A64"/>
    <mergeCell ref="A65:A66"/>
    <mergeCell ref="A67:A68"/>
    <mergeCell ref="A69:A70"/>
  </mergeCells>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4:C103"/>
  <sheetViews>
    <sheetView showFormulas="false" showGridLines="true" showRowColHeaders="true" showZeros="true" rightToLeft="false" tabSelected="false" showOutlineSymbols="true" defaultGridColor="true" view="normal" topLeftCell="E1" colorId="64" zoomScale="70" zoomScaleNormal="70" zoomScalePageLayoutView="100" workbookViewId="0">
      <selection pane="topLeft" activeCell="W95" activeCellId="0" sqref="W95"/>
    </sheetView>
  </sheetViews>
  <sheetFormatPr defaultColWidth="8.66796875" defaultRowHeight="10.15" zeroHeight="false" outlineLevelRow="0" outlineLevelCol="0"/>
  <cols>
    <col collapsed="false" customWidth="true" hidden="false" outlineLevel="0" max="1" min="1" style="0" width="30.5"/>
    <col collapsed="false" customWidth="true" hidden="false" outlineLevel="0" max="2" min="2" style="0" width="17.66"/>
    <col collapsed="false" customWidth="true" hidden="false" outlineLevel="0" max="3" min="3" style="0" width="13.66"/>
    <col collapsed="false" customWidth="true" hidden="false" outlineLevel="0" max="4" min="4" style="0" width="13.5"/>
    <col collapsed="false" customWidth="true" hidden="false" outlineLevel="0" max="5" min="5" style="0" width="12.66"/>
    <col collapsed="false" customWidth="true" hidden="false" outlineLevel="0" max="6" min="6" style="0" width="19.66"/>
  </cols>
  <sheetData>
    <row r="4" customFormat="false" ht="10.15" hidden="false" customHeight="false" outlineLevel="0" collapsed="false">
      <c r="A4" s="809" t="s">
        <v>776</v>
      </c>
    </row>
    <row r="39" customFormat="false" ht="10.15" hidden="false" customHeight="false" outlineLevel="0" collapsed="false">
      <c r="A39" s="620" t="s">
        <v>777</v>
      </c>
    </row>
    <row r="44" customFormat="false" ht="12" hidden="false" customHeight="true" outlineLevel="0" collapsed="false">
      <c r="A44" s="652" t="s">
        <v>778</v>
      </c>
    </row>
    <row r="94" customFormat="false" ht="10.15" hidden="false" customHeight="false" outlineLevel="0" collapsed="false">
      <c r="C94" s="620"/>
    </row>
    <row r="103" customFormat="false" ht="10.15" hidden="false" customHeight="false" outlineLevel="0" collapsed="false">
      <c r="A103" s="620" t="s">
        <v>779</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6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6" activeCellId="0" sqref="D16"/>
    </sheetView>
  </sheetViews>
  <sheetFormatPr defaultColWidth="8.66796875" defaultRowHeight="10.15" zeroHeight="false" outlineLevelRow="0" outlineLevelCol="0"/>
  <cols>
    <col collapsed="false" customWidth="true" hidden="false" outlineLevel="0" max="2" min="1" style="0" width="9.17"/>
    <col collapsed="false" customWidth="true" hidden="false" outlineLevel="0" max="3" min="3" style="0" width="15.5"/>
    <col collapsed="false" customWidth="true" hidden="false" outlineLevel="0" max="4" min="4" style="0" width="38.66"/>
    <col collapsed="false" customWidth="true" hidden="false" outlineLevel="0" max="5" min="5" style="0" width="9.17"/>
  </cols>
  <sheetData>
    <row r="1" customFormat="false" ht="10.15" hidden="false" customHeight="false" outlineLevel="0" collapsed="false">
      <c r="A1" s="810"/>
      <c r="B1" s="811"/>
      <c r="C1" s="812" t="s">
        <v>780</v>
      </c>
      <c r="D1" s="813" t="s">
        <v>703</v>
      </c>
      <c r="E1" s="449"/>
      <c r="J1" s="588"/>
      <c r="K1" s="588"/>
      <c r="L1" s="588"/>
      <c r="M1" s="588"/>
      <c r="N1" s="588"/>
      <c r="O1" s="588"/>
      <c r="P1" s="588"/>
      <c r="Q1" s="588"/>
      <c r="R1" s="588"/>
      <c r="S1" s="588"/>
      <c r="T1" s="588"/>
    </row>
    <row r="2" customFormat="false" ht="10.15" hidden="false" customHeight="false" outlineLevel="0" collapsed="false">
      <c r="A2" s="814" t="s">
        <v>254</v>
      </c>
      <c r="B2" s="588" t="n">
        <v>45292</v>
      </c>
      <c r="C2" s="573" t="n">
        <v>378.912720275879</v>
      </c>
      <c r="D2" s="815" t="n">
        <v>125.087279724121</v>
      </c>
      <c r="E2" s="620"/>
    </row>
    <row r="3" customFormat="false" ht="10.15" hidden="false" customHeight="false" outlineLevel="0" collapsed="false">
      <c r="A3" s="814"/>
      <c r="B3" s="588" t="n">
        <v>45323</v>
      </c>
      <c r="C3" s="573" t="n">
        <v>372.671</v>
      </c>
      <c r="D3" s="815" t="n">
        <v>131.329</v>
      </c>
      <c r="E3" s="620"/>
    </row>
    <row r="4" customFormat="false" ht="10.15" hidden="false" customHeight="false" outlineLevel="0" collapsed="false">
      <c r="A4" s="814"/>
      <c r="B4" s="588" t="n">
        <v>45352</v>
      </c>
      <c r="C4" s="573" t="n">
        <v>367.548</v>
      </c>
      <c r="D4" s="815" t="n">
        <v>136.452</v>
      </c>
      <c r="E4" s="620"/>
    </row>
    <row r="5" customFormat="false" ht="10.15" hidden="false" customHeight="false" outlineLevel="0" collapsed="false">
      <c r="A5" s="814"/>
      <c r="B5" s="588" t="n">
        <v>45383</v>
      </c>
      <c r="C5" s="573" t="n">
        <v>370.6</v>
      </c>
      <c r="D5" s="815" t="n">
        <v>133.4</v>
      </c>
      <c r="E5" s="620"/>
    </row>
    <row r="6" customFormat="false" ht="10.15" hidden="false" customHeight="false" outlineLevel="0" collapsed="false">
      <c r="A6" s="814"/>
      <c r="B6" s="588" t="n">
        <v>45413</v>
      </c>
      <c r="C6" s="573" t="n">
        <v>385.8055</v>
      </c>
      <c r="D6" s="815" t="n">
        <v>118.1945</v>
      </c>
      <c r="E6" s="620"/>
    </row>
    <row r="7" customFormat="false" ht="10.15" hidden="false" customHeight="false" outlineLevel="0" collapsed="false">
      <c r="A7" s="814"/>
      <c r="B7" s="588" t="n">
        <v>45444</v>
      </c>
      <c r="C7" s="573" t="n">
        <v>386.8955</v>
      </c>
      <c r="D7" s="815" t="n">
        <v>117.1045</v>
      </c>
      <c r="E7" s="620"/>
    </row>
    <row r="8" customFormat="false" ht="10.15" hidden="false" customHeight="false" outlineLevel="0" collapsed="false">
      <c r="A8" s="814"/>
      <c r="B8" s="588" t="n">
        <v>45474</v>
      </c>
      <c r="C8" s="573" t="n">
        <v>386.8955</v>
      </c>
      <c r="D8" s="815" t="n">
        <v>117.1045</v>
      </c>
      <c r="E8" s="620"/>
      <c r="I8" s="620"/>
    </row>
    <row r="9" customFormat="false" ht="10.15" hidden="false" customHeight="false" outlineLevel="0" collapsed="false">
      <c r="A9" s="814"/>
      <c r="B9" s="588" t="n">
        <v>45505</v>
      </c>
      <c r="C9" s="573" t="n">
        <v>387</v>
      </c>
      <c r="D9" s="815" t="n">
        <v>117</v>
      </c>
      <c r="E9" s="620"/>
    </row>
    <row r="10" customFormat="false" ht="10.15" hidden="false" customHeight="false" outlineLevel="0" collapsed="false">
      <c r="A10" s="814"/>
      <c r="B10" s="588" t="n">
        <v>45536</v>
      </c>
      <c r="C10" s="573" t="n">
        <v>386.5685</v>
      </c>
      <c r="D10" s="815" t="n">
        <v>117.4315</v>
      </c>
      <c r="E10" s="620"/>
    </row>
    <row r="11" customFormat="false" ht="10.15" hidden="false" customHeight="false" outlineLevel="0" collapsed="false">
      <c r="A11" s="814"/>
      <c r="B11" s="588" t="n">
        <v>45566</v>
      </c>
      <c r="C11" s="573" t="n">
        <v>385</v>
      </c>
      <c r="D11" s="815" t="n">
        <v>119</v>
      </c>
      <c r="E11" s="620"/>
    </row>
    <row r="12" customFormat="false" ht="10.15" hidden="false" customHeight="false" outlineLevel="0" collapsed="false">
      <c r="A12" s="814"/>
      <c r="B12" s="588" t="n">
        <v>45597</v>
      </c>
      <c r="C12" s="573" t="n">
        <v>388.912</v>
      </c>
      <c r="D12" s="815" t="n">
        <v>115.088</v>
      </c>
      <c r="E12" s="620"/>
    </row>
    <row r="13" customFormat="false" ht="10.15" hidden="false" customHeight="false" outlineLevel="0" collapsed="false">
      <c r="A13" s="814"/>
      <c r="B13" s="588" t="n">
        <v>45627</v>
      </c>
      <c r="C13" s="573" t="n">
        <v>387.168</v>
      </c>
      <c r="D13" s="815" t="n">
        <v>116.832</v>
      </c>
      <c r="E13" s="620"/>
    </row>
    <row r="14" customFormat="false" ht="10.9" hidden="false" customHeight="false" outlineLevel="0" collapsed="false">
      <c r="A14" s="814"/>
      <c r="B14" s="588" t="n">
        <v>45658</v>
      </c>
      <c r="C14" s="573" t="n">
        <f aca="false">'Plant loading'!G9</f>
        <v>382.372</v>
      </c>
      <c r="D14" s="815" t="n">
        <f aca="false">504-C14</f>
        <v>121.628</v>
      </c>
      <c r="E14" s="620"/>
      <c r="S14" s="0" t="s">
        <v>253</v>
      </c>
      <c r="T14" s="0" t="n">
        <v>315</v>
      </c>
    </row>
    <row r="15" customFormat="false" ht="10.15" hidden="false" customHeight="false" outlineLevel="0" collapsed="false">
      <c r="A15" s="816" t="s">
        <v>268</v>
      </c>
      <c r="B15" s="811"/>
      <c r="C15" s="812" t="s">
        <v>780</v>
      </c>
      <c r="D15" s="813" t="s">
        <v>703</v>
      </c>
      <c r="E15" s="620"/>
    </row>
    <row r="16" customFormat="false" ht="10.15" hidden="false" customHeight="false" outlineLevel="0" collapsed="false">
      <c r="A16" s="816"/>
      <c r="B16" s="588" t="n">
        <v>45292</v>
      </c>
      <c r="C16" s="809" t="n">
        <v>380.279828155518</v>
      </c>
      <c r="D16" s="815" t="n">
        <v>99.7201718444823</v>
      </c>
      <c r="S16" s="0" t="s">
        <v>781</v>
      </c>
      <c r="T16" s="0" t="n">
        <v>504</v>
      </c>
    </row>
    <row r="17" customFormat="false" ht="10.15" hidden="false" customHeight="false" outlineLevel="0" collapsed="false">
      <c r="A17" s="816"/>
      <c r="B17" s="588" t="n">
        <v>45323</v>
      </c>
      <c r="C17" s="573" t="n">
        <v>379.766</v>
      </c>
      <c r="D17" s="815" t="n">
        <v>100.234</v>
      </c>
      <c r="S17" s="0" t="s">
        <v>782</v>
      </c>
      <c r="T17" s="0" t="n">
        <v>315</v>
      </c>
    </row>
    <row r="18" customFormat="false" ht="10.15" hidden="false" customHeight="false" outlineLevel="0" collapsed="false">
      <c r="A18" s="816"/>
      <c r="B18" s="588" t="n">
        <v>45352</v>
      </c>
      <c r="C18" s="573" t="n">
        <v>380.093</v>
      </c>
      <c r="D18" s="815" t="n">
        <v>99.907</v>
      </c>
      <c r="S18" s="0" t="s">
        <v>697</v>
      </c>
      <c r="T18" s="0" t="n">
        <v>450</v>
      </c>
    </row>
    <row r="19" customFormat="false" ht="10.15" hidden="false" customHeight="false" outlineLevel="0" collapsed="false">
      <c r="A19" s="816"/>
      <c r="B19" s="588" t="n">
        <v>45383</v>
      </c>
      <c r="C19" s="573" t="n">
        <v>383.1475</v>
      </c>
      <c r="D19" s="815" t="n">
        <v>96.8525</v>
      </c>
      <c r="S19" s="0" t="s">
        <v>783</v>
      </c>
      <c r="T19" s="0" t="n">
        <v>450</v>
      </c>
    </row>
    <row r="20" customFormat="false" ht="10.15" hidden="false" customHeight="false" outlineLevel="0" collapsed="false">
      <c r="A20" s="816"/>
      <c r="B20" s="588" t="n">
        <v>45413</v>
      </c>
      <c r="C20" s="573" t="n">
        <v>401.7675</v>
      </c>
      <c r="D20" s="815" t="n">
        <v>78.2325</v>
      </c>
      <c r="S20" s="0" t="s">
        <v>784</v>
      </c>
      <c r="T20" s="0" t="n">
        <v>450</v>
      </c>
    </row>
    <row r="21" customFormat="false" ht="10.15" hidden="false" customHeight="false" outlineLevel="0" collapsed="false">
      <c r="A21" s="816"/>
      <c r="B21" s="588" t="n">
        <v>45444</v>
      </c>
      <c r="C21" s="573" t="n">
        <v>399.3695</v>
      </c>
      <c r="D21" s="815" t="n">
        <v>80.6305</v>
      </c>
    </row>
    <row r="22" customFormat="false" ht="10.15" hidden="false" customHeight="false" outlineLevel="0" collapsed="false">
      <c r="A22" s="816"/>
      <c r="B22" s="588" t="n">
        <v>45474</v>
      </c>
      <c r="C22" s="573" t="n">
        <v>399.3695</v>
      </c>
      <c r="D22" s="815" t="n">
        <v>80.6305</v>
      </c>
    </row>
    <row r="23" customFormat="false" ht="10.15" hidden="false" customHeight="false" outlineLevel="0" collapsed="false">
      <c r="A23" s="816"/>
      <c r="B23" s="588" t="n">
        <v>45505</v>
      </c>
      <c r="C23" s="573" t="n">
        <v>401</v>
      </c>
      <c r="D23" s="815" t="n">
        <v>79</v>
      </c>
    </row>
    <row r="24" customFormat="false" ht="10.15" hidden="false" customHeight="false" outlineLevel="0" collapsed="false">
      <c r="A24" s="816"/>
      <c r="B24" s="588" t="n">
        <v>45536</v>
      </c>
      <c r="C24" s="573" t="n">
        <v>403.419</v>
      </c>
      <c r="D24" s="815" t="n">
        <v>76.581</v>
      </c>
    </row>
    <row r="25" customFormat="false" ht="10.15" hidden="false" customHeight="false" outlineLevel="0" collapsed="false">
      <c r="A25" s="816"/>
      <c r="B25" s="588" t="n">
        <v>45566</v>
      </c>
      <c r="C25" s="573" t="n">
        <v>403</v>
      </c>
      <c r="D25" s="815" t="n">
        <v>77</v>
      </c>
    </row>
    <row r="26" customFormat="false" ht="10.15" hidden="false" customHeight="false" outlineLevel="0" collapsed="false">
      <c r="A26" s="816"/>
      <c r="B26" s="588" t="n">
        <v>45597</v>
      </c>
      <c r="C26" s="573" t="n">
        <v>403.092</v>
      </c>
      <c r="D26" s="815" t="n">
        <v>76.908</v>
      </c>
    </row>
    <row r="27" customFormat="false" ht="10.15" hidden="false" customHeight="false" outlineLevel="0" collapsed="false">
      <c r="A27" s="816"/>
      <c r="B27" s="588" t="n">
        <v>45627</v>
      </c>
      <c r="C27" s="573" t="n">
        <v>402.329</v>
      </c>
      <c r="D27" s="817" t="n">
        <v>77.671</v>
      </c>
    </row>
    <row r="28" customFormat="false" ht="10.9" hidden="false" customHeight="false" outlineLevel="0" collapsed="false">
      <c r="A28" s="816"/>
      <c r="B28" s="588" t="n">
        <v>45658</v>
      </c>
      <c r="C28" s="573" t="n">
        <f aca="false">'Plant loading'!G64+'Power figures'!J11</f>
        <v>396.661</v>
      </c>
      <c r="D28" s="817" t="n">
        <f aca="false">480-C28</f>
        <v>83.339</v>
      </c>
    </row>
    <row r="29" customFormat="false" ht="10.15" hidden="false" customHeight="false" outlineLevel="0" collapsed="false">
      <c r="A29" s="816" t="s">
        <v>267</v>
      </c>
      <c r="B29" s="811"/>
      <c r="C29" s="812" t="s">
        <v>780</v>
      </c>
      <c r="D29" s="813" t="s">
        <v>703</v>
      </c>
    </row>
    <row r="30" customFormat="false" ht="10.15" hidden="false" customHeight="false" outlineLevel="0" collapsed="false">
      <c r="A30" s="816"/>
      <c r="B30" s="588" t="n">
        <v>45292</v>
      </c>
      <c r="C30" s="573" t="n">
        <v>331.5235</v>
      </c>
      <c r="D30" s="817" t="n">
        <v>148.4765</v>
      </c>
    </row>
    <row r="31" customFormat="false" ht="10.15" hidden="false" customHeight="false" outlineLevel="0" collapsed="false">
      <c r="A31" s="816"/>
      <c r="B31" s="588" t="n">
        <v>45323</v>
      </c>
      <c r="C31" s="573" t="n">
        <v>331.251</v>
      </c>
      <c r="D31" s="817" t="n">
        <v>148.749</v>
      </c>
    </row>
    <row r="32" customFormat="false" ht="10.15" hidden="false" customHeight="false" outlineLevel="0" collapsed="false">
      <c r="A32" s="816"/>
      <c r="B32" s="588" t="n">
        <v>45352</v>
      </c>
      <c r="C32" s="573" t="n">
        <v>335.829</v>
      </c>
      <c r="D32" s="817" t="n">
        <v>144.171</v>
      </c>
    </row>
    <row r="33" customFormat="false" ht="10.15" hidden="false" customHeight="false" outlineLevel="0" collapsed="false">
      <c r="A33" s="816"/>
      <c r="B33" s="588" t="n">
        <v>45383</v>
      </c>
      <c r="C33" s="573" t="n">
        <v>335.5565</v>
      </c>
      <c r="D33" s="817" t="n">
        <v>144.4435</v>
      </c>
    </row>
    <row r="34" customFormat="false" ht="10.15" hidden="false" customHeight="false" outlineLevel="0" collapsed="false">
      <c r="A34" s="816"/>
      <c r="B34" s="588" t="n">
        <v>45413</v>
      </c>
      <c r="C34" s="573" t="n">
        <v>336.919</v>
      </c>
      <c r="D34" s="817" t="n">
        <v>143.081</v>
      </c>
    </row>
    <row r="35" customFormat="false" ht="10.15" hidden="false" customHeight="false" outlineLevel="0" collapsed="false">
      <c r="A35" s="816"/>
      <c r="B35" s="588" t="n">
        <v>45444</v>
      </c>
      <c r="C35" s="573" t="n">
        <v>333.649</v>
      </c>
      <c r="D35" s="817" t="n">
        <v>146.351</v>
      </c>
    </row>
    <row r="36" customFormat="false" ht="10.15" hidden="false" customHeight="false" outlineLevel="0" collapsed="false">
      <c r="A36" s="816"/>
      <c r="B36" s="588" t="n">
        <v>45474</v>
      </c>
      <c r="C36" s="573" t="n">
        <v>333.649</v>
      </c>
      <c r="D36" s="817" t="n">
        <v>146.351</v>
      </c>
    </row>
    <row r="37" customFormat="false" ht="10.15" hidden="false" customHeight="false" outlineLevel="0" collapsed="false">
      <c r="A37" s="816"/>
      <c r="B37" s="588" t="n">
        <v>45505</v>
      </c>
      <c r="C37" s="573" t="n">
        <v>333.8125</v>
      </c>
      <c r="D37" s="817" t="n">
        <v>146.1875</v>
      </c>
    </row>
    <row r="38" customFormat="false" ht="10.15" hidden="false" customHeight="false" outlineLevel="0" collapsed="false">
      <c r="A38" s="816"/>
      <c r="B38" s="588" t="n">
        <v>45536</v>
      </c>
      <c r="C38" s="573" t="n">
        <v>334.085</v>
      </c>
      <c r="D38" s="817" t="n">
        <v>145.915</v>
      </c>
    </row>
    <row r="39" customFormat="false" ht="10.15" hidden="false" customHeight="false" outlineLevel="0" collapsed="false">
      <c r="A39" s="816"/>
      <c r="B39" s="588" t="n">
        <v>45566</v>
      </c>
      <c r="C39" s="573" t="n">
        <v>330</v>
      </c>
      <c r="D39" s="817" t="n">
        <v>150</v>
      </c>
    </row>
    <row r="40" customFormat="false" ht="10.15" hidden="false" customHeight="false" outlineLevel="0" collapsed="false">
      <c r="A40" s="816"/>
      <c r="B40" s="588" t="n">
        <v>45597</v>
      </c>
      <c r="C40" s="573" t="n">
        <v>331.0875</v>
      </c>
      <c r="D40" s="817" t="n">
        <v>148.9125</v>
      </c>
    </row>
    <row r="41" customFormat="false" ht="10.15" hidden="false" customHeight="false" outlineLevel="0" collapsed="false">
      <c r="A41" s="816"/>
      <c r="B41" s="588" t="n">
        <v>45627</v>
      </c>
      <c r="C41" s="573" t="n">
        <v>330.2155</v>
      </c>
      <c r="D41" s="817" t="n">
        <v>149.7845</v>
      </c>
    </row>
    <row r="42" customFormat="false" ht="10.15" hidden="false" customHeight="false" outlineLevel="0" collapsed="false">
      <c r="A42" s="816"/>
      <c r="B42" s="588" t="n">
        <v>45658</v>
      </c>
      <c r="C42" s="573" t="n">
        <f aca="false">'Plant loading'!G56</f>
        <v>330.3245</v>
      </c>
      <c r="D42" s="817" t="n">
        <f aca="false">480-C42</f>
        <v>149.6755</v>
      </c>
    </row>
    <row r="43" customFormat="false" ht="10.15" hidden="false" customHeight="false" outlineLevel="0" collapsed="false">
      <c r="A43" s="818" t="s">
        <v>259</v>
      </c>
      <c r="B43" s="811"/>
      <c r="C43" s="812" t="s">
        <v>780</v>
      </c>
      <c r="D43" s="813" t="s">
        <v>703</v>
      </c>
    </row>
    <row r="44" customFormat="false" ht="10.15" hidden="false" customHeight="false" outlineLevel="0" collapsed="false">
      <c r="A44" s="818"/>
      <c r="B44" s="588" t="n">
        <v>45292</v>
      </c>
      <c r="C44" s="573" t="n">
        <v>286.989312652588</v>
      </c>
      <c r="D44" s="817" t="n">
        <v>91.010687347412</v>
      </c>
    </row>
    <row r="45" customFormat="false" ht="10.15" hidden="false" customHeight="false" outlineLevel="0" collapsed="false">
      <c r="A45" s="818"/>
      <c r="B45" s="588" t="n">
        <v>45323</v>
      </c>
      <c r="C45" s="573" t="n">
        <v>285.6345</v>
      </c>
      <c r="D45" s="817" t="n">
        <v>92.3655</v>
      </c>
    </row>
    <row r="46" customFormat="false" ht="10.15" hidden="false" customHeight="false" outlineLevel="0" collapsed="false">
      <c r="A46" s="818"/>
      <c r="B46" s="588" t="n">
        <v>45352</v>
      </c>
      <c r="C46" s="573" t="n">
        <v>286.9425</v>
      </c>
      <c r="D46" s="817" t="n">
        <v>91.0575</v>
      </c>
    </row>
    <row r="47" customFormat="false" ht="10.15" hidden="false" customHeight="false" outlineLevel="0" collapsed="false">
      <c r="A47" s="818"/>
      <c r="B47" s="588" t="n">
        <v>45383</v>
      </c>
      <c r="C47" s="573" t="n">
        <v>290.1035</v>
      </c>
      <c r="D47" s="817" t="n">
        <v>87.8965</v>
      </c>
    </row>
    <row r="48" customFormat="false" ht="10.15" hidden="false" customHeight="false" outlineLevel="0" collapsed="false">
      <c r="A48" s="818"/>
      <c r="B48" s="588" t="n">
        <v>45413</v>
      </c>
      <c r="C48" s="573" t="n">
        <v>287.76</v>
      </c>
      <c r="D48" s="817" t="n">
        <v>90.24</v>
      </c>
    </row>
    <row r="49" customFormat="false" ht="10.15" hidden="false" customHeight="false" outlineLevel="0" collapsed="false">
      <c r="A49" s="818"/>
      <c r="B49" s="588" t="n">
        <v>45444</v>
      </c>
      <c r="C49" s="573" t="n">
        <v>288.0325</v>
      </c>
      <c r="D49" s="817" t="n">
        <v>89.9675</v>
      </c>
    </row>
    <row r="50" customFormat="false" ht="10.15" hidden="false" customHeight="false" outlineLevel="0" collapsed="false">
      <c r="A50" s="818"/>
      <c r="B50" s="588" t="n">
        <v>45474</v>
      </c>
      <c r="C50" s="573" t="n">
        <v>288.0325</v>
      </c>
      <c r="D50" s="817" t="n">
        <v>89.9675</v>
      </c>
    </row>
    <row r="51" customFormat="false" ht="10.15" hidden="false" customHeight="false" outlineLevel="0" collapsed="false">
      <c r="A51" s="818"/>
      <c r="B51" s="588" t="n">
        <v>45505</v>
      </c>
      <c r="C51" s="573" t="n">
        <v>288.4685</v>
      </c>
      <c r="D51" s="817" t="n">
        <v>89.5315</v>
      </c>
    </row>
    <row r="52" customFormat="false" ht="10.15" hidden="false" customHeight="false" outlineLevel="0" collapsed="false">
      <c r="A52" s="818"/>
      <c r="B52" s="588" t="n">
        <v>45536</v>
      </c>
      <c r="C52" s="573" t="n">
        <v>289.0135</v>
      </c>
      <c r="D52" s="817" t="n">
        <v>88.9865</v>
      </c>
    </row>
    <row r="53" customFormat="false" ht="10.15" hidden="false" customHeight="false" outlineLevel="0" collapsed="false">
      <c r="A53" s="818"/>
      <c r="B53" s="588" t="n">
        <v>45566</v>
      </c>
      <c r="C53" s="573" t="n">
        <v>287.651</v>
      </c>
      <c r="D53" s="817" t="n">
        <v>90.349</v>
      </c>
    </row>
    <row r="54" customFormat="false" ht="10.15" hidden="false" customHeight="false" outlineLevel="0" collapsed="false">
      <c r="A54" s="818"/>
      <c r="B54" s="588" t="n">
        <v>45597</v>
      </c>
      <c r="C54" s="573" t="n">
        <v>295.935</v>
      </c>
      <c r="D54" s="817" t="n">
        <v>82.065</v>
      </c>
    </row>
    <row r="55" customFormat="false" ht="10.15" hidden="false" customHeight="false" outlineLevel="0" collapsed="false">
      <c r="A55" s="818"/>
      <c r="B55" s="588" t="n">
        <v>45627</v>
      </c>
      <c r="C55" s="573" t="n">
        <v>294.1365</v>
      </c>
      <c r="D55" s="817" t="n">
        <v>83.8635</v>
      </c>
    </row>
    <row r="56" customFormat="false" ht="10.9" hidden="false" customHeight="false" outlineLevel="0" collapsed="false">
      <c r="A56" s="818"/>
      <c r="B56" s="819" t="n">
        <v>45658</v>
      </c>
      <c r="C56" s="820" t="n">
        <f aca="false">'Plant loading'!G22</f>
        <v>294.736</v>
      </c>
      <c r="D56" s="821" t="n">
        <f aca="false">378-C56</f>
        <v>83.264</v>
      </c>
    </row>
    <row r="57" customFormat="false" ht="10.15" hidden="false" customHeight="false" outlineLevel="0" collapsed="false">
      <c r="A57" s="814" t="s">
        <v>265</v>
      </c>
      <c r="C57" s="620" t="s">
        <v>780</v>
      </c>
      <c r="D57" s="822" t="s">
        <v>703</v>
      </c>
    </row>
    <row r="58" customFormat="false" ht="10.15" hidden="false" customHeight="false" outlineLevel="0" collapsed="false">
      <c r="A58" s="814"/>
      <c r="B58" s="588" t="n">
        <v>45292</v>
      </c>
      <c r="C58" s="573" t="n">
        <v>290.376</v>
      </c>
      <c r="D58" s="817" t="n">
        <v>171.624</v>
      </c>
    </row>
    <row r="59" customFormat="false" ht="10.15" hidden="false" customHeight="false" outlineLevel="0" collapsed="false">
      <c r="A59" s="814"/>
      <c r="B59" s="588" t="n">
        <v>45323</v>
      </c>
      <c r="C59" s="573" t="n">
        <v>295.172</v>
      </c>
      <c r="D59" s="817" t="n">
        <v>166.828</v>
      </c>
    </row>
    <row r="60" customFormat="false" ht="10.15" hidden="false" customHeight="false" outlineLevel="0" collapsed="false">
      <c r="A60" s="814"/>
      <c r="B60" s="588" t="n">
        <v>45352</v>
      </c>
      <c r="C60" s="573" t="n">
        <v>295.2265</v>
      </c>
      <c r="D60" s="817" t="n">
        <v>166.7735</v>
      </c>
    </row>
    <row r="61" customFormat="false" ht="10.15" hidden="false" customHeight="false" outlineLevel="0" collapsed="false">
      <c r="A61" s="814"/>
      <c r="B61" s="588" t="n">
        <v>45383</v>
      </c>
      <c r="C61" s="573" t="n">
        <v>285.798</v>
      </c>
      <c r="D61" s="817" t="n">
        <v>176.202</v>
      </c>
    </row>
    <row r="62" customFormat="false" ht="10.15" hidden="false" customHeight="false" outlineLevel="0" collapsed="false">
      <c r="A62" s="814"/>
      <c r="B62" s="588" t="n">
        <v>45413</v>
      </c>
      <c r="C62" s="573" t="n">
        <v>287.324</v>
      </c>
      <c r="D62" s="817" t="n">
        <v>174.676</v>
      </c>
    </row>
    <row r="63" customFormat="false" ht="10.15" hidden="false" customHeight="false" outlineLevel="0" collapsed="false">
      <c r="A63" s="814"/>
      <c r="B63" s="588" t="n">
        <v>45444</v>
      </c>
      <c r="C63" s="573" t="n">
        <v>285.362</v>
      </c>
      <c r="D63" s="817" t="n">
        <v>176.638</v>
      </c>
    </row>
    <row r="64" customFormat="false" ht="10.15" hidden="false" customHeight="false" outlineLevel="0" collapsed="false">
      <c r="A64" s="814"/>
      <c r="B64" s="588" t="n">
        <v>45474</v>
      </c>
      <c r="C64" s="573" t="n">
        <v>285.362</v>
      </c>
      <c r="D64" s="817" t="n">
        <v>176.638</v>
      </c>
    </row>
    <row r="65" customFormat="false" ht="10.15" hidden="false" customHeight="false" outlineLevel="0" collapsed="false">
      <c r="A65" s="814"/>
      <c r="B65" s="588" t="n">
        <v>45505</v>
      </c>
      <c r="C65" s="573" t="n">
        <v>285</v>
      </c>
      <c r="D65" s="817" t="n">
        <v>177</v>
      </c>
    </row>
    <row r="66" customFormat="false" ht="10.15" hidden="false" customHeight="false" outlineLevel="0" collapsed="false">
      <c r="A66" s="814"/>
      <c r="B66" s="588" t="n">
        <v>45536</v>
      </c>
      <c r="C66" s="573" t="n">
        <v>286.9425</v>
      </c>
      <c r="D66" s="817" t="n">
        <v>175.0575</v>
      </c>
    </row>
    <row r="67" customFormat="false" ht="10.15" hidden="false" customHeight="false" outlineLevel="0" collapsed="false">
      <c r="A67" s="814"/>
      <c r="B67" s="588" t="n">
        <v>45566</v>
      </c>
      <c r="C67" s="573" t="n">
        <v>286</v>
      </c>
      <c r="D67" s="817" t="n">
        <v>176</v>
      </c>
    </row>
    <row r="68" customFormat="false" ht="10.15" hidden="false" customHeight="false" outlineLevel="0" collapsed="false">
      <c r="A68" s="814"/>
      <c r="B68" s="588" t="n">
        <v>45597</v>
      </c>
      <c r="C68" s="573" t="n">
        <v>295.8805</v>
      </c>
      <c r="D68" s="817" t="n">
        <v>166.1195</v>
      </c>
    </row>
    <row r="69" customFormat="false" ht="10.15" hidden="false" customHeight="false" outlineLevel="0" collapsed="false">
      <c r="A69" s="814"/>
      <c r="B69" s="588" t="n">
        <v>45627</v>
      </c>
      <c r="C69" s="573" t="n">
        <v>294.954</v>
      </c>
      <c r="D69" s="817" t="n">
        <v>167.046</v>
      </c>
    </row>
    <row r="70" customFormat="false" ht="10.9" hidden="false" customHeight="false" outlineLevel="0" collapsed="false">
      <c r="A70" s="814"/>
      <c r="B70" s="588" t="n">
        <v>45658</v>
      </c>
      <c r="C70" s="573" t="n">
        <f aca="false">'Plant loading'!G39</f>
        <v>282.5825</v>
      </c>
      <c r="D70" s="817" t="n">
        <f aca="false">462-C70</f>
        <v>179.4175</v>
      </c>
    </row>
    <row r="71" customFormat="false" ht="10.15" hidden="false" customHeight="false" outlineLevel="0" collapsed="false">
      <c r="A71" s="818" t="s">
        <v>263</v>
      </c>
      <c r="B71" s="811"/>
      <c r="C71" s="812" t="s">
        <v>780</v>
      </c>
      <c r="D71" s="813" t="s">
        <v>703</v>
      </c>
    </row>
    <row r="72" customFormat="false" ht="10.15" hidden="false" customHeight="false" outlineLevel="0" collapsed="false">
      <c r="A72" s="818"/>
      <c r="B72" s="588" t="n">
        <v>45292</v>
      </c>
      <c r="C72" s="573" t="n">
        <v>260.482314239502</v>
      </c>
      <c r="D72" s="817" t="n">
        <v>204.517685760498</v>
      </c>
    </row>
    <row r="73" customFormat="false" ht="10.15" hidden="false" customHeight="false" outlineLevel="0" collapsed="false">
      <c r="A73" s="818"/>
      <c r="B73" s="588" t="n">
        <v>45323</v>
      </c>
      <c r="C73" s="573" t="n">
        <v>260.183</v>
      </c>
      <c r="D73" s="817" t="n">
        <v>204.817</v>
      </c>
    </row>
    <row r="74" customFormat="false" ht="10.15" hidden="false" customHeight="false" outlineLevel="0" collapsed="false">
      <c r="A74" s="818"/>
      <c r="B74" s="588" t="n">
        <v>45352</v>
      </c>
      <c r="C74" s="573" t="n">
        <v>260.3465</v>
      </c>
      <c r="D74" s="817" t="n">
        <v>204.6535</v>
      </c>
    </row>
    <row r="75" customFormat="false" ht="10.15" hidden="false" customHeight="false" outlineLevel="0" collapsed="false">
      <c r="A75" s="818"/>
      <c r="B75" s="588" t="n">
        <v>45383</v>
      </c>
      <c r="C75" s="573" t="n">
        <v>260.51</v>
      </c>
      <c r="D75" s="817" t="n">
        <v>204.49</v>
      </c>
    </row>
    <row r="76" customFormat="false" ht="10.15" hidden="false" customHeight="false" outlineLevel="0" collapsed="false">
      <c r="A76" s="818"/>
      <c r="B76" s="588" t="n">
        <v>45413</v>
      </c>
      <c r="C76" s="573" t="n">
        <v>271.6825</v>
      </c>
      <c r="D76" s="817" t="n">
        <v>193.3175</v>
      </c>
    </row>
    <row r="77" customFormat="false" ht="10.15" hidden="false" customHeight="false" outlineLevel="0" collapsed="false">
      <c r="A77" s="818"/>
      <c r="B77" s="588" t="n">
        <v>45444</v>
      </c>
      <c r="C77" s="573" t="n">
        <v>274.68</v>
      </c>
      <c r="D77" s="817" t="n">
        <v>190.32</v>
      </c>
    </row>
    <row r="78" customFormat="false" ht="10.15" hidden="false" customHeight="false" outlineLevel="0" collapsed="false">
      <c r="A78" s="818"/>
      <c r="B78" s="588" t="n">
        <v>45474</v>
      </c>
      <c r="C78" s="573" t="n">
        <v>274.68</v>
      </c>
      <c r="D78" s="817" t="n">
        <v>190.32</v>
      </c>
    </row>
    <row r="79" customFormat="false" ht="10.15" hidden="false" customHeight="false" outlineLevel="0" collapsed="false">
      <c r="A79" s="818"/>
      <c r="B79" s="588" t="n">
        <v>45505</v>
      </c>
      <c r="C79" s="573" t="n">
        <v>274.898</v>
      </c>
      <c r="D79" s="817" t="n">
        <v>190.102</v>
      </c>
      <c r="F79" s="0" t="s">
        <v>450</v>
      </c>
      <c r="G79" s="588" t="n">
        <v>42736</v>
      </c>
      <c r="H79" s="588" t="n">
        <v>42826</v>
      </c>
      <c r="I79" s="588" t="n">
        <v>42917</v>
      </c>
      <c r="J79" s="588" t="n">
        <v>43009</v>
      </c>
      <c r="K79" s="588" t="n">
        <v>43101</v>
      </c>
      <c r="L79" s="588" t="n">
        <v>43191</v>
      </c>
      <c r="M79" s="588" t="n">
        <v>43282</v>
      </c>
      <c r="N79" s="588" t="n">
        <v>43374</v>
      </c>
      <c r="O79" s="588" t="n">
        <v>43466</v>
      </c>
      <c r="P79" s="588" t="n">
        <v>43556</v>
      </c>
      <c r="Q79" s="588" t="n">
        <v>43647</v>
      </c>
      <c r="R79" s="588" t="n">
        <v>43739</v>
      </c>
      <c r="S79" s="588" t="n">
        <v>43831</v>
      </c>
      <c r="T79" s="588" t="n">
        <v>43922</v>
      </c>
      <c r="U79" s="588" t="n">
        <v>44013</v>
      </c>
      <c r="V79" s="588" t="n">
        <v>44105</v>
      </c>
      <c r="W79" s="588" t="n">
        <v>44197</v>
      </c>
      <c r="X79" s="588" t="n">
        <v>44287</v>
      </c>
      <c r="Y79" s="588" t="n">
        <v>44378</v>
      </c>
      <c r="Z79" s="588" t="n">
        <v>44470</v>
      </c>
      <c r="AA79" s="588" t="n">
        <v>44562</v>
      </c>
      <c r="AB79" s="588" t="n">
        <v>44652</v>
      </c>
      <c r="AC79" s="588" t="n">
        <v>44743</v>
      </c>
      <c r="AD79" s="588" t="n">
        <v>44835</v>
      </c>
      <c r="AE79" s="588" t="n">
        <v>44927</v>
      </c>
    </row>
    <row r="80" customFormat="false" ht="10.15" hidden="false" customHeight="false" outlineLevel="0" collapsed="false">
      <c r="A80" s="818"/>
      <c r="B80" s="588" t="n">
        <v>45536</v>
      </c>
      <c r="C80" s="573" t="n">
        <v>274.898</v>
      </c>
      <c r="D80" s="817" t="n">
        <v>190.102</v>
      </c>
      <c r="F80" s="561" t="s">
        <v>253</v>
      </c>
      <c r="G80" s="823" t="n">
        <v>175.8715</v>
      </c>
      <c r="H80" s="823" t="n">
        <v>164.2085</v>
      </c>
      <c r="I80" s="823" t="n">
        <v>166.77</v>
      </c>
      <c r="J80" s="823" t="n">
        <v>171.457</v>
      </c>
      <c r="K80" s="573" t="n">
        <v>172.329</v>
      </c>
      <c r="L80" s="573" t="n">
        <v>165.244</v>
      </c>
      <c r="M80" s="573" t="n">
        <v>167.2605</v>
      </c>
      <c r="N80" s="573" t="n">
        <v>168.187</v>
      </c>
      <c r="O80" s="573" t="n">
        <v>172.874</v>
      </c>
      <c r="P80" s="573" t="n">
        <v>179.087</v>
      </c>
      <c r="Q80" s="573" t="n">
        <v>180.286</v>
      </c>
      <c r="R80" s="573" t="n">
        <v>182.684</v>
      </c>
      <c r="S80" s="573" t="n">
        <v>188.2975</v>
      </c>
      <c r="T80" s="573" t="n">
        <v>190</v>
      </c>
      <c r="U80" s="573" t="n">
        <v>200</v>
      </c>
      <c r="V80" s="573" t="n">
        <v>200</v>
      </c>
      <c r="W80" s="573" t="n">
        <v>198</v>
      </c>
    </row>
    <row r="81" customFormat="false" ht="11.1" hidden="false" customHeight="true" outlineLevel="0" collapsed="false">
      <c r="A81" s="818"/>
      <c r="B81" s="588" t="n">
        <v>45566</v>
      </c>
      <c r="C81" s="573" t="n">
        <v>277</v>
      </c>
      <c r="D81" s="817" t="n">
        <v>188</v>
      </c>
      <c r="F81" s="561" t="s">
        <v>254</v>
      </c>
      <c r="G81" s="823" t="n">
        <v>294.409</v>
      </c>
      <c r="H81" s="823" t="n">
        <v>299.2595</v>
      </c>
      <c r="I81" s="823" t="n">
        <v>285.7435</v>
      </c>
      <c r="J81" s="823" t="n">
        <v>286.452</v>
      </c>
      <c r="K81" s="573" t="n">
        <v>305.2545</v>
      </c>
      <c r="L81" s="573" t="n">
        <v>321.114</v>
      </c>
      <c r="M81" s="573" t="n">
        <v>329.7795</v>
      </c>
      <c r="N81" s="573" t="n">
        <v>330.924</v>
      </c>
      <c r="O81" s="573" t="n">
        <v>323.5665</v>
      </c>
      <c r="P81" s="573" t="n">
        <v>350.1625</v>
      </c>
      <c r="Q81" s="573" t="n">
        <v>340.516</v>
      </c>
      <c r="R81" s="573" t="n">
        <v>343.241</v>
      </c>
      <c r="S81" s="573" t="n">
        <v>369.1285</v>
      </c>
      <c r="T81" s="573" t="n">
        <v>369</v>
      </c>
      <c r="U81" s="573" t="n">
        <v>376</v>
      </c>
      <c r="V81" s="573" t="n">
        <v>419</v>
      </c>
      <c r="W81" s="573" t="n">
        <v>406</v>
      </c>
    </row>
    <row r="82" customFormat="false" ht="11.1" hidden="false" customHeight="true" outlineLevel="0" collapsed="false">
      <c r="A82" s="818"/>
      <c r="B82" s="588" t="n">
        <v>45597</v>
      </c>
      <c r="C82" s="573" t="n">
        <v>311.086</v>
      </c>
      <c r="D82" s="817" t="n">
        <v>153.914</v>
      </c>
      <c r="F82" s="561" t="s">
        <v>256</v>
      </c>
      <c r="G82" s="823" t="n">
        <v>143.444</v>
      </c>
      <c r="H82" s="823" t="n">
        <v>145.188</v>
      </c>
      <c r="I82" s="823" t="n">
        <v>146.6595</v>
      </c>
      <c r="J82" s="823" t="n">
        <v>146.7685</v>
      </c>
      <c r="K82" s="573" t="n">
        <v>146.0055</v>
      </c>
      <c r="L82" s="573" t="n">
        <v>140.937</v>
      </c>
      <c r="M82" s="573" t="n">
        <v>137.558</v>
      </c>
      <c r="N82" s="573" t="n">
        <v>140.0105</v>
      </c>
      <c r="O82" s="573" t="n">
        <v>141.482</v>
      </c>
      <c r="P82" s="573" t="n">
        <v>141.4275</v>
      </c>
      <c r="Q82" s="573" t="n">
        <v>137.7215</v>
      </c>
      <c r="R82" s="573" t="n">
        <v>141.8635</v>
      </c>
      <c r="S82" s="573" t="n">
        <v>145.624</v>
      </c>
      <c r="T82" s="573" t="n">
        <v>146</v>
      </c>
      <c r="U82" s="573" t="n">
        <v>146</v>
      </c>
      <c r="V82" s="573" t="n">
        <v>147</v>
      </c>
      <c r="W82" s="573" t="n">
        <v>150</v>
      </c>
    </row>
    <row r="83" customFormat="false" ht="11.85" hidden="false" customHeight="true" outlineLevel="0" collapsed="false">
      <c r="A83" s="818"/>
      <c r="B83" s="588" t="n">
        <v>45627</v>
      </c>
      <c r="C83" s="573" t="n">
        <v>308.579</v>
      </c>
      <c r="D83" s="817" t="n">
        <v>156.421</v>
      </c>
      <c r="F83" s="561" t="s">
        <v>259</v>
      </c>
      <c r="G83" s="823" t="n">
        <v>148.5125</v>
      </c>
      <c r="H83" s="823" t="n">
        <v>148.785</v>
      </c>
      <c r="I83" s="823" t="n">
        <v>138.1575</v>
      </c>
      <c r="J83" s="823" t="n">
        <v>137.9395</v>
      </c>
      <c r="K83" s="573" t="n">
        <v>137.994</v>
      </c>
      <c r="L83" s="573" t="n">
        <v>130.909</v>
      </c>
      <c r="M83" s="573" t="n">
        <v>128.729</v>
      </c>
      <c r="N83" s="573" t="n">
        <v>128.838</v>
      </c>
      <c r="O83" s="573" t="n">
        <v>196.636</v>
      </c>
      <c r="P83" s="573" t="n">
        <v>189.3875</v>
      </c>
      <c r="Q83" s="573" t="n">
        <v>196.527</v>
      </c>
      <c r="R83" s="573" t="n">
        <v>199.143</v>
      </c>
      <c r="S83" s="573" t="n">
        <v>215.7655</v>
      </c>
      <c r="T83" s="573" t="n">
        <v>207</v>
      </c>
      <c r="U83" s="573" t="n">
        <v>239</v>
      </c>
      <c r="V83" s="573" t="n">
        <v>246</v>
      </c>
      <c r="W83" s="573" t="n">
        <v>246</v>
      </c>
    </row>
    <row r="84" customFormat="false" ht="10.35" hidden="false" customHeight="true" outlineLevel="0" collapsed="false">
      <c r="A84" s="818"/>
      <c r="B84" s="819" t="n">
        <v>45658</v>
      </c>
      <c r="C84" s="820" t="n">
        <f aca="false">'Plant loading'!G32</f>
        <v>309.2875</v>
      </c>
      <c r="D84" s="821" t="n">
        <f aca="false">465-C84</f>
        <v>155.7125</v>
      </c>
      <c r="F84" s="561" t="s">
        <v>261</v>
      </c>
      <c r="G84" s="823" t="n">
        <v>76.5</v>
      </c>
      <c r="H84" s="823" t="n">
        <v>76.5</v>
      </c>
      <c r="I84" s="823" t="n">
        <v>76.5</v>
      </c>
      <c r="J84" s="823" t="n">
        <v>76.5</v>
      </c>
      <c r="K84" s="573" t="n">
        <v>76.5</v>
      </c>
      <c r="L84" s="573" t="n">
        <v>76.5</v>
      </c>
      <c r="M84" s="573" t="n">
        <v>76.5</v>
      </c>
      <c r="N84" s="573" t="n">
        <v>76.5</v>
      </c>
      <c r="O84" s="573" t="n">
        <v>76.5</v>
      </c>
      <c r="P84" s="573" t="n">
        <v>76.5</v>
      </c>
      <c r="Q84" s="573" t="n">
        <v>76.5</v>
      </c>
      <c r="R84" s="573" t="n">
        <v>76.5</v>
      </c>
      <c r="S84" s="573" t="n">
        <v>76.5</v>
      </c>
      <c r="T84" s="573" t="n">
        <v>77</v>
      </c>
      <c r="U84" s="573" t="n">
        <v>77</v>
      </c>
      <c r="V84" s="573" t="n">
        <v>77</v>
      </c>
      <c r="W84" s="573" t="n">
        <v>77</v>
      </c>
    </row>
    <row r="85" customFormat="false" ht="11.1" hidden="false" customHeight="true" outlineLevel="0" collapsed="false">
      <c r="A85" s="824" t="s">
        <v>269</v>
      </c>
      <c r="C85" s="620" t="s">
        <v>780</v>
      </c>
      <c r="D85" s="822" t="s">
        <v>703</v>
      </c>
      <c r="F85" s="561" t="s">
        <v>263</v>
      </c>
      <c r="G85" s="823" t="n">
        <v>161.2655</v>
      </c>
      <c r="H85" s="823" t="n">
        <v>165.0805</v>
      </c>
      <c r="I85" s="823" t="n">
        <v>159.685</v>
      </c>
      <c r="J85" s="823" t="n">
        <v>159.358</v>
      </c>
      <c r="K85" s="573" t="n">
        <v>155.87</v>
      </c>
      <c r="L85" s="573" t="n">
        <v>151.8915</v>
      </c>
      <c r="M85" s="573" t="n">
        <v>151.946</v>
      </c>
      <c r="N85" s="573" t="n">
        <v>152.3275</v>
      </c>
      <c r="O85" s="573" t="n">
        <v>154.2895</v>
      </c>
      <c r="P85" s="573" t="n">
        <v>151.7825</v>
      </c>
      <c r="Q85" s="573" t="n">
        <v>142.4085</v>
      </c>
      <c r="R85" s="573" t="n">
        <v>143.771</v>
      </c>
      <c r="S85" s="573" t="n">
        <v>145.4605</v>
      </c>
      <c r="T85" s="573" t="n">
        <v>147</v>
      </c>
      <c r="U85" s="573" t="n">
        <v>146</v>
      </c>
      <c r="V85" s="573" t="n">
        <v>147</v>
      </c>
      <c r="W85" s="573" t="n">
        <v>157</v>
      </c>
    </row>
    <row r="86" customFormat="false" ht="11.1" hidden="false" customHeight="true" outlineLevel="0" collapsed="false">
      <c r="A86" s="824"/>
      <c r="B86" s="588" t="n">
        <v>45292</v>
      </c>
      <c r="C86" s="573" t="n">
        <v>292.556</v>
      </c>
      <c r="D86" s="817" t="n">
        <v>173.444</v>
      </c>
      <c r="F86" s="561" t="s">
        <v>697</v>
      </c>
      <c r="G86" s="823" t="n">
        <v>294.122</v>
      </c>
      <c r="H86" s="823" t="n">
        <v>285.767</v>
      </c>
      <c r="I86" s="823" t="n">
        <v>273.431</v>
      </c>
      <c r="J86" s="823" t="n">
        <v>276.829</v>
      </c>
      <c r="K86" s="573" t="n">
        <v>279.554</v>
      </c>
      <c r="L86" s="573" t="n">
        <v>278.6275</v>
      </c>
      <c r="M86" s="573" t="n">
        <v>276.284</v>
      </c>
      <c r="N86" s="573" t="n">
        <v>275.7935</v>
      </c>
      <c r="O86" s="573" t="n">
        <v>273.777</v>
      </c>
      <c r="P86" s="573" t="n">
        <v>278.9925</v>
      </c>
      <c r="Q86" s="573" t="n">
        <v>277.2295</v>
      </c>
      <c r="R86" s="573" t="n">
        <v>269.436</v>
      </c>
      <c r="S86" s="573" t="n">
        <v>268.3815</v>
      </c>
      <c r="T86" s="573" t="n">
        <v>268</v>
      </c>
      <c r="U86" s="573" t="n">
        <v>271</v>
      </c>
      <c r="V86" s="573" t="n">
        <v>274</v>
      </c>
      <c r="W86" s="573" t="n">
        <v>296</v>
      </c>
    </row>
    <row r="87" customFormat="false" ht="11.1" hidden="false" customHeight="true" outlineLevel="0" collapsed="false">
      <c r="A87" s="824"/>
      <c r="B87" s="588" t="n">
        <v>45323</v>
      </c>
      <c r="C87" s="573" t="n">
        <v>293.21</v>
      </c>
      <c r="D87" s="817" t="n">
        <v>172.79</v>
      </c>
      <c r="F87" s="561" t="s">
        <v>266</v>
      </c>
      <c r="G87" s="823" t="n">
        <v>209.607</v>
      </c>
      <c r="H87" s="823" t="n">
        <v>208.19</v>
      </c>
      <c r="I87" s="823" t="n">
        <v>201.0505</v>
      </c>
      <c r="J87" s="823" t="n">
        <v>201.214</v>
      </c>
      <c r="K87" s="573" t="n">
        <v>199.579</v>
      </c>
      <c r="L87" s="573" t="n">
        <v>197.4535</v>
      </c>
      <c r="M87" s="573" t="n">
        <v>188.243</v>
      </c>
      <c r="N87" s="573" t="n">
        <v>187.262</v>
      </c>
      <c r="O87" s="573" t="n">
        <v>187.262</v>
      </c>
      <c r="P87" s="573" t="n">
        <v>188.2975</v>
      </c>
      <c r="Q87" s="573" t="n">
        <v>191.949</v>
      </c>
      <c r="R87" s="573" t="n">
        <v>185.082</v>
      </c>
      <c r="S87" s="573" t="n">
        <v>141.918</v>
      </c>
      <c r="T87" s="573" t="n">
        <v>186</v>
      </c>
      <c r="U87" s="573" t="n">
        <v>184</v>
      </c>
      <c r="V87" s="573" t="n">
        <v>187</v>
      </c>
      <c r="W87" s="573" t="n">
        <v>183</v>
      </c>
    </row>
    <row r="88" customFormat="false" ht="11.1" hidden="false" customHeight="true" outlineLevel="0" collapsed="false">
      <c r="A88" s="824"/>
      <c r="B88" s="588" t="n">
        <v>45352</v>
      </c>
      <c r="C88" s="573" t="n">
        <v>293.973</v>
      </c>
      <c r="D88" s="817" t="n">
        <v>172.027</v>
      </c>
      <c r="F88" s="561" t="s">
        <v>698</v>
      </c>
      <c r="G88" s="823" t="n">
        <v>237.3495</v>
      </c>
      <c r="H88" s="823" t="n">
        <v>248.4155</v>
      </c>
      <c r="I88" s="823" t="n">
        <v>238.8045</v>
      </c>
      <c r="J88" s="823" t="n">
        <v>239.295</v>
      </c>
      <c r="K88" s="573" t="n">
        <v>239.731</v>
      </c>
      <c r="L88" s="573" t="n">
        <v>235.679</v>
      </c>
      <c r="M88" s="573" t="n">
        <v>235.9705</v>
      </c>
      <c r="N88" s="573" t="n">
        <v>233.8995</v>
      </c>
      <c r="O88" s="573" t="n">
        <v>226.3785</v>
      </c>
      <c r="P88" s="573" t="n">
        <v>234.736</v>
      </c>
      <c r="Q88" s="573" t="n">
        <v>283.985</v>
      </c>
      <c r="R88" s="573" t="n">
        <v>297.6835</v>
      </c>
      <c r="S88" s="573" t="n">
        <v>300.553</v>
      </c>
      <c r="T88" s="573" t="n">
        <v>311</v>
      </c>
      <c r="U88" s="573" t="n">
        <v>324</v>
      </c>
      <c r="V88" s="573" t="n">
        <v>333</v>
      </c>
      <c r="W88" s="573" t="n">
        <v>382</v>
      </c>
    </row>
    <row r="89" customFormat="false" ht="11.1" hidden="false" customHeight="true" outlineLevel="0" collapsed="false">
      <c r="A89" s="824"/>
      <c r="B89" s="588" t="n">
        <v>45383</v>
      </c>
      <c r="C89" s="573" t="n">
        <v>294.5725</v>
      </c>
      <c r="D89" s="817" t="n">
        <v>171.4275</v>
      </c>
      <c r="F89" s="561" t="s">
        <v>699</v>
      </c>
      <c r="G89" s="823" t="n">
        <v>241.871</v>
      </c>
      <c r="H89" s="823" t="n">
        <v>244.6505</v>
      </c>
      <c r="I89" s="823" t="n">
        <v>243.3425</v>
      </c>
      <c r="J89" s="823" t="n">
        <v>246.122</v>
      </c>
      <c r="K89" s="573" t="n">
        <v>270.756</v>
      </c>
      <c r="L89" s="573" t="n">
        <v>290.2125</v>
      </c>
      <c r="M89" s="573" t="n">
        <v>299.75</v>
      </c>
      <c r="N89" s="573" t="n">
        <v>302.475</v>
      </c>
      <c r="O89" s="573" t="n">
        <v>294.4635</v>
      </c>
      <c r="P89" s="573" t="n">
        <v>335.393</v>
      </c>
      <c r="Q89" s="573" t="n">
        <v>318.6615</v>
      </c>
      <c r="R89" s="573" t="n">
        <v>334.3575</v>
      </c>
      <c r="S89" s="573" t="n">
        <v>340.843</v>
      </c>
      <c r="T89" s="573" t="n">
        <v>346</v>
      </c>
      <c r="U89" s="573" t="n">
        <v>352</v>
      </c>
      <c r="V89" s="573" t="n">
        <v>380</v>
      </c>
      <c r="W89" s="573" t="n">
        <v>380</v>
      </c>
    </row>
    <row r="90" customFormat="false" ht="11.1" hidden="false" customHeight="true" outlineLevel="0" collapsed="false">
      <c r="A90" s="824"/>
      <c r="B90" s="588" t="n">
        <v>45413</v>
      </c>
      <c r="C90" s="573" t="n">
        <v>277.732</v>
      </c>
      <c r="D90" s="817" t="n">
        <v>188.268</v>
      </c>
      <c r="F90" s="561" t="s">
        <v>269</v>
      </c>
      <c r="G90" s="823" t="n">
        <v>228.9</v>
      </c>
      <c r="H90" s="823" t="n">
        <v>231.0255</v>
      </c>
      <c r="I90" s="823" t="n">
        <v>220.616</v>
      </c>
      <c r="J90" s="823" t="n">
        <v>219.853</v>
      </c>
      <c r="K90" s="573" t="n">
        <v>225.848</v>
      </c>
      <c r="L90" s="573" t="n">
        <v>222.3055</v>
      </c>
      <c r="M90" s="573" t="n">
        <v>214.0215</v>
      </c>
      <c r="N90" s="573" t="n">
        <v>211.7325</v>
      </c>
      <c r="O90" s="573" t="n">
        <v>199.9605</v>
      </c>
      <c r="P90" s="573" t="n">
        <v>200.233</v>
      </c>
      <c r="Q90" s="573" t="n">
        <v>203.83</v>
      </c>
      <c r="R90" s="573" t="n">
        <v>202.7945</v>
      </c>
      <c r="S90" s="573" t="n">
        <v>203.1215</v>
      </c>
      <c r="T90" s="573" t="n">
        <v>208</v>
      </c>
      <c r="U90" s="573" t="n">
        <v>204</v>
      </c>
      <c r="V90" s="573" t="n">
        <v>205</v>
      </c>
      <c r="W90" s="573" t="n">
        <v>208</v>
      </c>
    </row>
    <row r="91" customFormat="false" ht="11.1" hidden="false" customHeight="true" outlineLevel="0" collapsed="false">
      <c r="A91" s="824"/>
      <c r="B91" s="588" t="n">
        <v>45444</v>
      </c>
      <c r="C91" s="573" t="n">
        <v>277.514</v>
      </c>
      <c r="D91" s="817" t="n">
        <v>188.486</v>
      </c>
      <c r="F91" s="561" t="s">
        <v>270</v>
      </c>
      <c r="G91" s="823" t="n">
        <v>164.59</v>
      </c>
      <c r="H91" s="823" t="n">
        <v>168.2415</v>
      </c>
      <c r="I91" s="823" t="n">
        <v>159.249</v>
      </c>
      <c r="J91" s="823" t="n">
        <v>152.8725</v>
      </c>
      <c r="K91" s="573" t="n">
        <v>153.8535</v>
      </c>
      <c r="L91" s="573" t="n">
        <v>151.183</v>
      </c>
      <c r="M91" s="573" t="n">
        <v>153.0905</v>
      </c>
      <c r="N91" s="573" t="n">
        <v>150.965</v>
      </c>
      <c r="O91" s="573" t="n">
        <v>154.453</v>
      </c>
      <c r="P91" s="573" t="n">
        <v>154.235</v>
      </c>
      <c r="Q91" s="573" t="n">
        <v>157.614</v>
      </c>
      <c r="R91" s="573" t="n">
        <v>144.752</v>
      </c>
      <c r="S91" s="573" t="n">
        <v>144.9155</v>
      </c>
      <c r="T91" s="573" t="n">
        <v>146</v>
      </c>
      <c r="U91" s="573" t="n">
        <v>143</v>
      </c>
      <c r="V91" s="573" t="n">
        <v>142</v>
      </c>
      <c r="W91" s="573" t="n">
        <v>143</v>
      </c>
    </row>
    <row r="92" customFormat="false" ht="11.1" hidden="false" customHeight="true" outlineLevel="0" collapsed="false">
      <c r="A92" s="824"/>
      <c r="B92" s="588" t="n">
        <v>45474</v>
      </c>
      <c r="C92" s="573" t="n">
        <v>277.514</v>
      </c>
      <c r="D92" s="817" t="n">
        <v>188.486</v>
      </c>
      <c r="F92" s="561" t="s">
        <v>271</v>
      </c>
      <c r="G92" s="823" t="n">
        <v>133.6885</v>
      </c>
      <c r="H92" s="823" t="n">
        <v>132.5985</v>
      </c>
      <c r="I92" s="823" t="n">
        <v>128.729</v>
      </c>
      <c r="J92" s="823" t="n">
        <v>129.4375</v>
      </c>
      <c r="K92" s="573" t="n">
        <v>130.255</v>
      </c>
      <c r="L92" s="573" t="n">
        <v>126.113</v>
      </c>
      <c r="M92" s="573" t="n">
        <v>125.7315</v>
      </c>
      <c r="N92" s="573" t="n">
        <v>128.402</v>
      </c>
      <c r="O92" s="573" t="n">
        <v>127.639</v>
      </c>
      <c r="P92" s="573" t="n">
        <v>123.8785</v>
      </c>
      <c r="Q92" s="573" t="n">
        <v>126.222</v>
      </c>
      <c r="R92" s="573" t="n">
        <v>128.8925</v>
      </c>
      <c r="S92" s="573" t="n">
        <v>128.402</v>
      </c>
      <c r="T92" s="573" t="n">
        <v>132</v>
      </c>
      <c r="U92" s="573" t="n">
        <v>132</v>
      </c>
      <c r="V92" s="573" t="n">
        <v>133</v>
      </c>
      <c r="W92" s="573" t="n">
        <v>133</v>
      </c>
    </row>
    <row r="93" customFormat="false" ht="11.1" hidden="false" customHeight="true" outlineLevel="0" collapsed="false">
      <c r="A93" s="824"/>
      <c r="B93" s="588" t="n">
        <v>45505</v>
      </c>
      <c r="C93" s="573" t="n">
        <v>278</v>
      </c>
      <c r="D93" s="817" t="n">
        <v>188</v>
      </c>
      <c r="F93" s="561" t="s">
        <v>272</v>
      </c>
      <c r="G93" s="823" t="n">
        <v>160.993</v>
      </c>
      <c r="H93" s="823" t="n">
        <v>163.282</v>
      </c>
      <c r="I93" s="823" t="n">
        <v>158.595</v>
      </c>
      <c r="J93" s="823" t="n">
        <v>158.595</v>
      </c>
      <c r="K93" s="573" t="n">
        <v>157.0145</v>
      </c>
      <c r="L93" s="573" t="n">
        <v>153.363</v>
      </c>
      <c r="M93" s="573" t="n">
        <v>152.4365</v>
      </c>
      <c r="N93" s="573" t="n">
        <v>150.202</v>
      </c>
      <c r="O93" s="573" t="n">
        <v>152.4365</v>
      </c>
      <c r="P93" s="573" t="n">
        <v>151.7825</v>
      </c>
      <c r="Q93" s="573" t="n">
        <v>143.335</v>
      </c>
      <c r="R93" s="573" t="n">
        <v>143.2805</v>
      </c>
      <c r="S93" s="573" t="n">
        <v>143.008</v>
      </c>
      <c r="T93" s="573" t="n">
        <v>144</v>
      </c>
      <c r="U93" s="573" t="n">
        <v>145</v>
      </c>
      <c r="V93" s="573" t="n">
        <v>146</v>
      </c>
      <c r="W93" s="573" t="n">
        <v>145</v>
      </c>
    </row>
    <row r="94" customFormat="false" ht="11.1" hidden="false" customHeight="true" outlineLevel="0" collapsed="false">
      <c r="A94" s="824"/>
      <c r="B94" s="588" t="n">
        <v>45536</v>
      </c>
      <c r="C94" s="573" t="n">
        <v>278.604</v>
      </c>
      <c r="D94" s="817" t="n">
        <v>187.396</v>
      </c>
    </row>
    <row r="95" customFormat="false" ht="11.1" hidden="false" customHeight="true" outlineLevel="0" collapsed="false">
      <c r="A95" s="824"/>
      <c r="B95" s="588" t="n">
        <v>45566</v>
      </c>
      <c r="C95" s="573" t="n">
        <v>272.609</v>
      </c>
      <c r="D95" s="817" t="n">
        <v>193.391</v>
      </c>
    </row>
    <row r="96" customFormat="false" ht="11.1" hidden="false" customHeight="true" outlineLevel="0" collapsed="false">
      <c r="A96" s="824"/>
      <c r="B96" s="588" t="n">
        <v>45597</v>
      </c>
      <c r="C96" s="573" t="n">
        <v>272.6635</v>
      </c>
      <c r="D96" s="817" t="n">
        <v>193.3365</v>
      </c>
    </row>
    <row r="97" customFormat="false" ht="11.1" hidden="false" customHeight="true" outlineLevel="0" collapsed="false">
      <c r="A97" s="824"/>
      <c r="B97" s="588" t="n">
        <v>45627</v>
      </c>
      <c r="C97" s="573" t="n">
        <v>271.6825</v>
      </c>
      <c r="D97" s="817" t="n">
        <v>194.3175</v>
      </c>
    </row>
    <row r="98" customFormat="false" ht="11.1" hidden="false" customHeight="true" outlineLevel="0" collapsed="false">
      <c r="A98" s="824"/>
      <c r="B98" s="819" t="n">
        <v>45658</v>
      </c>
      <c r="C98" s="820" t="n">
        <f aca="false">'Plant loading'!G72</f>
        <v>271.737</v>
      </c>
      <c r="D98" s="821" t="n">
        <f aca="false">466-C98</f>
        <v>194.263</v>
      </c>
    </row>
    <row r="155" customFormat="false" ht="10.15" hidden="false" customHeight="false" outlineLevel="0" collapsed="false">
      <c r="B155" s="825" t="s">
        <v>785</v>
      </c>
      <c r="C155" s="825" t="s">
        <v>254</v>
      </c>
      <c r="D155" s="825" t="s">
        <v>268</v>
      </c>
      <c r="E155" s="825" t="s">
        <v>267</v>
      </c>
      <c r="F155" s="825" t="s">
        <v>259</v>
      </c>
      <c r="G155" s="825" t="s">
        <v>265</v>
      </c>
      <c r="H155" s="825" t="s">
        <v>263</v>
      </c>
      <c r="I155" s="825" t="s">
        <v>269</v>
      </c>
    </row>
    <row r="156" customFormat="false" ht="10.15" hidden="false" customHeight="false" outlineLevel="0" collapsed="false">
      <c r="B156" s="826" t="n">
        <v>43862</v>
      </c>
      <c r="C156" s="827" t="n">
        <f aca="false">C2</f>
        <v>378.912720275879</v>
      </c>
      <c r="D156" s="827" t="n">
        <f aca="false">C16</f>
        <v>380.279828155518</v>
      </c>
      <c r="E156" s="827" t="n">
        <f aca="false">C30</f>
        <v>331.5235</v>
      </c>
      <c r="F156" s="827" t="n">
        <f aca="false">C44</f>
        <v>286.989312652588</v>
      </c>
      <c r="G156" s="827" t="n">
        <f aca="false">C58</f>
        <v>290.376</v>
      </c>
      <c r="H156" s="827" t="n">
        <f aca="false">C72</f>
        <v>260.482314239502</v>
      </c>
      <c r="I156" s="827" t="n">
        <f aca="false">C86</f>
        <v>292.556</v>
      </c>
    </row>
    <row r="157" customFormat="false" ht="10.15" hidden="false" customHeight="false" outlineLevel="0" collapsed="false">
      <c r="B157" s="826" t="n">
        <v>43891</v>
      </c>
      <c r="C157" s="827" t="n">
        <f aca="false">C3</f>
        <v>372.671</v>
      </c>
      <c r="D157" s="827" t="n">
        <f aca="false">C17</f>
        <v>379.766</v>
      </c>
      <c r="E157" s="827" t="n">
        <f aca="false">C31</f>
        <v>331.251</v>
      </c>
      <c r="F157" s="827" t="n">
        <f aca="false">C45</f>
        <v>285.6345</v>
      </c>
      <c r="G157" s="827" t="n">
        <f aca="false">C59</f>
        <v>295.172</v>
      </c>
      <c r="H157" s="827" t="n">
        <f aca="false">C73</f>
        <v>260.183</v>
      </c>
      <c r="I157" s="827" t="n">
        <f aca="false">C87</f>
        <v>293.21</v>
      </c>
    </row>
    <row r="158" customFormat="false" ht="10.15" hidden="false" customHeight="false" outlineLevel="0" collapsed="false">
      <c r="B158" s="826" t="n">
        <v>43922</v>
      </c>
      <c r="C158" s="827" t="n">
        <f aca="false">C4</f>
        <v>367.548</v>
      </c>
      <c r="D158" s="827" t="n">
        <f aca="false">C18</f>
        <v>380.093</v>
      </c>
      <c r="E158" s="827" t="n">
        <f aca="false">C32</f>
        <v>335.829</v>
      </c>
      <c r="F158" s="827" t="n">
        <f aca="false">C46</f>
        <v>286.9425</v>
      </c>
      <c r="G158" s="827" t="n">
        <f aca="false">C60</f>
        <v>295.2265</v>
      </c>
      <c r="H158" s="827" t="n">
        <f aca="false">C74</f>
        <v>260.3465</v>
      </c>
      <c r="I158" s="827" t="n">
        <f aca="false">C88</f>
        <v>293.973</v>
      </c>
    </row>
    <row r="159" customFormat="false" ht="10.15" hidden="false" customHeight="false" outlineLevel="0" collapsed="false">
      <c r="B159" s="826" t="n">
        <v>43952</v>
      </c>
      <c r="C159" s="827" t="n">
        <f aca="false">C5</f>
        <v>370.6</v>
      </c>
      <c r="D159" s="827" t="n">
        <f aca="false">C19</f>
        <v>383.1475</v>
      </c>
      <c r="E159" s="827" t="n">
        <f aca="false">C33</f>
        <v>335.5565</v>
      </c>
      <c r="F159" s="827" t="n">
        <f aca="false">C47</f>
        <v>290.1035</v>
      </c>
      <c r="G159" s="827" t="n">
        <f aca="false">C61</f>
        <v>285.798</v>
      </c>
      <c r="H159" s="827" t="n">
        <f aca="false">C75</f>
        <v>260.51</v>
      </c>
      <c r="I159" s="827" t="n">
        <f aca="false">C89</f>
        <v>294.5725</v>
      </c>
    </row>
    <row r="160" customFormat="false" ht="10.15" hidden="false" customHeight="false" outlineLevel="0" collapsed="false">
      <c r="B160" s="826" t="n">
        <v>43983</v>
      </c>
      <c r="C160" s="827" t="n">
        <f aca="false">C6</f>
        <v>385.8055</v>
      </c>
      <c r="D160" s="827" t="n">
        <f aca="false">C20</f>
        <v>401.7675</v>
      </c>
      <c r="E160" s="827" t="n">
        <f aca="false">C34</f>
        <v>336.919</v>
      </c>
      <c r="F160" s="827" t="n">
        <f aca="false">C48</f>
        <v>287.76</v>
      </c>
      <c r="G160" s="827" t="n">
        <f aca="false">C62</f>
        <v>287.324</v>
      </c>
      <c r="H160" s="827" t="n">
        <f aca="false">C76</f>
        <v>271.6825</v>
      </c>
      <c r="I160" s="827" t="n">
        <f aca="false">C90</f>
        <v>277.732</v>
      </c>
    </row>
    <row r="161" customFormat="false" ht="10.15" hidden="false" customHeight="false" outlineLevel="0" collapsed="false">
      <c r="B161" s="826" t="n">
        <v>44013</v>
      </c>
      <c r="C161" s="827" t="n">
        <f aca="false">C7</f>
        <v>386.8955</v>
      </c>
      <c r="D161" s="827" t="n">
        <f aca="false">C21</f>
        <v>399.3695</v>
      </c>
      <c r="E161" s="827" t="n">
        <f aca="false">C35</f>
        <v>333.649</v>
      </c>
      <c r="F161" s="827" t="n">
        <f aca="false">C49</f>
        <v>288.0325</v>
      </c>
      <c r="G161" s="827" t="n">
        <f aca="false">C63</f>
        <v>285.362</v>
      </c>
      <c r="H161" s="827" t="n">
        <f aca="false">C77</f>
        <v>274.68</v>
      </c>
      <c r="I161" s="827" t="n">
        <f aca="false">C91</f>
        <v>277.514</v>
      </c>
    </row>
    <row r="162" customFormat="false" ht="10.15" hidden="false" customHeight="false" outlineLevel="0" collapsed="false">
      <c r="B162" s="826" t="n">
        <v>44044</v>
      </c>
      <c r="C162" s="827" t="n">
        <f aca="false">C8</f>
        <v>386.8955</v>
      </c>
      <c r="D162" s="827" t="n">
        <f aca="false">C22</f>
        <v>399.3695</v>
      </c>
      <c r="E162" s="827" t="n">
        <f aca="false">C36</f>
        <v>333.649</v>
      </c>
      <c r="F162" s="827" t="n">
        <f aca="false">C50</f>
        <v>288.0325</v>
      </c>
      <c r="G162" s="827" t="n">
        <f aca="false">C64</f>
        <v>285.362</v>
      </c>
      <c r="H162" s="827" t="n">
        <f aca="false">C78</f>
        <v>274.68</v>
      </c>
      <c r="I162" s="827" t="n">
        <f aca="false">C92</f>
        <v>277.514</v>
      </c>
    </row>
    <row r="163" customFormat="false" ht="10.15" hidden="false" customHeight="false" outlineLevel="0" collapsed="false">
      <c r="B163" s="826" t="n">
        <v>44075</v>
      </c>
      <c r="C163" s="827" t="n">
        <f aca="false">C9</f>
        <v>387</v>
      </c>
      <c r="D163" s="827" t="n">
        <f aca="false">C23</f>
        <v>401</v>
      </c>
      <c r="E163" s="827" t="n">
        <f aca="false">C37</f>
        <v>333.8125</v>
      </c>
      <c r="F163" s="827" t="n">
        <f aca="false">C51</f>
        <v>288.4685</v>
      </c>
      <c r="G163" s="827" t="n">
        <f aca="false">C65</f>
        <v>285</v>
      </c>
      <c r="H163" s="827" t="n">
        <f aca="false">C79</f>
        <v>274.898</v>
      </c>
      <c r="I163" s="827" t="n">
        <f aca="false">C93</f>
        <v>278</v>
      </c>
    </row>
    <row r="164" customFormat="false" ht="10.15" hidden="false" customHeight="false" outlineLevel="0" collapsed="false">
      <c r="B164" s="826" t="n">
        <v>44105</v>
      </c>
      <c r="C164" s="827" t="n">
        <f aca="false">C10</f>
        <v>386.5685</v>
      </c>
      <c r="D164" s="827" t="n">
        <f aca="false">C24</f>
        <v>403.419</v>
      </c>
      <c r="E164" s="827" t="n">
        <f aca="false">C38</f>
        <v>334.085</v>
      </c>
      <c r="F164" s="827" t="n">
        <f aca="false">C52</f>
        <v>289.0135</v>
      </c>
      <c r="G164" s="827" t="n">
        <f aca="false">C66</f>
        <v>286.9425</v>
      </c>
      <c r="H164" s="827" t="n">
        <f aca="false">C80</f>
        <v>274.898</v>
      </c>
      <c r="I164" s="827" t="n">
        <f aca="false">C94</f>
        <v>278.604</v>
      </c>
    </row>
    <row r="165" customFormat="false" ht="10.15" hidden="false" customHeight="false" outlineLevel="0" collapsed="false">
      <c r="B165" s="826" t="n">
        <v>44136</v>
      </c>
      <c r="C165" s="827" t="n">
        <f aca="false">C11</f>
        <v>385</v>
      </c>
      <c r="D165" s="827" t="n">
        <f aca="false">C25</f>
        <v>403</v>
      </c>
      <c r="E165" s="827" t="n">
        <f aca="false">C39</f>
        <v>330</v>
      </c>
      <c r="F165" s="827" t="n">
        <f aca="false">C53</f>
        <v>287.651</v>
      </c>
      <c r="G165" s="827" t="n">
        <f aca="false">C67</f>
        <v>286</v>
      </c>
      <c r="H165" s="827" t="n">
        <f aca="false">C81</f>
        <v>277</v>
      </c>
      <c r="I165" s="827" t="n">
        <f aca="false">C95</f>
        <v>272.609</v>
      </c>
    </row>
    <row r="166" customFormat="false" ht="10.15" hidden="false" customHeight="false" outlineLevel="0" collapsed="false">
      <c r="B166" s="826" t="n">
        <v>44166</v>
      </c>
      <c r="C166" s="827" t="n">
        <f aca="false">C12</f>
        <v>388.912</v>
      </c>
      <c r="D166" s="827" t="n">
        <f aca="false">C26</f>
        <v>403.092</v>
      </c>
      <c r="E166" s="827" t="n">
        <f aca="false">C40</f>
        <v>331.0875</v>
      </c>
      <c r="F166" s="827" t="n">
        <f aca="false">C54</f>
        <v>295.935</v>
      </c>
      <c r="G166" s="827" t="n">
        <f aca="false">C68</f>
        <v>295.8805</v>
      </c>
      <c r="H166" s="827" t="n">
        <f aca="false">C82</f>
        <v>311.086</v>
      </c>
      <c r="I166" s="827" t="n">
        <f aca="false">C96</f>
        <v>272.6635</v>
      </c>
    </row>
    <row r="167" customFormat="false" ht="10.15" hidden="false" customHeight="false" outlineLevel="0" collapsed="false">
      <c r="B167" s="826" t="n">
        <v>44197</v>
      </c>
      <c r="C167" s="827" t="n">
        <f aca="false">C13</f>
        <v>387.168</v>
      </c>
      <c r="D167" s="827" t="n">
        <f aca="false">C27</f>
        <v>402.329</v>
      </c>
      <c r="E167" s="827" t="n">
        <f aca="false">C41</f>
        <v>330.2155</v>
      </c>
      <c r="F167" s="827" t="n">
        <f aca="false">C55</f>
        <v>294.1365</v>
      </c>
      <c r="G167" s="827" t="n">
        <f aca="false">C69</f>
        <v>294.954</v>
      </c>
      <c r="H167" s="827" t="n">
        <f aca="false">C83</f>
        <v>308.579</v>
      </c>
      <c r="I167" s="827" t="n">
        <f aca="false">C97</f>
        <v>271.6825</v>
      </c>
    </row>
    <row r="168" customFormat="false" ht="10.15" hidden="false" customHeight="false" outlineLevel="0" collapsed="false">
      <c r="B168" s="826" t="n">
        <v>44228</v>
      </c>
      <c r="C168" s="827" t="n">
        <f aca="false">C14</f>
        <v>382.372</v>
      </c>
      <c r="D168" s="827" t="n">
        <f aca="false">C28</f>
        <v>396.661</v>
      </c>
      <c r="E168" s="827" t="n">
        <f aca="false">C42</f>
        <v>330.3245</v>
      </c>
      <c r="F168" s="827" t="n">
        <f aca="false">C56</f>
        <v>294.736</v>
      </c>
      <c r="G168" s="827" t="n">
        <f aca="false">C70</f>
        <v>282.5825</v>
      </c>
      <c r="H168" s="827" t="n">
        <f aca="false">C84</f>
        <v>309.2875</v>
      </c>
      <c r="I168" s="827" t="n">
        <f aca="false">C98</f>
        <v>271.737</v>
      </c>
    </row>
  </sheetData>
  <mergeCells count="7">
    <mergeCell ref="A2:A14"/>
    <mergeCell ref="A15:A28"/>
    <mergeCell ref="A29:A42"/>
    <mergeCell ref="A43:A56"/>
    <mergeCell ref="A57:A70"/>
    <mergeCell ref="A71:A84"/>
    <mergeCell ref="A85:A98"/>
  </mergeCells>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4" zoomScaleNormal="84" zoomScalePageLayoutView="100" workbookViewId="0">
      <selection pane="topLeft" activeCell="M10" activeCellId="0" sqref="M10"/>
    </sheetView>
  </sheetViews>
  <sheetFormatPr defaultColWidth="9.171875" defaultRowHeight="10.15" zeroHeight="false" outlineLevelRow="0" outlineLevelCol="0"/>
  <cols>
    <col collapsed="false" customWidth="true" hidden="false" outlineLevel="0" max="16" min="16" style="0" width="24.17"/>
  </cols>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D2" activePane="bottomLeft" state="frozen"/>
      <selection pane="topLeft" activeCell="A1" activeCellId="0" sqref="A1"/>
      <selection pane="bottomLeft" activeCell="G2" activeCellId="0" sqref="G2"/>
    </sheetView>
  </sheetViews>
  <sheetFormatPr defaultColWidth="9.171875" defaultRowHeight="14.45" zeroHeight="false" outlineLevelRow="0" outlineLevelCol="0"/>
  <cols>
    <col collapsed="false" customWidth="true" hidden="false" outlineLevel="0" max="1" min="1" style="828" width="8.66"/>
    <col collapsed="false" customWidth="true" hidden="false" outlineLevel="0" max="2" min="2" style="828" width="28.17"/>
    <col collapsed="false" customWidth="true" hidden="false" outlineLevel="0" max="3" min="3" style="828" width="53.17"/>
    <col collapsed="false" customWidth="true" hidden="false" outlineLevel="0" max="4" min="4" style="828" width="41.5"/>
    <col collapsed="false" customWidth="true" hidden="false" outlineLevel="0" max="6" min="5" style="828" width="10"/>
    <col collapsed="false" customWidth="true" hidden="false" outlineLevel="0" max="7" min="7" style="828" width="11.5"/>
    <col collapsed="false" customWidth="true" hidden="false" outlineLevel="0" max="8" min="8" style="828" width="9.66"/>
    <col collapsed="false" customWidth="true" hidden="false" outlineLevel="0" max="9" min="9" style="828" width="29.17"/>
    <col collapsed="false" customWidth="true" hidden="false" outlineLevel="0" max="10" min="10" style="828" width="6.5"/>
    <col collapsed="false" customWidth="true" hidden="false" outlineLevel="0" max="11" min="11" style="828" width="56.99"/>
    <col collapsed="false" customWidth="false" hidden="false" outlineLevel="0" max="256" min="12" style="828" width="9.17"/>
    <col collapsed="false" customWidth="true" hidden="false" outlineLevel="0" max="257" min="257" style="828" width="11.66"/>
    <col collapsed="false" customWidth="false" hidden="false" outlineLevel="0" max="259" min="258" style="828" width="9.17"/>
    <col collapsed="false" customWidth="true" hidden="false" outlineLevel="0" max="260" min="260" style="828" width="33.5"/>
    <col collapsed="false" customWidth="false" hidden="false" outlineLevel="0" max="264" min="261" style="828" width="9.17"/>
    <col collapsed="false" customWidth="true" hidden="false" outlineLevel="0" max="265" min="265" style="828" width="30"/>
    <col collapsed="false" customWidth="true" hidden="false" outlineLevel="0" max="266" min="266" style="828" width="11.66"/>
    <col collapsed="false" customWidth="true" hidden="false" outlineLevel="0" max="267" min="267" style="828" width="58.17"/>
    <col collapsed="false" customWidth="false" hidden="false" outlineLevel="0" max="512" min="268" style="828" width="9.17"/>
    <col collapsed="false" customWidth="true" hidden="false" outlineLevel="0" max="513" min="513" style="828" width="11.66"/>
    <col collapsed="false" customWidth="false" hidden="false" outlineLevel="0" max="515" min="514" style="828" width="9.17"/>
    <col collapsed="false" customWidth="true" hidden="false" outlineLevel="0" max="516" min="516" style="828" width="33.5"/>
    <col collapsed="false" customWidth="false" hidden="false" outlineLevel="0" max="520" min="517" style="828" width="9.17"/>
    <col collapsed="false" customWidth="true" hidden="false" outlineLevel="0" max="521" min="521" style="828" width="30"/>
    <col collapsed="false" customWidth="true" hidden="false" outlineLevel="0" max="522" min="522" style="828" width="11.66"/>
    <col collapsed="false" customWidth="true" hidden="false" outlineLevel="0" max="523" min="523" style="828" width="58.17"/>
    <col collapsed="false" customWidth="false" hidden="false" outlineLevel="0" max="768" min="524" style="828" width="9.17"/>
    <col collapsed="false" customWidth="true" hidden="false" outlineLevel="0" max="769" min="769" style="828" width="11.66"/>
    <col collapsed="false" customWidth="false" hidden="false" outlineLevel="0" max="771" min="770" style="828" width="9.17"/>
    <col collapsed="false" customWidth="true" hidden="false" outlineLevel="0" max="772" min="772" style="828" width="33.5"/>
    <col collapsed="false" customWidth="false" hidden="false" outlineLevel="0" max="776" min="773" style="828" width="9.17"/>
    <col collapsed="false" customWidth="true" hidden="false" outlineLevel="0" max="777" min="777" style="828" width="30"/>
    <col collapsed="false" customWidth="true" hidden="false" outlineLevel="0" max="778" min="778" style="828" width="11.66"/>
    <col collapsed="false" customWidth="true" hidden="false" outlineLevel="0" max="779" min="779" style="828" width="58.17"/>
    <col collapsed="false" customWidth="false" hidden="false" outlineLevel="0" max="1024" min="780" style="828" width="9.17"/>
  </cols>
  <sheetData>
    <row r="1" customFormat="false" ht="14.45" hidden="false" customHeight="false" outlineLevel="0" collapsed="false">
      <c r="A1" s="828" t="s">
        <v>786</v>
      </c>
      <c r="B1" s="828" t="s">
        <v>787</v>
      </c>
      <c r="C1" s="828" t="s">
        <v>788</v>
      </c>
      <c r="D1" s="828" t="s">
        <v>789</v>
      </c>
      <c r="E1" s="828" t="s">
        <v>790</v>
      </c>
      <c r="F1" s="828" t="s">
        <v>791</v>
      </c>
      <c r="G1" s="828" t="s">
        <v>384</v>
      </c>
      <c r="H1" s="828" t="s">
        <v>792</v>
      </c>
      <c r="I1" s="828" t="s">
        <v>793</v>
      </c>
      <c r="J1" s="828" t="s">
        <v>794</v>
      </c>
      <c r="K1" s="829" t="s">
        <v>795</v>
      </c>
    </row>
    <row r="2" customFormat="false" ht="14.45" hidden="false" customHeight="false" outlineLevel="0" collapsed="false">
      <c r="A2" s="828" t="s">
        <v>796</v>
      </c>
      <c r="B2" s="828" t="s">
        <v>797</v>
      </c>
      <c r="C2" s="828" t="s">
        <v>798</v>
      </c>
      <c r="D2" s="828" t="s">
        <v>799</v>
      </c>
      <c r="E2" s="828" t="s">
        <v>800</v>
      </c>
      <c r="F2" s="828" t="s">
        <v>801</v>
      </c>
      <c r="G2" s="828" t="s">
        <v>802</v>
      </c>
      <c r="H2" s="828" t="n">
        <v>61854</v>
      </c>
      <c r="I2" s="828" t="s">
        <v>803</v>
      </c>
      <c r="J2" s="828" t="n">
        <v>80</v>
      </c>
    </row>
    <row r="3" customFormat="false" ht="14.45" hidden="false" customHeight="false" outlineLevel="0" collapsed="false">
      <c r="A3" s="828" t="s">
        <v>796</v>
      </c>
      <c r="B3" s="828" t="s">
        <v>804</v>
      </c>
      <c r="C3" s="828" t="s">
        <v>805</v>
      </c>
      <c r="D3" s="828" t="s">
        <v>799</v>
      </c>
      <c r="E3" s="828" t="s">
        <v>800</v>
      </c>
      <c r="F3" s="828" t="s">
        <v>801</v>
      </c>
      <c r="G3" s="828" t="s">
        <v>802</v>
      </c>
      <c r="H3" s="828" t="n">
        <v>61850</v>
      </c>
      <c r="I3" s="828" t="s">
        <v>806</v>
      </c>
      <c r="J3" s="828" t="n">
        <v>80</v>
      </c>
      <c r="K3" s="830" t="s">
        <v>807</v>
      </c>
    </row>
    <row r="4" customFormat="false" ht="14.45" hidden="false" customHeight="false" outlineLevel="0" collapsed="false">
      <c r="A4" s="828" t="s">
        <v>796</v>
      </c>
      <c r="B4" s="828" t="s">
        <v>808</v>
      </c>
      <c r="C4" s="828" t="s">
        <v>809</v>
      </c>
      <c r="D4" s="828" t="s">
        <v>799</v>
      </c>
      <c r="E4" s="828" t="s">
        <v>800</v>
      </c>
      <c r="F4" s="828" t="s">
        <v>801</v>
      </c>
      <c r="G4" s="828" t="s">
        <v>802</v>
      </c>
      <c r="H4" s="828" t="n">
        <v>61851</v>
      </c>
      <c r="I4" s="828" t="s">
        <v>810</v>
      </c>
      <c r="J4" s="828" t="n">
        <v>80</v>
      </c>
    </row>
    <row r="5" customFormat="false" ht="14.45" hidden="false" customHeight="false" outlineLevel="0" collapsed="false">
      <c r="A5" s="828" t="s">
        <v>796</v>
      </c>
      <c r="B5" s="828" t="s">
        <v>811</v>
      </c>
      <c r="C5" s="828" t="s">
        <v>812</v>
      </c>
      <c r="D5" s="828" t="s">
        <v>799</v>
      </c>
      <c r="E5" s="828" t="s">
        <v>800</v>
      </c>
      <c r="F5" s="828" t="s">
        <v>801</v>
      </c>
      <c r="G5" s="828" t="s">
        <v>802</v>
      </c>
      <c r="H5" s="828" t="n">
        <v>61852</v>
      </c>
      <c r="I5" s="828" t="s">
        <v>810</v>
      </c>
      <c r="J5" s="828" t="n">
        <v>80</v>
      </c>
    </row>
    <row r="6" customFormat="false" ht="14.45" hidden="false" customHeight="false" outlineLevel="0" collapsed="false">
      <c r="A6" s="828" t="s">
        <v>796</v>
      </c>
      <c r="B6" s="828" t="s">
        <v>813</v>
      </c>
      <c r="C6" s="828" t="s">
        <v>814</v>
      </c>
      <c r="D6" s="828" t="s">
        <v>799</v>
      </c>
      <c r="E6" s="828" t="s">
        <v>800</v>
      </c>
      <c r="F6" s="828" t="s">
        <v>801</v>
      </c>
      <c r="G6" s="828" t="s">
        <v>802</v>
      </c>
      <c r="H6" s="828" t="n">
        <v>61855</v>
      </c>
      <c r="I6" s="828" t="s">
        <v>803</v>
      </c>
      <c r="J6" s="828" t="n">
        <v>80</v>
      </c>
    </row>
    <row r="7" customFormat="false" ht="14.45" hidden="false" customHeight="false" outlineLevel="0" collapsed="false">
      <c r="A7" s="828" t="s">
        <v>796</v>
      </c>
      <c r="B7" s="828" t="s">
        <v>815</v>
      </c>
      <c r="C7" s="828" t="s">
        <v>816</v>
      </c>
      <c r="D7" s="828" t="s">
        <v>817</v>
      </c>
      <c r="E7" s="828" t="s">
        <v>800</v>
      </c>
      <c r="F7" s="828" t="s">
        <v>801</v>
      </c>
      <c r="G7" s="828" t="s">
        <v>802</v>
      </c>
      <c r="H7" s="828" t="n">
        <v>52922</v>
      </c>
      <c r="I7" s="828" t="s">
        <v>818</v>
      </c>
      <c r="J7" s="828" t="n">
        <v>6</v>
      </c>
    </row>
    <row r="8" customFormat="false" ht="14.45" hidden="false" customHeight="false" outlineLevel="0" collapsed="false">
      <c r="A8" s="828" t="s">
        <v>796</v>
      </c>
      <c r="B8" s="828" t="s">
        <v>819</v>
      </c>
      <c r="C8" s="828" t="s">
        <v>820</v>
      </c>
      <c r="D8" s="828" t="s">
        <v>817</v>
      </c>
      <c r="E8" s="828" t="s">
        <v>800</v>
      </c>
      <c r="F8" s="828" t="s">
        <v>801</v>
      </c>
      <c r="G8" s="828" t="s">
        <v>802</v>
      </c>
      <c r="H8" s="828" t="n">
        <v>59729</v>
      </c>
      <c r="I8" s="828" t="s">
        <v>818</v>
      </c>
      <c r="J8" s="828" t="n">
        <v>6</v>
      </c>
    </row>
    <row r="9" customFormat="false" ht="14.45" hidden="false" customHeight="false" outlineLevel="0" collapsed="false">
      <c r="A9" s="828" t="s">
        <v>796</v>
      </c>
      <c r="B9" s="828" t="s">
        <v>821</v>
      </c>
      <c r="C9" s="828" t="s">
        <v>822</v>
      </c>
      <c r="D9" s="828" t="s">
        <v>799</v>
      </c>
      <c r="E9" s="828" t="s">
        <v>800</v>
      </c>
      <c r="F9" s="828" t="s">
        <v>801</v>
      </c>
      <c r="G9" s="828" t="s">
        <v>802</v>
      </c>
      <c r="H9" s="828" t="n">
        <v>61853</v>
      </c>
      <c r="I9" s="828" t="s">
        <v>803</v>
      </c>
      <c r="J9" s="828" t="n">
        <v>80</v>
      </c>
    </row>
    <row r="10" customFormat="false" ht="14.45" hidden="false" customHeight="false" outlineLevel="0" collapsed="false">
      <c r="A10" s="828" t="s">
        <v>823</v>
      </c>
      <c r="B10" s="828" t="n">
        <v>21736</v>
      </c>
      <c r="C10" s="828" t="s">
        <v>824</v>
      </c>
      <c r="D10" s="828" t="s">
        <v>825</v>
      </c>
      <c r="E10" s="828" t="s">
        <v>800</v>
      </c>
      <c r="F10" s="828" t="s">
        <v>826</v>
      </c>
      <c r="G10" s="828" t="s">
        <v>827</v>
      </c>
      <c r="H10" s="828" t="n">
        <v>54913</v>
      </c>
      <c r="I10" s="828" t="s">
        <v>828</v>
      </c>
      <c r="J10" s="828" t="n">
        <v>78</v>
      </c>
    </row>
    <row r="11" customFormat="false" ht="14.45" hidden="false" customHeight="false" outlineLevel="0" collapsed="false">
      <c r="A11" s="828" t="s">
        <v>823</v>
      </c>
      <c r="B11" s="828" t="n">
        <v>21738</v>
      </c>
      <c r="C11" s="828" t="s">
        <v>829</v>
      </c>
      <c r="D11" s="828" t="s">
        <v>825</v>
      </c>
      <c r="E11" s="828" t="s">
        <v>800</v>
      </c>
      <c r="F11" s="828" t="s">
        <v>826</v>
      </c>
      <c r="G11" s="828" t="s">
        <v>827</v>
      </c>
      <c r="H11" s="828" t="n">
        <v>54914</v>
      </c>
      <c r="I11" s="828" t="s">
        <v>828</v>
      </c>
      <c r="J11" s="828" t="n">
        <v>78</v>
      </c>
    </row>
    <row r="12" customFormat="false" ht="14.45" hidden="false" customHeight="false" outlineLevel="0" collapsed="false">
      <c r="A12" s="828" t="s">
        <v>823</v>
      </c>
      <c r="B12" s="828" t="n">
        <v>21740</v>
      </c>
      <c r="C12" s="828" t="s">
        <v>830</v>
      </c>
      <c r="D12" s="828" t="s">
        <v>825</v>
      </c>
      <c r="E12" s="828" t="s">
        <v>800</v>
      </c>
      <c r="F12" s="828" t="s">
        <v>826</v>
      </c>
      <c r="G12" s="828" t="s">
        <v>827</v>
      </c>
      <c r="H12" s="828" t="n">
        <v>54915</v>
      </c>
      <c r="I12" s="828" t="s">
        <v>828</v>
      </c>
      <c r="J12" s="828" t="n">
        <v>78</v>
      </c>
    </row>
    <row r="13" customFormat="false" ht="14.45" hidden="false" customHeight="false" outlineLevel="0" collapsed="false">
      <c r="A13" s="828" t="s">
        <v>823</v>
      </c>
      <c r="B13" s="828" t="n">
        <v>21742</v>
      </c>
      <c r="C13" s="828" t="s">
        <v>831</v>
      </c>
      <c r="D13" s="828" t="s">
        <v>825</v>
      </c>
      <c r="E13" s="828" t="s">
        <v>800</v>
      </c>
      <c r="F13" s="828" t="s">
        <v>826</v>
      </c>
      <c r="G13" s="828" t="s">
        <v>827</v>
      </c>
      <c r="H13" s="828" t="n">
        <v>54916</v>
      </c>
      <c r="I13" s="828" t="s">
        <v>828</v>
      </c>
      <c r="J13" s="828" t="n">
        <v>78</v>
      </c>
    </row>
    <row r="14" customFormat="false" ht="14.45" hidden="false" customHeight="false" outlineLevel="0" collapsed="false">
      <c r="A14" s="828" t="s">
        <v>823</v>
      </c>
      <c r="B14" s="828" t="n">
        <v>21744</v>
      </c>
      <c r="C14" s="828" t="s">
        <v>832</v>
      </c>
      <c r="D14" s="828" t="s">
        <v>825</v>
      </c>
      <c r="E14" s="828" t="s">
        <v>800</v>
      </c>
      <c r="F14" s="828" t="s">
        <v>826</v>
      </c>
      <c r="G14" s="828" t="s">
        <v>827</v>
      </c>
      <c r="H14" s="828" t="n">
        <v>54917</v>
      </c>
      <c r="I14" s="828" t="s">
        <v>828</v>
      </c>
      <c r="J14" s="828" t="n">
        <v>78</v>
      </c>
    </row>
    <row r="15" customFormat="false" ht="14.45" hidden="false" customHeight="false" outlineLevel="0" collapsed="false">
      <c r="A15" s="828" t="s">
        <v>823</v>
      </c>
      <c r="B15" s="828" t="n">
        <v>21746</v>
      </c>
      <c r="C15" s="828" t="s">
        <v>833</v>
      </c>
      <c r="D15" s="828" t="s">
        <v>825</v>
      </c>
      <c r="E15" s="828" t="s">
        <v>800</v>
      </c>
      <c r="F15" s="828" t="s">
        <v>826</v>
      </c>
      <c r="G15" s="828" t="s">
        <v>827</v>
      </c>
      <c r="H15" s="828" t="n">
        <v>54918</v>
      </c>
      <c r="I15" s="828" t="s">
        <v>828</v>
      </c>
      <c r="J15" s="828" t="n">
        <v>78</v>
      </c>
    </row>
    <row r="16" customFormat="false" ht="14.45" hidden="false" customHeight="false" outlineLevel="0" collapsed="false">
      <c r="A16" s="828" t="s">
        <v>823</v>
      </c>
      <c r="B16" s="828" t="n">
        <v>21748</v>
      </c>
      <c r="C16" s="828" t="s">
        <v>834</v>
      </c>
      <c r="D16" s="828" t="s">
        <v>825</v>
      </c>
      <c r="E16" s="828" t="s">
        <v>800</v>
      </c>
      <c r="F16" s="828" t="s">
        <v>826</v>
      </c>
      <c r="G16" s="828" t="s">
        <v>827</v>
      </c>
      <c r="H16" s="828" t="n">
        <v>54919</v>
      </c>
      <c r="I16" s="828" t="s">
        <v>828</v>
      </c>
      <c r="J16" s="828" t="n">
        <v>78</v>
      </c>
    </row>
    <row r="17" customFormat="false" ht="14.45" hidden="false" customHeight="false" outlineLevel="0" collapsed="false">
      <c r="A17" s="828" t="s">
        <v>823</v>
      </c>
      <c r="B17" s="828" t="n">
        <v>21750</v>
      </c>
      <c r="C17" s="828" t="s">
        <v>835</v>
      </c>
      <c r="D17" s="828" t="s">
        <v>825</v>
      </c>
      <c r="E17" s="828" t="s">
        <v>800</v>
      </c>
      <c r="F17" s="828" t="s">
        <v>826</v>
      </c>
      <c r="G17" s="828" t="s">
        <v>827</v>
      </c>
      <c r="H17" s="828" t="n">
        <v>54920</v>
      </c>
      <c r="I17" s="828" t="s">
        <v>828</v>
      </c>
      <c r="J17" s="828" t="n">
        <v>78</v>
      </c>
    </row>
    <row r="18" customFormat="false" ht="14.45" hidden="false" customHeight="false" outlineLevel="0" collapsed="false">
      <c r="A18" s="828" t="s">
        <v>823</v>
      </c>
      <c r="B18" s="828" t="n">
        <v>21752</v>
      </c>
      <c r="C18" s="828" t="s">
        <v>836</v>
      </c>
      <c r="D18" s="828" t="s">
        <v>837</v>
      </c>
      <c r="E18" s="828" t="s">
        <v>800</v>
      </c>
      <c r="F18" s="828" t="s">
        <v>838</v>
      </c>
      <c r="G18" s="828" t="s">
        <v>827</v>
      </c>
      <c r="H18" s="828" t="n">
        <v>54929</v>
      </c>
      <c r="I18" s="828" t="s">
        <v>839</v>
      </c>
      <c r="J18" s="828" t="n">
        <v>78</v>
      </c>
    </row>
    <row r="19" customFormat="false" ht="14.45" hidden="false" customHeight="false" outlineLevel="0" collapsed="false">
      <c r="A19" s="828" t="s">
        <v>823</v>
      </c>
      <c r="B19" s="828" t="n">
        <v>21753</v>
      </c>
      <c r="C19" s="828" t="s">
        <v>840</v>
      </c>
      <c r="D19" s="828" t="s">
        <v>837</v>
      </c>
      <c r="E19" s="828" t="s">
        <v>800</v>
      </c>
      <c r="F19" s="828" t="s">
        <v>838</v>
      </c>
      <c r="G19" s="828" t="s">
        <v>827</v>
      </c>
      <c r="H19" s="828" t="n">
        <v>54930</v>
      </c>
      <c r="I19" s="828" t="s">
        <v>839</v>
      </c>
      <c r="J19" s="828" t="n">
        <v>78</v>
      </c>
    </row>
    <row r="20" customFormat="false" ht="14.45" hidden="false" customHeight="false" outlineLevel="0" collapsed="false">
      <c r="A20" s="828" t="s">
        <v>823</v>
      </c>
      <c r="B20" s="828" t="n">
        <v>21754</v>
      </c>
      <c r="C20" s="828" t="s">
        <v>841</v>
      </c>
      <c r="D20" s="828" t="s">
        <v>837</v>
      </c>
      <c r="E20" s="828" t="s">
        <v>800</v>
      </c>
      <c r="F20" s="828" t="s">
        <v>838</v>
      </c>
      <c r="G20" s="828" t="s">
        <v>827</v>
      </c>
      <c r="H20" s="828" t="n">
        <v>54931</v>
      </c>
      <c r="I20" s="828" t="s">
        <v>839</v>
      </c>
      <c r="J20" s="828" t="n">
        <v>78</v>
      </c>
    </row>
    <row r="21" customFormat="false" ht="14.45" hidden="false" customHeight="false" outlineLevel="0" collapsed="false">
      <c r="A21" s="828" t="s">
        <v>823</v>
      </c>
      <c r="B21" s="828" t="n">
        <v>21755</v>
      </c>
      <c r="C21" s="828" t="s">
        <v>842</v>
      </c>
      <c r="D21" s="828" t="s">
        <v>837</v>
      </c>
      <c r="E21" s="828" t="s">
        <v>800</v>
      </c>
      <c r="F21" s="828" t="s">
        <v>838</v>
      </c>
      <c r="G21" s="828" t="s">
        <v>827</v>
      </c>
      <c r="H21" s="828" t="n">
        <v>54932</v>
      </c>
      <c r="I21" s="828" t="s">
        <v>839</v>
      </c>
      <c r="J21" s="828" t="n">
        <v>78</v>
      </c>
    </row>
    <row r="22" customFormat="false" ht="14.45" hidden="false" customHeight="false" outlineLevel="0" collapsed="false">
      <c r="A22" s="828" t="s">
        <v>823</v>
      </c>
      <c r="B22" s="828" t="n">
        <v>21756</v>
      </c>
      <c r="C22" s="828" t="s">
        <v>843</v>
      </c>
      <c r="D22" s="828" t="s">
        <v>837</v>
      </c>
      <c r="E22" s="828" t="s">
        <v>800</v>
      </c>
      <c r="F22" s="828" t="s">
        <v>801</v>
      </c>
      <c r="G22" s="828" t="s">
        <v>827</v>
      </c>
      <c r="H22" s="828" t="n">
        <v>54938</v>
      </c>
      <c r="I22" s="828" t="s">
        <v>844</v>
      </c>
      <c r="J22" s="828" t="n">
        <v>66</v>
      </c>
    </row>
    <row r="23" customFormat="false" ht="14.45" hidden="false" customHeight="false" outlineLevel="0" collapsed="false">
      <c r="A23" s="828" t="s">
        <v>823</v>
      </c>
      <c r="B23" s="828" t="n">
        <v>21757</v>
      </c>
      <c r="C23" s="828" t="s">
        <v>845</v>
      </c>
      <c r="D23" s="828" t="s">
        <v>837</v>
      </c>
      <c r="E23" s="828" t="s">
        <v>800</v>
      </c>
      <c r="F23" s="828" t="s">
        <v>838</v>
      </c>
      <c r="G23" s="828" t="s">
        <v>827</v>
      </c>
      <c r="H23" s="828" t="n">
        <v>54933</v>
      </c>
      <c r="I23" s="828" t="s">
        <v>839</v>
      </c>
      <c r="J23" s="828" t="n">
        <v>78</v>
      </c>
    </row>
    <row r="24" customFormat="false" ht="14.45" hidden="false" customHeight="false" outlineLevel="0" collapsed="false">
      <c r="A24" s="828" t="s">
        <v>823</v>
      </c>
      <c r="B24" s="828" t="n">
        <v>21758</v>
      </c>
      <c r="C24" s="828" t="s">
        <v>846</v>
      </c>
      <c r="D24" s="828" t="s">
        <v>837</v>
      </c>
      <c r="E24" s="828" t="s">
        <v>800</v>
      </c>
      <c r="F24" s="828" t="s">
        <v>838</v>
      </c>
      <c r="G24" s="828" t="s">
        <v>827</v>
      </c>
      <c r="H24" s="828" t="n">
        <v>54934</v>
      </c>
      <c r="I24" s="828" t="s">
        <v>839</v>
      </c>
      <c r="J24" s="828" t="n">
        <v>78</v>
      </c>
    </row>
    <row r="25" customFormat="false" ht="14.45" hidden="false" customHeight="false" outlineLevel="0" collapsed="false">
      <c r="A25" s="828" t="s">
        <v>823</v>
      </c>
      <c r="B25" s="828" t="n">
        <v>21759</v>
      </c>
      <c r="C25" s="828" t="s">
        <v>847</v>
      </c>
      <c r="D25" s="828" t="s">
        <v>837</v>
      </c>
      <c r="E25" s="828" t="s">
        <v>800</v>
      </c>
      <c r="F25" s="828" t="s">
        <v>838</v>
      </c>
      <c r="G25" s="828" t="s">
        <v>827</v>
      </c>
      <c r="H25" s="828" t="n">
        <v>54935</v>
      </c>
      <c r="I25" s="828" t="s">
        <v>839</v>
      </c>
      <c r="J25" s="828" t="n">
        <v>78</v>
      </c>
    </row>
    <row r="26" customFormat="false" ht="14.45" hidden="false" customHeight="false" outlineLevel="0" collapsed="false">
      <c r="A26" s="828" t="s">
        <v>823</v>
      </c>
      <c r="B26" s="828" t="n">
        <v>21760</v>
      </c>
      <c r="C26" s="828" t="s">
        <v>848</v>
      </c>
      <c r="D26" s="828" t="s">
        <v>837</v>
      </c>
      <c r="E26" s="828" t="s">
        <v>800</v>
      </c>
      <c r="F26" s="828" t="s">
        <v>838</v>
      </c>
      <c r="G26" s="828" t="s">
        <v>827</v>
      </c>
      <c r="H26" s="828" t="n">
        <v>54936</v>
      </c>
      <c r="I26" s="828" t="s">
        <v>839</v>
      </c>
      <c r="J26" s="828" t="n">
        <v>78</v>
      </c>
    </row>
    <row r="27" customFormat="false" ht="14.45" hidden="false" customHeight="false" outlineLevel="0" collapsed="false">
      <c r="A27" s="828" t="s">
        <v>823</v>
      </c>
      <c r="B27" s="828" t="n">
        <v>113011</v>
      </c>
      <c r="C27" s="828" t="s">
        <v>849</v>
      </c>
      <c r="D27" s="828" t="s">
        <v>837</v>
      </c>
      <c r="E27" s="828" t="s">
        <v>800</v>
      </c>
      <c r="F27" s="828" t="s">
        <v>801</v>
      </c>
      <c r="G27" s="828" t="s">
        <v>827</v>
      </c>
      <c r="H27" s="828" t="n">
        <v>54937</v>
      </c>
      <c r="I27" s="828" t="s">
        <v>850</v>
      </c>
      <c r="J27" s="828" t="n">
        <v>66</v>
      </c>
    </row>
    <row r="28" customFormat="false" ht="14.45" hidden="false" customHeight="false" outlineLevel="0" collapsed="false">
      <c r="A28" s="828" t="s">
        <v>851</v>
      </c>
      <c r="B28" s="828" t="s">
        <v>852</v>
      </c>
      <c r="C28" s="828" t="s">
        <v>853</v>
      </c>
      <c r="D28" s="828" t="s">
        <v>854</v>
      </c>
      <c r="E28" s="828" t="s">
        <v>800</v>
      </c>
      <c r="F28" s="828" t="s">
        <v>855</v>
      </c>
      <c r="G28" s="828" t="s">
        <v>856</v>
      </c>
      <c r="H28" s="828" t="n">
        <v>50544</v>
      </c>
      <c r="I28" s="828" t="s">
        <v>275</v>
      </c>
      <c r="J28" s="828" t="s">
        <v>151</v>
      </c>
      <c r="K28" s="828" t="s">
        <v>857</v>
      </c>
    </row>
    <row r="29" customFormat="false" ht="14.45" hidden="false" customHeight="false" outlineLevel="0" collapsed="false">
      <c r="A29" s="828" t="s">
        <v>851</v>
      </c>
      <c r="B29" s="828" t="s">
        <v>858</v>
      </c>
      <c r="C29" s="828" t="s">
        <v>859</v>
      </c>
      <c r="D29" s="828" t="s">
        <v>860</v>
      </c>
      <c r="E29" s="828" t="s">
        <v>800</v>
      </c>
      <c r="F29" s="828" t="s">
        <v>855</v>
      </c>
      <c r="G29" s="828" t="s">
        <v>856</v>
      </c>
      <c r="H29" s="828" t="n">
        <v>50542</v>
      </c>
      <c r="I29" s="828" t="s">
        <v>861</v>
      </c>
      <c r="J29" s="828" t="s">
        <v>151</v>
      </c>
      <c r="K29" s="828" t="s">
        <v>857</v>
      </c>
    </row>
    <row r="30" customFormat="false" ht="14.45" hidden="false" customHeight="false" outlineLevel="0" collapsed="false">
      <c r="A30" s="828" t="s">
        <v>851</v>
      </c>
      <c r="B30" s="828" t="s">
        <v>862</v>
      </c>
      <c r="C30" s="828" t="s">
        <v>863</v>
      </c>
      <c r="D30" s="828" t="s">
        <v>860</v>
      </c>
      <c r="E30" s="828" t="s">
        <v>800</v>
      </c>
      <c r="F30" s="828" t="s">
        <v>838</v>
      </c>
      <c r="G30" s="828" t="s">
        <v>856</v>
      </c>
      <c r="H30" s="828" t="n">
        <v>50547</v>
      </c>
      <c r="J30" s="828" t="s">
        <v>151</v>
      </c>
      <c r="K30" s="828" t="s">
        <v>857</v>
      </c>
    </row>
    <row r="31" customFormat="false" ht="14.45" hidden="false" customHeight="false" outlineLevel="0" collapsed="false">
      <c r="A31" s="828" t="s">
        <v>851</v>
      </c>
      <c r="B31" s="828" t="s">
        <v>864</v>
      </c>
      <c r="C31" s="828" t="s">
        <v>865</v>
      </c>
      <c r="D31" s="828" t="s">
        <v>799</v>
      </c>
      <c r="E31" s="828" t="s">
        <v>800</v>
      </c>
      <c r="F31" s="828" t="s">
        <v>826</v>
      </c>
      <c r="G31" s="828" t="s">
        <v>856</v>
      </c>
      <c r="H31" s="828" t="n">
        <v>51112</v>
      </c>
      <c r="I31" s="828" t="s">
        <v>866</v>
      </c>
      <c r="J31" s="828" t="n">
        <v>82.6</v>
      </c>
    </row>
    <row r="32" customFormat="false" ht="14.45" hidden="false" customHeight="false" outlineLevel="0" collapsed="false">
      <c r="A32" s="828" t="s">
        <v>851</v>
      </c>
      <c r="B32" s="828" t="s">
        <v>867</v>
      </c>
      <c r="C32" s="828" t="s">
        <v>868</v>
      </c>
      <c r="D32" s="828" t="s">
        <v>799</v>
      </c>
      <c r="E32" s="828" t="s">
        <v>800</v>
      </c>
      <c r="F32" s="828" t="s">
        <v>826</v>
      </c>
      <c r="G32" s="828" t="s">
        <v>856</v>
      </c>
      <c r="H32" s="828" t="n">
        <v>51111</v>
      </c>
      <c r="I32" s="828" t="s">
        <v>866</v>
      </c>
      <c r="J32" s="828" t="n">
        <v>82.6</v>
      </c>
    </row>
    <row r="33" customFormat="false" ht="14.45" hidden="false" customHeight="false" outlineLevel="0" collapsed="false">
      <c r="A33" s="828" t="s">
        <v>851</v>
      </c>
      <c r="B33" s="828" t="s">
        <v>869</v>
      </c>
      <c r="C33" s="828" t="s">
        <v>870</v>
      </c>
      <c r="D33" s="828" t="s">
        <v>799</v>
      </c>
      <c r="E33" s="828" t="s">
        <v>800</v>
      </c>
      <c r="F33" s="828" t="s">
        <v>826</v>
      </c>
      <c r="G33" s="828" t="s">
        <v>856</v>
      </c>
      <c r="H33" s="828" t="n">
        <v>51110</v>
      </c>
      <c r="I33" s="828" t="s">
        <v>866</v>
      </c>
      <c r="J33" s="828" t="n">
        <v>82.6</v>
      </c>
    </row>
    <row r="34" customFormat="false" ht="14.45" hidden="false" customHeight="false" outlineLevel="0" collapsed="false">
      <c r="A34" s="828" t="s">
        <v>851</v>
      </c>
      <c r="B34" s="828" t="s">
        <v>871</v>
      </c>
      <c r="C34" s="828" t="s">
        <v>872</v>
      </c>
      <c r="D34" s="828" t="s">
        <v>799</v>
      </c>
      <c r="E34" s="828" t="s">
        <v>800</v>
      </c>
      <c r="F34" s="828" t="s">
        <v>826</v>
      </c>
      <c r="G34" s="828" t="s">
        <v>856</v>
      </c>
      <c r="H34" s="828" t="n">
        <v>51109</v>
      </c>
      <c r="I34" s="828" t="s">
        <v>866</v>
      </c>
      <c r="J34" s="828" t="n">
        <v>82.6</v>
      </c>
    </row>
    <row r="35" customFormat="false" ht="14.45" hidden="false" customHeight="false" outlineLevel="0" collapsed="false">
      <c r="A35" s="828" t="s">
        <v>851</v>
      </c>
      <c r="B35" s="828" t="s">
        <v>873</v>
      </c>
      <c r="C35" s="828" t="s">
        <v>874</v>
      </c>
      <c r="D35" s="828" t="s">
        <v>799</v>
      </c>
      <c r="E35" s="828" t="s">
        <v>800</v>
      </c>
      <c r="F35" s="828" t="s">
        <v>826</v>
      </c>
      <c r="G35" s="828" t="s">
        <v>856</v>
      </c>
      <c r="H35" s="828" t="n">
        <v>51108</v>
      </c>
      <c r="I35" s="828" t="s">
        <v>875</v>
      </c>
      <c r="J35" s="828" t="n">
        <v>82.6</v>
      </c>
    </row>
    <row r="36" customFormat="false" ht="14.45" hidden="false" customHeight="false" outlineLevel="0" collapsed="false">
      <c r="A36" s="828" t="s">
        <v>851</v>
      </c>
      <c r="B36" s="828" t="s">
        <v>876</v>
      </c>
      <c r="C36" s="828" t="s">
        <v>877</v>
      </c>
      <c r="D36" s="828" t="s">
        <v>799</v>
      </c>
      <c r="E36" s="828" t="s">
        <v>800</v>
      </c>
      <c r="F36" s="828" t="s">
        <v>826</v>
      </c>
      <c r="G36" s="828" t="s">
        <v>856</v>
      </c>
      <c r="H36" s="828" t="n">
        <v>51116</v>
      </c>
      <c r="I36" s="828" t="s">
        <v>866</v>
      </c>
      <c r="J36" s="828" t="n">
        <v>82.6</v>
      </c>
    </row>
    <row r="37" customFormat="false" ht="14.45" hidden="false" customHeight="false" outlineLevel="0" collapsed="false">
      <c r="A37" s="828" t="s">
        <v>851</v>
      </c>
      <c r="B37" s="828" t="s">
        <v>878</v>
      </c>
      <c r="C37" s="828" t="s">
        <v>879</v>
      </c>
      <c r="D37" s="828" t="s">
        <v>799</v>
      </c>
      <c r="E37" s="828" t="s">
        <v>800</v>
      </c>
      <c r="F37" s="828" t="s">
        <v>826</v>
      </c>
      <c r="G37" s="828" t="s">
        <v>856</v>
      </c>
      <c r="H37" s="828" t="n">
        <v>51115</v>
      </c>
      <c r="I37" s="828" t="s">
        <v>866</v>
      </c>
      <c r="J37" s="828" t="n">
        <v>82.6</v>
      </c>
    </row>
    <row r="38" customFormat="false" ht="14.45" hidden="false" customHeight="false" outlineLevel="0" collapsed="false">
      <c r="A38" s="828" t="s">
        <v>851</v>
      </c>
      <c r="B38" s="828" t="s">
        <v>880</v>
      </c>
      <c r="C38" s="828" t="s">
        <v>881</v>
      </c>
      <c r="D38" s="828" t="s">
        <v>799</v>
      </c>
      <c r="E38" s="828" t="s">
        <v>800</v>
      </c>
      <c r="F38" s="828" t="s">
        <v>826</v>
      </c>
      <c r="G38" s="828" t="s">
        <v>856</v>
      </c>
      <c r="H38" s="828" t="n">
        <v>51114</v>
      </c>
      <c r="I38" s="828" t="s">
        <v>866</v>
      </c>
      <c r="J38" s="828" t="n">
        <v>82.6</v>
      </c>
    </row>
    <row r="39" customFormat="false" ht="14.45" hidden="false" customHeight="false" outlineLevel="0" collapsed="false">
      <c r="A39" s="828" t="s">
        <v>851</v>
      </c>
      <c r="B39" s="828" t="s">
        <v>882</v>
      </c>
      <c r="C39" s="828" t="s">
        <v>883</v>
      </c>
      <c r="D39" s="828" t="s">
        <v>884</v>
      </c>
      <c r="E39" s="828" t="s">
        <v>800</v>
      </c>
      <c r="F39" s="828" t="s">
        <v>826</v>
      </c>
      <c r="G39" s="828" t="s">
        <v>856</v>
      </c>
      <c r="H39" s="828" t="n">
        <v>51113</v>
      </c>
      <c r="I39" s="828" t="s">
        <v>866</v>
      </c>
      <c r="J39" s="828" t="n">
        <v>82.6</v>
      </c>
    </row>
    <row r="40" customFormat="false" ht="14.45" hidden="false" customHeight="false" outlineLevel="0" collapsed="false">
      <c r="A40" s="828" t="s">
        <v>851</v>
      </c>
      <c r="B40" s="828" t="s">
        <v>885</v>
      </c>
      <c r="C40" s="828" t="s">
        <v>886</v>
      </c>
      <c r="D40" s="828" t="s">
        <v>799</v>
      </c>
      <c r="E40" s="828" t="s">
        <v>800</v>
      </c>
      <c r="F40" s="828" t="s">
        <v>826</v>
      </c>
      <c r="G40" s="828" t="s">
        <v>856</v>
      </c>
      <c r="H40" s="828" t="n">
        <v>51117</v>
      </c>
      <c r="I40" s="828" t="s">
        <v>866</v>
      </c>
      <c r="J40" s="828" t="n">
        <v>82.6</v>
      </c>
    </row>
    <row r="41" customFormat="false" ht="14.45" hidden="false" customHeight="false" outlineLevel="0" collapsed="false">
      <c r="A41" s="828" t="s">
        <v>851</v>
      </c>
      <c r="B41" s="828" t="s">
        <v>887</v>
      </c>
      <c r="C41" s="828" t="s">
        <v>888</v>
      </c>
      <c r="D41" s="828" t="s">
        <v>889</v>
      </c>
      <c r="E41" s="828" t="s">
        <v>800</v>
      </c>
      <c r="F41" s="828" t="s">
        <v>801</v>
      </c>
      <c r="G41" s="828" t="s">
        <v>856</v>
      </c>
      <c r="H41" s="828" t="n">
        <v>50848</v>
      </c>
      <c r="I41" s="828" t="s">
        <v>890</v>
      </c>
      <c r="J41" s="828" t="n">
        <v>28</v>
      </c>
      <c r="K41" s="828" t="s">
        <v>891</v>
      </c>
    </row>
    <row r="42" customFormat="false" ht="14.45" hidden="false" customHeight="false" outlineLevel="0" collapsed="false">
      <c r="A42" s="828" t="s">
        <v>851</v>
      </c>
      <c r="B42" s="828" t="s">
        <v>892</v>
      </c>
      <c r="C42" s="828" t="s">
        <v>893</v>
      </c>
      <c r="D42" s="828" t="s">
        <v>894</v>
      </c>
      <c r="E42" s="828" t="s">
        <v>800</v>
      </c>
      <c r="F42" s="828" t="s">
        <v>801</v>
      </c>
      <c r="G42" s="828" t="s">
        <v>856</v>
      </c>
      <c r="H42" s="828" t="n">
        <v>50849</v>
      </c>
      <c r="I42" s="828" t="s">
        <v>895</v>
      </c>
      <c r="J42" s="828" t="n">
        <v>10</v>
      </c>
    </row>
    <row r="43" customFormat="false" ht="14.45" hidden="false" customHeight="false" outlineLevel="0" collapsed="false">
      <c r="A43" s="828" t="s">
        <v>851</v>
      </c>
      <c r="B43" s="828" t="s">
        <v>896</v>
      </c>
      <c r="C43" s="828" t="s">
        <v>897</v>
      </c>
      <c r="D43" s="828" t="s">
        <v>894</v>
      </c>
      <c r="E43" s="828" t="s">
        <v>800</v>
      </c>
      <c r="F43" s="828" t="s">
        <v>801</v>
      </c>
      <c r="G43" s="828" t="s">
        <v>856</v>
      </c>
      <c r="H43" s="828" t="n">
        <v>50847</v>
      </c>
      <c r="I43" s="828" t="s">
        <v>898</v>
      </c>
      <c r="J43" s="828" t="n">
        <v>7</v>
      </c>
    </row>
    <row r="44" customFormat="false" ht="14.45" hidden="false" customHeight="false" outlineLevel="0" collapsed="false">
      <c r="A44" s="828" t="s">
        <v>851</v>
      </c>
      <c r="B44" s="828" t="s">
        <v>899</v>
      </c>
      <c r="C44" s="828" t="s">
        <v>900</v>
      </c>
      <c r="D44" s="828" t="s">
        <v>799</v>
      </c>
      <c r="E44" s="828" t="s">
        <v>800</v>
      </c>
      <c r="F44" s="828" t="s">
        <v>838</v>
      </c>
      <c r="G44" s="828" t="s">
        <v>856</v>
      </c>
      <c r="H44" s="828" t="n">
        <v>55929</v>
      </c>
      <c r="I44" s="828" t="s">
        <v>275</v>
      </c>
      <c r="J44" s="828" t="s">
        <v>151</v>
      </c>
      <c r="K44" s="828" t="s">
        <v>901</v>
      </c>
    </row>
    <row r="45" customFormat="false" ht="14.45" hidden="false" customHeight="false" outlineLevel="0" collapsed="false">
      <c r="A45" s="828" t="s">
        <v>851</v>
      </c>
      <c r="B45" s="828" t="s">
        <v>902</v>
      </c>
      <c r="C45" s="828" t="s">
        <v>903</v>
      </c>
      <c r="D45" s="828" t="s">
        <v>799</v>
      </c>
      <c r="E45" s="828" t="s">
        <v>800</v>
      </c>
      <c r="F45" s="828" t="s">
        <v>838</v>
      </c>
      <c r="G45" s="828" t="s">
        <v>856</v>
      </c>
      <c r="H45" s="828" t="n">
        <v>55922</v>
      </c>
      <c r="I45" s="828" t="s">
        <v>275</v>
      </c>
      <c r="J45" s="828" t="s">
        <v>151</v>
      </c>
      <c r="K45" s="828" t="s">
        <v>904</v>
      </c>
    </row>
    <row r="46" customFormat="false" ht="14.45" hidden="false" customHeight="false" outlineLevel="0" collapsed="false">
      <c r="A46" s="828" t="s">
        <v>851</v>
      </c>
      <c r="B46" s="828" t="s">
        <v>905</v>
      </c>
      <c r="C46" s="828" t="s">
        <v>906</v>
      </c>
      <c r="D46" s="828" t="s">
        <v>799</v>
      </c>
      <c r="E46" s="828" t="s">
        <v>800</v>
      </c>
      <c r="F46" s="828" t="s">
        <v>838</v>
      </c>
      <c r="G46" s="828" t="s">
        <v>856</v>
      </c>
      <c r="H46" s="828" t="n">
        <v>55921</v>
      </c>
      <c r="I46" s="828" t="s">
        <v>275</v>
      </c>
      <c r="J46" s="828" t="s">
        <v>151</v>
      </c>
      <c r="K46" s="828" t="s">
        <v>907</v>
      </c>
    </row>
    <row r="47" customFormat="false" ht="14.45" hidden="false" customHeight="false" outlineLevel="0" collapsed="false">
      <c r="A47" s="828" t="s">
        <v>851</v>
      </c>
      <c r="B47" s="828" t="s">
        <v>908</v>
      </c>
      <c r="C47" s="828" t="s">
        <v>909</v>
      </c>
      <c r="D47" s="828" t="s">
        <v>799</v>
      </c>
      <c r="E47" s="828" t="s">
        <v>800</v>
      </c>
      <c r="F47" s="828" t="s">
        <v>838</v>
      </c>
      <c r="G47" s="828" t="s">
        <v>856</v>
      </c>
      <c r="H47" s="828" t="n">
        <v>57806</v>
      </c>
      <c r="I47" s="828" t="s">
        <v>275</v>
      </c>
      <c r="J47" s="828" t="s">
        <v>151</v>
      </c>
      <c r="K47" s="828" t="s">
        <v>910</v>
      </c>
    </row>
    <row r="48" customFormat="false" ht="14.45" hidden="false" customHeight="false" outlineLevel="0" collapsed="false">
      <c r="A48" s="828" t="s">
        <v>851</v>
      </c>
      <c r="B48" s="828" t="s">
        <v>911</v>
      </c>
      <c r="C48" s="828" t="s">
        <v>912</v>
      </c>
      <c r="D48" s="828" t="s">
        <v>799</v>
      </c>
      <c r="E48" s="828" t="s">
        <v>800</v>
      </c>
      <c r="F48" s="828" t="s">
        <v>838</v>
      </c>
      <c r="G48" s="828" t="s">
        <v>856</v>
      </c>
      <c r="H48" s="828" t="n">
        <v>55925</v>
      </c>
      <c r="I48" s="828" t="s">
        <v>275</v>
      </c>
      <c r="J48" s="828" t="s">
        <v>151</v>
      </c>
      <c r="K48" s="828" t="s">
        <v>913</v>
      </c>
    </row>
    <row r="49" customFormat="false" ht="14.45" hidden="false" customHeight="false" outlineLevel="0" collapsed="false">
      <c r="A49" s="828" t="s">
        <v>851</v>
      </c>
      <c r="B49" s="828" t="s">
        <v>914</v>
      </c>
      <c r="C49" s="828" t="s">
        <v>915</v>
      </c>
      <c r="D49" s="828" t="s">
        <v>799</v>
      </c>
      <c r="E49" s="828" t="s">
        <v>800</v>
      </c>
      <c r="F49" s="828" t="s">
        <v>838</v>
      </c>
      <c r="G49" s="828" t="s">
        <v>856</v>
      </c>
      <c r="H49" s="828" t="n">
        <v>55926</v>
      </c>
      <c r="I49" s="828" t="s">
        <v>275</v>
      </c>
      <c r="J49" s="828" t="s">
        <v>151</v>
      </c>
      <c r="K49" s="828" t="s">
        <v>916</v>
      </c>
    </row>
    <row r="50" customFormat="false" ht="14.45" hidden="false" customHeight="false" outlineLevel="0" collapsed="false">
      <c r="A50" s="828" t="s">
        <v>851</v>
      </c>
      <c r="B50" s="828" t="s">
        <v>917</v>
      </c>
      <c r="C50" s="828" t="s">
        <v>918</v>
      </c>
      <c r="D50" s="828" t="s">
        <v>799</v>
      </c>
      <c r="E50" s="828" t="s">
        <v>800</v>
      </c>
      <c r="F50" s="828" t="s">
        <v>838</v>
      </c>
      <c r="G50" s="828" t="s">
        <v>856</v>
      </c>
      <c r="H50" s="828" t="n">
        <v>55913</v>
      </c>
      <c r="J50" s="828" t="s">
        <v>151</v>
      </c>
      <c r="K50" s="828" t="s">
        <v>919</v>
      </c>
    </row>
    <row r="51" customFormat="false" ht="14.45" hidden="false" customHeight="false" outlineLevel="0" collapsed="false">
      <c r="A51" s="828" t="s">
        <v>851</v>
      </c>
      <c r="B51" s="828" t="s">
        <v>920</v>
      </c>
      <c r="C51" s="828" t="s">
        <v>921</v>
      </c>
      <c r="D51" s="828" t="s">
        <v>799</v>
      </c>
      <c r="E51" s="828" t="s">
        <v>800</v>
      </c>
      <c r="F51" s="828" t="s">
        <v>838</v>
      </c>
      <c r="G51" s="828" t="s">
        <v>856</v>
      </c>
      <c r="H51" s="828" t="n">
        <v>55927</v>
      </c>
      <c r="I51" s="828" t="s">
        <v>275</v>
      </c>
      <c r="J51" s="828" t="s">
        <v>151</v>
      </c>
      <c r="K51" s="828" t="s">
        <v>922</v>
      </c>
    </row>
    <row r="52" customFormat="false" ht="14.45" hidden="false" customHeight="false" outlineLevel="0" collapsed="false">
      <c r="A52" s="828" t="s">
        <v>851</v>
      </c>
      <c r="B52" s="828" t="s">
        <v>923</v>
      </c>
      <c r="C52" s="828" t="s">
        <v>924</v>
      </c>
      <c r="D52" s="828" t="s">
        <v>799</v>
      </c>
      <c r="E52" s="828" t="s">
        <v>800</v>
      </c>
      <c r="F52" s="828" t="s">
        <v>838</v>
      </c>
      <c r="G52" s="828" t="s">
        <v>856</v>
      </c>
      <c r="H52" s="828" t="n">
        <v>55928</v>
      </c>
      <c r="I52" s="828" t="s">
        <v>275</v>
      </c>
      <c r="J52" s="828" t="s">
        <v>151</v>
      </c>
      <c r="K52" s="828" t="s">
        <v>925</v>
      </c>
    </row>
    <row r="53" customFormat="false" ht="14.45" hidden="false" customHeight="false" outlineLevel="0" collapsed="false">
      <c r="A53" s="828" t="s">
        <v>851</v>
      </c>
      <c r="B53" s="828" t="s">
        <v>926</v>
      </c>
      <c r="C53" s="828" t="s">
        <v>927</v>
      </c>
      <c r="D53" s="828" t="s">
        <v>799</v>
      </c>
      <c r="E53" s="828" t="s">
        <v>800</v>
      </c>
      <c r="F53" s="828" t="s">
        <v>838</v>
      </c>
      <c r="G53" s="828" t="s">
        <v>856</v>
      </c>
      <c r="H53" s="828" t="n">
        <v>55917</v>
      </c>
      <c r="I53" s="828" t="s">
        <v>275</v>
      </c>
      <c r="J53" s="828" t="s">
        <v>151</v>
      </c>
      <c r="K53" s="828" t="s">
        <v>928</v>
      </c>
    </row>
    <row r="54" customFormat="false" ht="14.45" hidden="false" customHeight="false" outlineLevel="0" collapsed="false">
      <c r="A54" s="828" t="s">
        <v>929</v>
      </c>
      <c r="B54" s="828" t="s">
        <v>930</v>
      </c>
      <c r="C54" s="828" t="s">
        <v>931</v>
      </c>
      <c r="D54" s="828" t="s">
        <v>932</v>
      </c>
      <c r="E54" s="828" t="s">
        <v>800</v>
      </c>
      <c r="F54" s="828" t="s">
        <v>826</v>
      </c>
      <c r="G54" s="828" t="s">
        <v>933</v>
      </c>
      <c r="H54" s="828" t="n">
        <v>51508</v>
      </c>
      <c r="I54" s="828" t="s">
        <v>934</v>
      </c>
      <c r="J54" s="828" t="n">
        <v>110</v>
      </c>
    </row>
    <row r="55" customFormat="false" ht="14.45" hidden="false" customHeight="false" outlineLevel="0" collapsed="false">
      <c r="A55" s="828" t="s">
        <v>929</v>
      </c>
      <c r="B55" s="828" t="s">
        <v>935</v>
      </c>
      <c r="C55" s="828" t="s">
        <v>936</v>
      </c>
      <c r="D55" s="828" t="s">
        <v>932</v>
      </c>
      <c r="E55" s="828" t="s">
        <v>800</v>
      </c>
      <c r="F55" s="828" t="s">
        <v>826</v>
      </c>
      <c r="G55" s="828" t="s">
        <v>933</v>
      </c>
      <c r="H55" s="828" t="n">
        <v>51509</v>
      </c>
      <c r="I55" s="828" t="s">
        <v>934</v>
      </c>
      <c r="J55" s="828" t="n">
        <v>110</v>
      </c>
    </row>
    <row r="56" customFormat="false" ht="14.45" hidden="false" customHeight="false" outlineLevel="0" collapsed="false">
      <c r="A56" s="828" t="s">
        <v>929</v>
      </c>
      <c r="B56" s="828" t="s">
        <v>937</v>
      </c>
      <c r="C56" s="828" t="s">
        <v>938</v>
      </c>
      <c r="D56" s="828" t="s">
        <v>939</v>
      </c>
      <c r="E56" s="828" t="s">
        <v>800</v>
      </c>
      <c r="F56" s="828" t="s">
        <v>801</v>
      </c>
      <c r="G56" s="828" t="s">
        <v>933</v>
      </c>
      <c r="H56" s="828" t="n">
        <v>58775</v>
      </c>
      <c r="I56" s="828" t="s">
        <v>940</v>
      </c>
      <c r="J56" s="828" t="n">
        <v>3</v>
      </c>
    </row>
    <row r="57" customFormat="false" ht="14.45" hidden="false" customHeight="false" outlineLevel="0" collapsed="false">
      <c r="A57" s="828" t="s">
        <v>929</v>
      </c>
      <c r="B57" s="828" t="s">
        <v>941</v>
      </c>
      <c r="C57" s="828" t="s">
        <v>942</v>
      </c>
      <c r="D57" s="828" t="s">
        <v>943</v>
      </c>
      <c r="E57" s="828" t="s">
        <v>800</v>
      </c>
      <c r="F57" s="828" t="s">
        <v>801</v>
      </c>
      <c r="G57" s="828" t="s">
        <v>944</v>
      </c>
      <c r="H57" s="828" t="n">
        <v>50664</v>
      </c>
      <c r="I57" s="828" t="s">
        <v>945</v>
      </c>
      <c r="J57" s="828" t="n">
        <v>60</v>
      </c>
    </row>
    <row r="58" customFormat="false" ht="14.45" hidden="false" customHeight="false" outlineLevel="0" collapsed="false">
      <c r="A58" s="828" t="s">
        <v>929</v>
      </c>
      <c r="B58" s="828" t="s">
        <v>946</v>
      </c>
      <c r="C58" s="828" t="s">
        <v>947</v>
      </c>
      <c r="D58" s="828" t="s">
        <v>943</v>
      </c>
      <c r="E58" s="828" t="s">
        <v>800</v>
      </c>
      <c r="F58" s="828" t="s">
        <v>801</v>
      </c>
      <c r="G58" s="828" t="s">
        <v>944</v>
      </c>
      <c r="H58" s="828" t="n">
        <v>50665</v>
      </c>
      <c r="I58" s="828" t="s">
        <v>948</v>
      </c>
      <c r="J58" s="828" t="n">
        <v>60</v>
      </c>
    </row>
    <row r="59" customFormat="false" ht="14.45" hidden="false" customHeight="false" outlineLevel="0" collapsed="false">
      <c r="A59" s="828" t="s">
        <v>929</v>
      </c>
      <c r="B59" s="828" t="s">
        <v>949</v>
      </c>
      <c r="C59" s="828" t="s">
        <v>950</v>
      </c>
      <c r="D59" s="828" t="s">
        <v>943</v>
      </c>
      <c r="E59" s="828" t="s">
        <v>800</v>
      </c>
      <c r="F59" s="828" t="s">
        <v>801</v>
      </c>
      <c r="G59" s="828" t="s">
        <v>944</v>
      </c>
      <c r="H59" s="828" t="n">
        <v>50666</v>
      </c>
      <c r="I59" s="828" t="s">
        <v>951</v>
      </c>
      <c r="J59" s="828" t="n">
        <v>60</v>
      </c>
    </row>
    <row r="60" customFormat="false" ht="14.45" hidden="false" customHeight="false" outlineLevel="0" collapsed="false">
      <c r="A60" s="828" t="s">
        <v>929</v>
      </c>
      <c r="B60" s="828" t="s">
        <v>952</v>
      </c>
      <c r="C60" s="828" t="s">
        <v>953</v>
      </c>
      <c r="D60" s="828" t="s">
        <v>943</v>
      </c>
      <c r="E60" s="828" t="s">
        <v>800</v>
      </c>
      <c r="F60" s="828" t="s">
        <v>801</v>
      </c>
      <c r="G60" s="828" t="s">
        <v>944</v>
      </c>
      <c r="H60" s="828" t="n">
        <v>50667</v>
      </c>
      <c r="I60" s="828" t="s">
        <v>954</v>
      </c>
      <c r="J60" s="828" t="n">
        <v>60</v>
      </c>
    </row>
    <row r="61" customFormat="false" ht="14.45" hidden="false" customHeight="false" outlineLevel="0" collapsed="false">
      <c r="A61" s="828" t="s">
        <v>929</v>
      </c>
      <c r="B61" s="828" t="s">
        <v>955</v>
      </c>
      <c r="C61" s="828" t="s">
        <v>956</v>
      </c>
      <c r="D61" s="828" t="s">
        <v>957</v>
      </c>
      <c r="E61" s="828" t="s">
        <v>800</v>
      </c>
      <c r="F61" s="828" t="s">
        <v>801</v>
      </c>
      <c r="G61" s="828" t="s">
        <v>944</v>
      </c>
      <c r="H61" s="828" t="n">
        <v>55836</v>
      </c>
      <c r="I61" s="828" t="s">
        <v>958</v>
      </c>
      <c r="J61" s="828" t="n">
        <v>3</v>
      </c>
    </row>
    <row r="62" customFormat="false" ht="14.45" hidden="false" customHeight="false" outlineLevel="0" collapsed="false">
      <c r="A62" s="828" t="s">
        <v>929</v>
      </c>
      <c r="B62" s="828" t="s">
        <v>959</v>
      </c>
      <c r="C62" s="828" t="s">
        <v>960</v>
      </c>
      <c r="D62" s="828" t="s">
        <v>961</v>
      </c>
      <c r="E62" s="828" t="s">
        <v>800</v>
      </c>
      <c r="F62" s="828" t="s">
        <v>801</v>
      </c>
      <c r="G62" s="828" t="s">
        <v>944</v>
      </c>
      <c r="H62" s="828" t="n">
        <v>55838</v>
      </c>
      <c r="I62" s="828" t="s">
        <v>958</v>
      </c>
      <c r="J62" s="828" t="n">
        <v>2.5</v>
      </c>
    </row>
    <row r="63" customFormat="false" ht="14.45" hidden="false" customHeight="false" outlineLevel="0" collapsed="false">
      <c r="A63" s="828" t="s">
        <v>929</v>
      </c>
      <c r="B63" s="828" t="s">
        <v>962</v>
      </c>
      <c r="C63" s="828" t="s">
        <v>897</v>
      </c>
      <c r="D63" s="828" t="s">
        <v>957</v>
      </c>
      <c r="E63" s="828" t="s">
        <v>800</v>
      </c>
      <c r="F63" s="828" t="s">
        <v>801</v>
      </c>
      <c r="G63" s="828" t="s">
        <v>944</v>
      </c>
      <c r="H63" s="828" t="n">
        <v>50737</v>
      </c>
      <c r="I63" s="828" t="s">
        <v>963</v>
      </c>
      <c r="J63" s="828" t="n">
        <v>6</v>
      </c>
    </row>
    <row r="64" customFormat="false" ht="14.45" hidden="false" customHeight="false" outlineLevel="0" collapsed="false">
      <c r="A64" s="828" t="s">
        <v>964</v>
      </c>
      <c r="B64" s="828" t="n">
        <v>510515</v>
      </c>
      <c r="C64" s="828" t="s">
        <v>965</v>
      </c>
      <c r="D64" s="828" t="s">
        <v>799</v>
      </c>
      <c r="E64" s="828" t="s">
        <v>800</v>
      </c>
      <c r="F64" s="828" t="s">
        <v>801</v>
      </c>
      <c r="G64" s="828" t="s">
        <v>966</v>
      </c>
      <c r="H64" s="828" t="n">
        <v>53002</v>
      </c>
      <c r="I64" s="828" t="s">
        <v>967</v>
      </c>
      <c r="J64" s="828" t="n">
        <v>80</v>
      </c>
      <c r="K64" s="828" t="s">
        <v>968</v>
      </c>
    </row>
    <row r="65" customFormat="false" ht="14.45" hidden="false" customHeight="false" outlineLevel="0" collapsed="false">
      <c r="A65" s="828" t="s">
        <v>964</v>
      </c>
      <c r="B65" s="828" t="n">
        <v>510516</v>
      </c>
      <c r="C65" s="828" t="s">
        <v>969</v>
      </c>
      <c r="D65" s="828" t="s">
        <v>799</v>
      </c>
      <c r="E65" s="828" t="s">
        <v>800</v>
      </c>
      <c r="F65" s="828" t="s">
        <v>801</v>
      </c>
      <c r="G65" s="828" t="s">
        <v>966</v>
      </c>
      <c r="H65" s="828" t="n">
        <v>53003</v>
      </c>
      <c r="I65" s="828" t="s">
        <v>967</v>
      </c>
      <c r="J65" s="828" t="n">
        <v>80</v>
      </c>
      <c r="K65" s="828" t="s">
        <v>968</v>
      </c>
    </row>
    <row r="66" customFormat="false" ht="14.45" hidden="false" customHeight="false" outlineLevel="0" collapsed="false">
      <c r="A66" s="828" t="s">
        <v>964</v>
      </c>
      <c r="B66" s="828" t="n">
        <v>510517</v>
      </c>
      <c r="C66" s="828" t="s">
        <v>970</v>
      </c>
      <c r="D66" s="828" t="s">
        <v>799</v>
      </c>
      <c r="E66" s="828" t="s">
        <v>800</v>
      </c>
      <c r="F66" s="828" t="s">
        <v>801</v>
      </c>
      <c r="G66" s="828" t="s">
        <v>966</v>
      </c>
      <c r="H66" s="828" t="n">
        <v>53004</v>
      </c>
      <c r="I66" s="828" t="s">
        <v>967</v>
      </c>
      <c r="J66" s="828" t="n">
        <v>80</v>
      </c>
      <c r="K66" s="828" t="s">
        <v>968</v>
      </c>
    </row>
    <row r="67" customFormat="false" ht="14.45" hidden="false" customHeight="false" outlineLevel="0" collapsed="false">
      <c r="A67" s="828" t="s">
        <v>964</v>
      </c>
      <c r="B67" s="828" t="n">
        <v>510518</v>
      </c>
      <c r="C67" s="828" t="s">
        <v>971</v>
      </c>
      <c r="D67" s="828" t="s">
        <v>799</v>
      </c>
      <c r="E67" s="828" t="s">
        <v>800</v>
      </c>
      <c r="F67" s="828" t="s">
        <v>801</v>
      </c>
      <c r="G67" s="828" t="s">
        <v>966</v>
      </c>
      <c r="H67" s="828" t="n">
        <v>53006</v>
      </c>
      <c r="I67" s="828" t="s">
        <v>967</v>
      </c>
      <c r="J67" s="828" t="n">
        <v>80</v>
      </c>
      <c r="K67" s="828" t="s">
        <v>968</v>
      </c>
    </row>
    <row r="68" customFormat="false" ht="14.45" hidden="false" customHeight="false" outlineLevel="0" collapsed="false">
      <c r="A68" s="828" t="s">
        <v>964</v>
      </c>
      <c r="B68" s="828" t="n">
        <v>510519</v>
      </c>
      <c r="C68" s="828" t="s">
        <v>972</v>
      </c>
      <c r="D68" s="828" t="s">
        <v>799</v>
      </c>
      <c r="E68" s="828" t="s">
        <v>800</v>
      </c>
      <c r="F68" s="828" t="s">
        <v>801</v>
      </c>
      <c r="G68" s="828" t="s">
        <v>966</v>
      </c>
      <c r="H68" s="828" t="n">
        <v>53007</v>
      </c>
      <c r="I68" s="828" t="s">
        <v>967</v>
      </c>
      <c r="J68" s="828" t="n">
        <v>80</v>
      </c>
      <c r="K68" s="828" t="s">
        <v>968</v>
      </c>
    </row>
    <row r="69" customFormat="false" ht="14.45" hidden="false" customHeight="false" outlineLevel="0" collapsed="false">
      <c r="A69" s="828" t="s">
        <v>964</v>
      </c>
      <c r="B69" s="828" t="n">
        <v>510520</v>
      </c>
      <c r="C69" s="828" t="s">
        <v>973</v>
      </c>
      <c r="D69" s="828" t="s">
        <v>799</v>
      </c>
      <c r="E69" s="828" t="s">
        <v>800</v>
      </c>
      <c r="F69" s="828" t="s">
        <v>801</v>
      </c>
      <c r="G69" s="828" t="s">
        <v>966</v>
      </c>
      <c r="H69" s="828" t="n">
        <v>53008</v>
      </c>
      <c r="I69" s="828" t="s">
        <v>967</v>
      </c>
      <c r="J69" s="828" t="n">
        <v>80</v>
      </c>
      <c r="K69" s="828" t="s">
        <v>968</v>
      </c>
    </row>
    <row r="70" customFormat="false" ht="14.45" hidden="false" customHeight="false" outlineLevel="0" collapsed="false">
      <c r="A70" s="828" t="s">
        <v>964</v>
      </c>
      <c r="B70" s="828" t="s">
        <v>974</v>
      </c>
      <c r="C70" s="828" t="s">
        <v>847</v>
      </c>
      <c r="D70" s="828" t="s">
        <v>817</v>
      </c>
      <c r="E70" s="828" t="s">
        <v>800</v>
      </c>
      <c r="F70" s="828" t="s">
        <v>801</v>
      </c>
      <c r="G70" s="828" t="s">
        <v>966</v>
      </c>
      <c r="H70" s="828" t="n">
        <v>53023</v>
      </c>
      <c r="I70" s="828" t="s">
        <v>975</v>
      </c>
      <c r="J70" s="828" t="n">
        <v>7</v>
      </c>
      <c r="K70" s="828" t="s">
        <v>968</v>
      </c>
    </row>
    <row r="71" customFormat="false" ht="14.45" hidden="false" customHeight="false" outlineLevel="0" collapsed="false">
      <c r="A71" s="828" t="s">
        <v>964</v>
      </c>
      <c r="B71" s="828" t="s">
        <v>976</v>
      </c>
      <c r="C71" s="828" t="s">
        <v>848</v>
      </c>
      <c r="D71" s="828" t="s">
        <v>817</v>
      </c>
      <c r="E71" s="828" t="s">
        <v>800</v>
      </c>
      <c r="F71" s="828" t="s">
        <v>801</v>
      </c>
      <c r="G71" s="828" t="s">
        <v>966</v>
      </c>
      <c r="H71" s="828" t="n">
        <v>53024</v>
      </c>
      <c r="I71" s="828" t="s">
        <v>977</v>
      </c>
      <c r="J71" s="828" t="n">
        <v>7</v>
      </c>
      <c r="K71" s="828" t="s">
        <v>968</v>
      </c>
    </row>
    <row r="72" customFormat="false" ht="14.45" hidden="false" customHeight="false" outlineLevel="0" collapsed="false">
      <c r="A72" s="828" t="s">
        <v>978</v>
      </c>
      <c r="B72" s="828" t="s">
        <v>979</v>
      </c>
      <c r="C72" s="828" t="s">
        <v>980</v>
      </c>
      <c r="E72" s="828" t="s">
        <v>800</v>
      </c>
      <c r="F72" s="828" t="s">
        <v>801</v>
      </c>
      <c r="G72" s="828" t="s">
        <v>981</v>
      </c>
      <c r="H72" s="828" t="n">
        <v>51968</v>
      </c>
      <c r="I72" s="828" t="s">
        <v>982</v>
      </c>
      <c r="J72" s="828" t="n">
        <v>60</v>
      </c>
    </row>
    <row r="73" customFormat="false" ht="14.45" hidden="false" customHeight="false" outlineLevel="0" collapsed="false">
      <c r="A73" s="828" t="s">
        <v>978</v>
      </c>
      <c r="B73" s="828" t="s">
        <v>983</v>
      </c>
      <c r="C73" s="828" t="s">
        <v>984</v>
      </c>
      <c r="E73" s="828" t="s">
        <v>800</v>
      </c>
      <c r="F73" s="828" t="s">
        <v>801</v>
      </c>
      <c r="G73" s="828" t="s">
        <v>981</v>
      </c>
      <c r="H73" s="828" t="n">
        <v>52060</v>
      </c>
      <c r="I73" s="828" t="s">
        <v>982</v>
      </c>
      <c r="J73" s="828" t="n">
        <v>60</v>
      </c>
      <c r="K73" s="828" t="s">
        <v>985</v>
      </c>
    </row>
    <row r="74" customFormat="false" ht="14.45" hidden="false" customHeight="false" outlineLevel="0" collapsed="false">
      <c r="A74" s="828" t="s">
        <v>978</v>
      </c>
      <c r="B74" s="828" t="s">
        <v>986</v>
      </c>
      <c r="C74" s="828" t="s">
        <v>987</v>
      </c>
      <c r="E74" s="828" t="s">
        <v>800</v>
      </c>
      <c r="F74" s="828" t="s">
        <v>801</v>
      </c>
      <c r="G74" s="828" t="s">
        <v>981</v>
      </c>
      <c r="H74" s="828" t="n">
        <v>52061</v>
      </c>
      <c r="I74" s="828" t="s">
        <v>982</v>
      </c>
      <c r="J74" s="828" t="n">
        <v>60</v>
      </c>
      <c r="K74" s="828" t="s">
        <v>985</v>
      </c>
    </row>
    <row r="75" customFormat="false" ht="14.45" hidden="false" customHeight="false" outlineLevel="0" collapsed="false">
      <c r="A75" s="828" t="s">
        <v>978</v>
      </c>
      <c r="B75" s="828" t="s">
        <v>988</v>
      </c>
      <c r="C75" s="828" t="s">
        <v>989</v>
      </c>
      <c r="E75" s="828" t="s">
        <v>800</v>
      </c>
      <c r="F75" s="828" t="s">
        <v>801</v>
      </c>
      <c r="G75" s="828" t="s">
        <v>981</v>
      </c>
      <c r="H75" s="828" t="n">
        <v>52062</v>
      </c>
      <c r="I75" s="828" t="s">
        <v>982</v>
      </c>
      <c r="J75" s="828" t="n">
        <v>60</v>
      </c>
      <c r="K75" s="828" t="s">
        <v>985</v>
      </c>
    </row>
    <row r="76" customFormat="false" ht="14.45" hidden="false" customHeight="false" outlineLevel="0" collapsed="false">
      <c r="A76" s="828" t="s">
        <v>978</v>
      </c>
      <c r="B76" s="828" t="s">
        <v>990</v>
      </c>
      <c r="C76" s="828" t="s">
        <v>991</v>
      </c>
      <c r="E76" s="828" t="s">
        <v>800</v>
      </c>
      <c r="F76" s="828" t="s">
        <v>801</v>
      </c>
      <c r="G76" s="828" t="s">
        <v>981</v>
      </c>
      <c r="H76" s="828" t="n">
        <v>52063</v>
      </c>
      <c r="I76" s="828" t="s">
        <v>982</v>
      </c>
      <c r="J76" s="828" t="n">
        <v>60</v>
      </c>
    </row>
    <row r="77" customFormat="false" ht="14.45" hidden="false" customHeight="false" outlineLevel="0" collapsed="false">
      <c r="A77" s="828" t="s">
        <v>978</v>
      </c>
      <c r="B77" s="828" t="s">
        <v>992</v>
      </c>
      <c r="C77" s="828" t="s">
        <v>993</v>
      </c>
      <c r="E77" s="828" t="s">
        <v>800</v>
      </c>
      <c r="F77" s="828" t="s">
        <v>801</v>
      </c>
      <c r="G77" s="828" t="s">
        <v>981</v>
      </c>
      <c r="H77" s="828" t="n">
        <v>52064</v>
      </c>
      <c r="I77" s="828" t="s">
        <v>982</v>
      </c>
      <c r="J77" s="828" t="n">
        <v>60</v>
      </c>
      <c r="K77" s="828" t="s">
        <v>985</v>
      </c>
    </row>
    <row r="78" customFormat="false" ht="14.45" hidden="false" customHeight="false" outlineLevel="0" collapsed="false">
      <c r="A78" s="828" t="s">
        <v>978</v>
      </c>
      <c r="B78" s="828" t="s">
        <v>994</v>
      </c>
      <c r="C78" s="828" t="s">
        <v>995</v>
      </c>
      <c r="E78" s="828" t="s">
        <v>800</v>
      </c>
      <c r="F78" s="828" t="s">
        <v>801</v>
      </c>
      <c r="G78" s="828" t="s">
        <v>981</v>
      </c>
      <c r="H78" s="828" t="n">
        <v>52105</v>
      </c>
      <c r="I78" s="828" t="s">
        <v>996</v>
      </c>
      <c r="J78" s="828" t="n">
        <v>7</v>
      </c>
    </row>
    <row r="79" customFormat="false" ht="14.45" hidden="false" customHeight="false" outlineLevel="0" collapsed="false">
      <c r="A79" s="828" t="s">
        <v>978</v>
      </c>
      <c r="B79" s="828" t="s">
        <v>997</v>
      </c>
      <c r="C79" s="828" t="s">
        <v>998</v>
      </c>
      <c r="E79" s="828" t="s">
        <v>800</v>
      </c>
      <c r="F79" s="828" t="s">
        <v>801</v>
      </c>
      <c r="G79" s="828" t="s">
        <v>981</v>
      </c>
      <c r="H79" s="828" t="n">
        <v>51945</v>
      </c>
      <c r="I79" s="828" t="s">
        <v>996</v>
      </c>
      <c r="J79" s="828" t="n">
        <v>7</v>
      </c>
    </row>
    <row r="80" customFormat="false" ht="14.45" hidden="false" customHeight="false" outlineLevel="0" collapsed="false">
      <c r="A80" s="828" t="s">
        <v>964</v>
      </c>
      <c r="B80" s="828" t="n">
        <v>510509</v>
      </c>
      <c r="C80" s="828" t="s">
        <v>931</v>
      </c>
      <c r="D80" s="828" t="s">
        <v>999</v>
      </c>
      <c r="E80" s="828" t="s">
        <v>800</v>
      </c>
      <c r="F80" s="828" t="s">
        <v>826</v>
      </c>
      <c r="G80" s="828" t="s">
        <v>1000</v>
      </c>
      <c r="H80" s="828" t="n">
        <v>52888</v>
      </c>
      <c r="I80" s="828" t="s">
        <v>1001</v>
      </c>
      <c r="J80" s="828" t="n">
        <v>70</v>
      </c>
      <c r="K80" s="828" t="s">
        <v>968</v>
      </c>
    </row>
    <row r="81" customFormat="false" ht="14.45" hidden="false" customHeight="false" outlineLevel="0" collapsed="false">
      <c r="A81" s="828" t="s">
        <v>964</v>
      </c>
      <c r="B81" s="828" t="n">
        <v>510510</v>
      </c>
      <c r="C81" s="828" t="s">
        <v>936</v>
      </c>
      <c r="D81" s="828" t="s">
        <v>999</v>
      </c>
      <c r="E81" s="828" t="s">
        <v>800</v>
      </c>
      <c r="F81" s="828" t="s">
        <v>826</v>
      </c>
      <c r="G81" s="828" t="s">
        <v>1000</v>
      </c>
      <c r="H81" s="828" t="n">
        <v>52889</v>
      </c>
      <c r="I81" s="828" t="s">
        <v>1001</v>
      </c>
      <c r="J81" s="828" t="n">
        <v>70</v>
      </c>
      <c r="K81" s="828" t="s">
        <v>968</v>
      </c>
    </row>
    <row r="82" customFormat="false" ht="14.45" hidden="false" customHeight="false" outlineLevel="0" collapsed="false">
      <c r="A82" s="828" t="s">
        <v>964</v>
      </c>
      <c r="B82" s="828" t="n">
        <v>510511</v>
      </c>
      <c r="C82" s="828" t="s">
        <v>1002</v>
      </c>
      <c r="D82" s="828" t="s">
        <v>999</v>
      </c>
      <c r="E82" s="828" t="s">
        <v>800</v>
      </c>
      <c r="F82" s="828" t="s">
        <v>826</v>
      </c>
      <c r="G82" s="828" t="s">
        <v>1000</v>
      </c>
      <c r="H82" s="828" t="n">
        <v>52890</v>
      </c>
      <c r="I82" s="828" t="s">
        <v>1001</v>
      </c>
      <c r="J82" s="828" t="n">
        <v>70</v>
      </c>
      <c r="K82" s="828" t="s">
        <v>968</v>
      </c>
    </row>
    <row r="83" customFormat="false" ht="14.45" hidden="false" customHeight="false" outlineLevel="0" collapsed="false">
      <c r="A83" s="828" t="s">
        <v>964</v>
      </c>
      <c r="B83" s="828" t="n">
        <v>510512</v>
      </c>
      <c r="C83" s="828" t="s">
        <v>842</v>
      </c>
      <c r="D83" s="828" t="s">
        <v>999</v>
      </c>
      <c r="E83" s="828" t="s">
        <v>800</v>
      </c>
      <c r="F83" s="828" t="s">
        <v>801</v>
      </c>
      <c r="G83" s="828" t="s">
        <v>1000</v>
      </c>
      <c r="H83" s="828" t="n">
        <v>52891</v>
      </c>
      <c r="I83" s="828" t="s">
        <v>1003</v>
      </c>
      <c r="J83" s="828" t="n">
        <v>100</v>
      </c>
      <c r="K83" s="828" t="s">
        <v>1004</v>
      </c>
    </row>
    <row r="84" customFormat="false" ht="14.45" hidden="false" customHeight="false" outlineLevel="0" collapsed="false">
      <c r="A84" s="828" t="s">
        <v>964</v>
      </c>
      <c r="B84" s="828" t="n">
        <v>510513</v>
      </c>
      <c r="C84" s="828" t="s">
        <v>845</v>
      </c>
      <c r="D84" s="828" t="s">
        <v>999</v>
      </c>
      <c r="E84" s="828" t="s">
        <v>800</v>
      </c>
      <c r="F84" s="828" t="s">
        <v>801</v>
      </c>
      <c r="G84" s="828" t="s">
        <v>1000</v>
      </c>
      <c r="H84" s="828" t="n">
        <v>52892</v>
      </c>
      <c r="I84" s="828" t="s">
        <v>1005</v>
      </c>
      <c r="J84" s="828" t="n">
        <v>100</v>
      </c>
      <c r="K84" s="828" t="s">
        <v>1004</v>
      </c>
    </row>
    <row r="85" customFormat="false" ht="14.45" hidden="false" customHeight="false" outlineLevel="0" collapsed="false">
      <c r="A85" s="828" t="s">
        <v>964</v>
      </c>
      <c r="B85" s="828" t="n">
        <v>510514</v>
      </c>
      <c r="C85" s="828" t="s">
        <v>846</v>
      </c>
      <c r="D85" s="828" t="s">
        <v>999</v>
      </c>
      <c r="E85" s="828" t="s">
        <v>800</v>
      </c>
      <c r="F85" s="828" t="s">
        <v>801</v>
      </c>
      <c r="G85" s="828" t="s">
        <v>1000</v>
      </c>
      <c r="H85" s="828" t="n">
        <v>52893</v>
      </c>
      <c r="I85" s="828" t="s">
        <v>1006</v>
      </c>
      <c r="J85" s="828" t="n">
        <v>100</v>
      </c>
      <c r="K85" s="828" t="s">
        <v>1004</v>
      </c>
    </row>
    <row r="86" customFormat="false" ht="14.45" hidden="false" customHeight="false" outlineLevel="0" collapsed="false">
      <c r="A86" s="828" t="s">
        <v>964</v>
      </c>
      <c r="B86" s="828" t="n">
        <v>119701</v>
      </c>
      <c r="C86" s="828" t="s">
        <v>1007</v>
      </c>
      <c r="D86" s="828" t="s">
        <v>1008</v>
      </c>
      <c r="E86" s="828" t="s">
        <v>800</v>
      </c>
      <c r="F86" s="828" t="s">
        <v>801</v>
      </c>
      <c r="G86" s="828" t="s">
        <v>1009</v>
      </c>
      <c r="H86" s="828" t="n">
        <v>51884</v>
      </c>
      <c r="I86" s="828" t="s">
        <v>1010</v>
      </c>
      <c r="J86" s="828" t="n">
        <v>85</v>
      </c>
      <c r="K86" s="828" t="s">
        <v>1011</v>
      </c>
    </row>
    <row r="87" customFormat="false" ht="14.45" hidden="false" customHeight="false" outlineLevel="0" collapsed="false">
      <c r="A87" s="828" t="s">
        <v>964</v>
      </c>
      <c r="B87" s="828" t="n">
        <v>119702</v>
      </c>
      <c r="C87" s="828" t="s">
        <v>1012</v>
      </c>
      <c r="D87" s="828" t="s">
        <v>1008</v>
      </c>
      <c r="E87" s="828" t="s">
        <v>800</v>
      </c>
      <c r="F87" s="828" t="s">
        <v>801</v>
      </c>
      <c r="G87" s="828" t="s">
        <v>1009</v>
      </c>
      <c r="H87" s="828" t="n">
        <v>51885</v>
      </c>
      <c r="I87" s="828" t="s">
        <v>1010</v>
      </c>
      <c r="J87" s="828" t="n">
        <v>85</v>
      </c>
      <c r="K87" s="828" t="s">
        <v>1011</v>
      </c>
    </row>
    <row r="88" customFormat="false" ht="14.45" hidden="false" customHeight="false" outlineLevel="0" collapsed="false">
      <c r="A88" s="828" t="s">
        <v>964</v>
      </c>
      <c r="B88" s="828" t="n">
        <v>119703</v>
      </c>
      <c r="C88" s="828" t="s">
        <v>1013</v>
      </c>
      <c r="D88" s="828" t="s">
        <v>1008</v>
      </c>
      <c r="E88" s="828" t="s">
        <v>800</v>
      </c>
      <c r="F88" s="828" t="s">
        <v>801</v>
      </c>
      <c r="G88" s="828" t="s">
        <v>1009</v>
      </c>
      <c r="H88" s="828" t="n">
        <v>51886</v>
      </c>
      <c r="I88" s="828" t="s">
        <v>1010</v>
      </c>
      <c r="J88" s="828" t="n">
        <v>85</v>
      </c>
      <c r="K88" s="828" t="s">
        <v>1011</v>
      </c>
    </row>
    <row r="89" customFormat="false" ht="14.45" hidden="false" customHeight="false" outlineLevel="0" collapsed="false">
      <c r="A89" s="828" t="s">
        <v>964</v>
      </c>
      <c r="B89" s="828" t="n">
        <v>119704</v>
      </c>
      <c r="C89" s="828" t="s">
        <v>1014</v>
      </c>
      <c r="D89" s="828" t="s">
        <v>1015</v>
      </c>
      <c r="E89" s="828" t="s">
        <v>800</v>
      </c>
      <c r="F89" s="828" t="s">
        <v>801</v>
      </c>
      <c r="G89" s="828" t="s">
        <v>1009</v>
      </c>
      <c r="H89" s="828" t="n">
        <v>51888</v>
      </c>
      <c r="I89" s="828" t="s">
        <v>1010</v>
      </c>
      <c r="J89" s="828" t="n">
        <v>85</v>
      </c>
      <c r="K89" s="828" t="s">
        <v>1011</v>
      </c>
    </row>
    <row r="90" customFormat="false" ht="14.45" hidden="false" customHeight="false" outlineLevel="0" collapsed="false">
      <c r="A90" s="828" t="s">
        <v>964</v>
      </c>
      <c r="B90" s="828" t="n">
        <v>119705</v>
      </c>
      <c r="C90" s="828" t="s">
        <v>1016</v>
      </c>
      <c r="D90" s="828" t="s">
        <v>1008</v>
      </c>
      <c r="E90" s="828" t="s">
        <v>800</v>
      </c>
      <c r="F90" s="828" t="s">
        <v>801</v>
      </c>
      <c r="G90" s="828" t="s">
        <v>1009</v>
      </c>
      <c r="H90" s="828" t="n">
        <v>51887</v>
      </c>
      <c r="I90" s="828" t="s">
        <v>1010</v>
      </c>
      <c r="J90" s="828" t="n">
        <v>85</v>
      </c>
      <c r="K90" s="828" t="s">
        <v>1011</v>
      </c>
    </row>
    <row r="91" customFormat="false" ht="14.45" hidden="false" customHeight="false" outlineLevel="0" collapsed="false">
      <c r="A91" s="828" t="s">
        <v>964</v>
      </c>
      <c r="B91" s="828" t="n">
        <v>119758</v>
      </c>
      <c r="C91" s="828" t="s">
        <v>1017</v>
      </c>
      <c r="D91" s="828" t="s">
        <v>1018</v>
      </c>
      <c r="E91" s="828" t="s">
        <v>800</v>
      </c>
      <c r="F91" s="828" t="s">
        <v>801</v>
      </c>
      <c r="G91" s="828" t="s">
        <v>1009</v>
      </c>
      <c r="H91" s="828" t="n">
        <v>51903</v>
      </c>
      <c r="I91" s="828" t="s">
        <v>1019</v>
      </c>
      <c r="J91" s="828" t="n">
        <v>8</v>
      </c>
      <c r="K91" s="828" t="s">
        <v>1020</v>
      </c>
    </row>
    <row r="92" customFormat="false" ht="14.45" hidden="false" customHeight="false" outlineLevel="0" collapsed="false">
      <c r="A92" s="828" t="s">
        <v>964</v>
      </c>
      <c r="B92" s="828" t="n">
        <v>510544</v>
      </c>
      <c r="C92" s="828" t="s">
        <v>1021</v>
      </c>
      <c r="D92" s="828" t="s">
        <v>884</v>
      </c>
      <c r="E92" s="828" t="s">
        <v>800</v>
      </c>
      <c r="F92" s="828" t="s">
        <v>826</v>
      </c>
      <c r="G92" s="828" t="s">
        <v>1009</v>
      </c>
      <c r="H92" s="828" t="n">
        <v>51889</v>
      </c>
      <c r="I92" s="828" t="s">
        <v>967</v>
      </c>
      <c r="J92" s="828" t="n">
        <v>70</v>
      </c>
      <c r="K92" s="828" t="s">
        <v>1011</v>
      </c>
    </row>
    <row r="93" customFormat="false" ht="14.45" hidden="false" customHeight="false" outlineLevel="0" collapsed="false">
      <c r="A93" s="828" t="s">
        <v>964</v>
      </c>
      <c r="B93" s="828" t="n">
        <v>510545</v>
      </c>
      <c r="C93" s="828" t="s">
        <v>1022</v>
      </c>
      <c r="D93" s="828" t="s">
        <v>884</v>
      </c>
      <c r="E93" s="828" t="s">
        <v>800</v>
      </c>
      <c r="F93" s="828" t="s">
        <v>826</v>
      </c>
      <c r="G93" s="828" t="s">
        <v>1009</v>
      </c>
      <c r="H93" s="828" t="n">
        <v>51890</v>
      </c>
      <c r="I93" s="828" t="s">
        <v>967</v>
      </c>
      <c r="J93" s="828" t="n">
        <v>70</v>
      </c>
      <c r="K93" s="828" t="s">
        <v>1011</v>
      </c>
    </row>
    <row r="94" customFormat="false" ht="14.45" hidden="false" customHeight="false" outlineLevel="0" collapsed="false">
      <c r="A94" s="828" t="s">
        <v>929</v>
      </c>
      <c r="B94" s="828" t="s">
        <v>1023</v>
      </c>
      <c r="C94" s="828" t="s">
        <v>950</v>
      </c>
      <c r="D94" s="828" t="s">
        <v>837</v>
      </c>
      <c r="E94" s="828" t="s">
        <v>800</v>
      </c>
      <c r="F94" s="828" t="s">
        <v>801</v>
      </c>
      <c r="G94" s="828" t="s">
        <v>1024</v>
      </c>
      <c r="H94" s="828" t="n">
        <v>51466</v>
      </c>
      <c r="I94" s="828" t="s">
        <v>1025</v>
      </c>
      <c r="J94" s="828" t="n">
        <v>60</v>
      </c>
    </row>
    <row r="95" customFormat="false" ht="14.45" hidden="false" customHeight="false" outlineLevel="0" collapsed="false">
      <c r="A95" s="828" t="s">
        <v>929</v>
      </c>
      <c r="B95" s="828" t="s">
        <v>1026</v>
      </c>
      <c r="C95" s="828" t="s">
        <v>1027</v>
      </c>
      <c r="D95" s="828" t="s">
        <v>837</v>
      </c>
      <c r="E95" s="828" t="s">
        <v>800</v>
      </c>
      <c r="F95" s="828" t="s">
        <v>801</v>
      </c>
      <c r="G95" s="828" t="s">
        <v>1024</v>
      </c>
      <c r="H95" s="828" t="n">
        <v>51467</v>
      </c>
      <c r="I95" s="828" t="s">
        <v>1028</v>
      </c>
      <c r="J95" s="828" t="n">
        <v>60</v>
      </c>
    </row>
    <row r="96" customFormat="false" ht="14.45" hidden="false" customHeight="false" outlineLevel="0" collapsed="false">
      <c r="A96" s="828" t="s">
        <v>929</v>
      </c>
      <c r="B96" s="828" t="s">
        <v>1029</v>
      </c>
      <c r="C96" s="828" t="s">
        <v>1030</v>
      </c>
      <c r="D96" s="828" t="s">
        <v>837</v>
      </c>
      <c r="E96" s="828" t="s">
        <v>800</v>
      </c>
      <c r="F96" s="828" t="s">
        <v>801</v>
      </c>
      <c r="G96" s="828" t="s">
        <v>1024</v>
      </c>
      <c r="H96" s="828" t="n">
        <v>51468</v>
      </c>
      <c r="I96" s="828" t="s">
        <v>1031</v>
      </c>
      <c r="J96" s="828" t="n">
        <v>60</v>
      </c>
    </row>
    <row r="97" customFormat="false" ht="14.45" hidden="false" customHeight="false" outlineLevel="0" collapsed="false">
      <c r="A97" s="828" t="s">
        <v>929</v>
      </c>
      <c r="B97" s="828" t="s">
        <v>1032</v>
      </c>
      <c r="C97" s="828" t="s">
        <v>1033</v>
      </c>
      <c r="D97" s="828" t="s">
        <v>1034</v>
      </c>
      <c r="E97" s="828" t="s">
        <v>800</v>
      </c>
      <c r="F97" s="828" t="s">
        <v>801</v>
      </c>
      <c r="G97" s="828" t="s">
        <v>1024</v>
      </c>
      <c r="H97" s="828" t="n">
        <v>51470</v>
      </c>
      <c r="I97" s="828" t="s">
        <v>945</v>
      </c>
      <c r="J97" s="828" t="n">
        <v>60</v>
      </c>
    </row>
    <row r="98" customFormat="false" ht="14.45" hidden="false" customHeight="false" outlineLevel="0" collapsed="false">
      <c r="A98" s="828" t="s">
        <v>929</v>
      </c>
      <c r="B98" s="828" t="s">
        <v>1035</v>
      </c>
      <c r="C98" s="828" t="s">
        <v>942</v>
      </c>
      <c r="D98" s="828" t="s">
        <v>837</v>
      </c>
      <c r="E98" s="828" t="s">
        <v>800</v>
      </c>
      <c r="F98" s="828" t="s">
        <v>801</v>
      </c>
      <c r="G98" s="828" t="s">
        <v>1024</v>
      </c>
      <c r="H98" s="828" t="n">
        <v>51469</v>
      </c>
      <c r="I98" s="828" t="s">
        <v>1031</v>
      </c>
      <c r="J98" s="828" t="n">
        <v>60</v>
      </c>
    </row>
    <row r="99" customFormat="false" ht="14.45" hidden="false" customHeight="false" outlineLevel="0" collapsed="false">
      <c r="A99" s="828" t="s">
        <v>929</v>
      </c>
      <c r="B99" s="828" t="s">
        <v>1036</v>
      </c>
      <c r="C99" s="828" t="s">
        <v>947</v>
      </c>
      <c r="D99" s="828" t="s">
        <v>837</v>
      </c>
      <c r="E99" s="828" t="s">
        <v>800</v>
      </c>
      <c r="F99" s="828" t="s">
        <v>801</v>
      </c>
      <c r="G99" s="828" t="s">
        <v>1024</v>
      </c>
      <c r="H99" s="828" t="n">
        <v>51464</v>
      </c>
      <c r="I99" s="828" t="s">
        <v>1037</v>
      </c>
      <c r="J99" s="828" t="n">
        <v>60</v>
      </c>
    </row>
    <row r="100" customFormat="false" ht="14.45" hidden="false" customHeight="false" outlineLevel="0" collapsed="false">
      <c r="A100" s="828" t="s">
        <v>929</v>
      </c>
      <c r="B100" s="828" t="s">
        <v>1038</v>
      </c>
      <c r="C100" s="828" t="s">
        <v>953</v>
      </c>
      <c r="D100" s="828" t="s">
        <v>837</v>
      </c>
      <c r="E100" s="828" t="s">
        <v>800</v>
      </c>
      <c r="F100" s="828" t="s">
        <v>801</v>
      </c>
      <c r="G100" s="828" t="s">
        <v>1024</v>
      </c>
      <c r="H100" s="828" t="n">
        <v>51465</v>
      </c>
      <c r="I100" s="828" t="s">
        <v>1028</v>
      </c>
      <c r="J100" s="828" t="n">
        <v>60</v>
      </c>
    </row>
    <row r="101" customFormat="false" ht="14.45" hidden="false" customHeight="false" outlineLevel="0" collapsed="false">
      <c r="A101" s="828" t="s">
        <v>1039</v>
      </c>
      <c r="B101" s="828" t="s">
        <v>1040</v>
      </c>
      <c r="C101" s="828" t="s">
        <v>1041</v>
      </c>
      <c r="E101" s="828" t="s">
        <v>800</v>
      </c>
      <c r="F101" s="828" t="s">
        <v>801</v>
      </c>
      <c r="G101" s="828" t="s">
        <v>1042</v>
      </c>
      <c r="H101" s="828" t="n">
        <v>54522</v>
      </c>
      <c r="I101" s="828" t="s">
        <v>1043</v>
      </c>
      <c r="J101" s="828" t="n">
        <v>40</v>
      </c>
    </row>
    <row r="102" customFormat="false" ht="14.45" hidden="false" customHeight="false" outlineLevel="0" collapsed="false">
      <c r="A102" s="828" t="s">
        <v>1039</v>
      </c>
      <c r="B102" s="828" t="s">
        <v>1044</v>
      </c>
      <c r="C102" s="828" t="s">
        <v>1045</v>
      </c>
      <c r="E102" s="828" t="s">
        <v>800</v>
      </c>
      <c r="F102" s="828" t="s">
        <v>801</v>
      </c>
      <c r="G102" s="828" t="s">
        <v>1042</v>
      </c>
      <c r="H102" s="828" t="n">
        <v>54523</v>
      </c>
      <c r="I102" s="828" t="s">
        <v>1046</v>
      </c>
      <c r="J102" s="828" t="n">
        <v>40</v>
      </c>
    </row>
    <row r="103" customFormat="false" ht="14.45" hidden="false" customHeight="false" outlineLevel="0" collapsed="false">
      <c r="A103" s="828" t="s">
        <v>1039</v>
      </c>
      <c r="B103" s="828" t="s">
        <v>1047</v>
      </c>
      <c r="C103" s="828" t="s">
        <v>1048</v>
      </c>
      <c r="E103" s="828" t="s">
        <v>800</v>
      </c>
      <c r="F103" s="828" t="s">
        <v>801</v>
      </c>
      <c r="G103" s="828" t="s">
        <v>1042</v>
      </c>
      <c r="H103" s="828" t="n">
        <v>54524</v>
      </c>
      <c r="I103" s="828" t="s">
        <v>1046</v>
      </c>
      <c r="J103" s="828" t="n">
        <v>40</v>
      </c>
    </row>
    <row r="104" customFormat="false" ht="14.45" hidden="false" customHeight="false" outlineLevel="0" collapsed="false">
      <c r="A104" s="828" t="s">
        <v>1049</v>
      </c>
      <c r="B104" s="828" t="n">
        <v>957807</v>
      </c>
      <c r="C104" s="828" t="s">
        <v>1050</v>
      </c>
      <c r="D104" s="828" t="s">
        <v>1018</v>
      </c>
      <c r="E104" s="828" t="s">
        <v>800</v>
      </c>
      <c r="F104" s="828" t="s">
        <v>801</v>
      </c>
      <c r="G104" s="828" t="s">
        <v>1051</v>
      </c>
      <c r="H104" s="828" t="n">
        <v>59188</v>
      </c>
      <c r="I104" s="828" t="s">
        <v>1052</v>
      </c>
      <c r="J104" s="828" t="n">
        <v>3</v>
      </c>
    </row>
    <row r="105" customFormat="false" ht="14.45" hidden="false" customHeight="false" outlineLevel="0" collapsed="false">
      <c r="A105" s="828" t="s">
        <v>1049</v>
      </c>
      <c r="B105" s="828" t="s">
        <v>1053</v>
      </c>
      <c r="C105" s="828" t="s">
        <v>1054</v>
      </c>
      <c r="D105" s="828" t="s">
        <v>1055</v>
      </c>
      <c r="E105" s="828" t="s">
        <v>800</v>
      </c>
      <c r="F105" s="828" t="s">
        <v>801</v>
      </c>
      <c r="G105" s="828" t="s">
        <v>1051</v>
      </c>
      <c r="H105" s="828" t="n">
        <v>60433</v>
      </c>
      <c r="I105" s="828" t="s">
        <v>1056</v>
      </c>
      <c r="J105" s="828" t="n">
        <v>90</v>
      </c>
    </row>
    <row r="106" customFormat="false" ht="14.45" hidden="false" customHeight="false" outlineLevel="0" collapsed="false">
      <c r="A106" s="828" t="s">
        <v>1049</v>
      </c>
      <c r="B106" s="828" t="s">
        <v>1057</v>
      </c>
      <c r="C106" s="828" t="s">
        <v>1058</v>
      </c>
      <c r="D106" s="828" t="s">
        <v>1055</v>
      </c>
      <c r="E106" s="828" t="s">
        <v>800</v>
      </c>
      <c r="F106" s="828" t="s">
        <v>801</v>
      </c>
      <c r="G106" s="828" t="s">
        <v>1051</v>
      </c>
      <c r="H106" s="828" t="n">
        <v>60435</v>
      </c>
      <c r="I106" s="828" t="s">
        <v>1059</v>
      </c>
      <c r="J106" s="831" t="n">
        <v>81.8</v>
      </c>
    </row>
    <row r="107" customFormat="false" ht="14.45" hidden="false" customHeight="false" outlineLevel="0" collapsed="false">
      <c r="A107" s="828" t="s">
        <v>1049</v>
      </c>
      <c r="B107" s="828" t="s">
        <v>1060</v>
      </c>
      <c r="C107" s="828" t="s">
        <v>1061</v>
      </c>
      <c r="D107" s="828" t="s">
        <v>1055</v>
      </c>
      <c r="E107" s="828" t="s">
        <v>800</v>
      </c>
      <c r="F107" s="828" t="s">
        <v>801</v>
      </c>
      <c r="G107" s="828" t="s">
        <v>1051</v>
      </c>
      <c r="H107" s="828" t="n">
        <v>60436</v>
      </c>
      <c r="I107" s="828" t="s">
        <v>1062</v>
      </c>
      <c r="J107" s="831" t="n">
        <v>81.8</v>
      </c>
    </row>
    <row r="108" customFormat="false" ht="14.45" hidden="false" customHeight="false" outlineLevel="0" collapsed="false">
      <c r="A108" s="828" t="s">
        <v>1049</v>
      </c>
      <c r="B108" s="828" t="s">
        <v>1063</v>
      </c>
      <c r="C108" s="828" t="s">
        <v>1064</v>
      </c>
      <c r="D108" s="828" t="s">
        <v>1055</v>
      </c>
      <c r="E108" s="828" t="s">
        <v>800</v>
      </c>
      <c r="F108" s="828" t="s">
        <v>801</v>
      </c>
      <c r="G108" s="828" t="s">
        <v>1051</v>
      </c>
      <c r="H108" s="828" t="n">
        <v>60437</v>
      </c>
      <c r="I108" s="828" t="s">
        <v>1065</v>
      </c>
      <c r="J108" s="831" t="n">
        <v>81.8</v>
      </c>
    </row>
    <row r="109" customFormat="false" ht="14.45" hidden="false" customHeight="false" outlineLevel="0" collapsed="false">
      <c r="A109" s="828" t="s">
        <v>1049</v>
      </c>
      <c r="B109" s="828" t="s">
        <v>1066</v>
      </c>
      <c r="C109" s="828" t="s">
        <v>1067</v>
      </c>
      <c r="D109" s="828" t="s">
        <v>1068</v>
      </c>
      <c r="E109" s="828" t="s">
        <v>800</v>
      </c>
      <c r="F109" s="828" t="s">
        <v>801</v>
      </c>
      <c r="G109" s="828" t="s">
        <v>1051</v>
      </c>
      <c r="H109" s="828" t="n">
        <v>60438</v>
      </c>
      <c r="I109" s="828" t="s">
        <v>1069</v>
      </c>
      <c r="J109" s="831" t="n">
        <v>81.8</v>
      </c>
    </row>
    <row r="110" customFormat="false" ht="14.45" hidden="false" customHeight="false" outlineLevel="0" collapsed="false">
      <c r="A110" s="828" t="s">
        <v>1049</v>
      </c>
      <c r="B110" s="828" t="s">
        <v>1070</v>
      </c>
      <c r="C110" s="828" t="s">
        <v>1071</v>
      </c>
      <c r="D110" s="828" t="s">
        <v>1068</v>
      </c>
      <c r="E110" s="828" t="s">
        <v>800</v>
      </c>
      <c r="F110" s="828" t="s">
        <v>801</v>
      </c>
      <c r="G110" s="828" t="s">
        <v>1051</v>
      </c>
      <c r="H110" s="828" t="n">
        <v>60439</v>
      </c>
      <c r="I110" s="828" t="s">
        <v>1072</v>
      </c>
      <c r="J110" s="831" t="n">
        <v>81.8</v>
      </c>
    </row>
    <row r="111" customFormat="false" ht="14.45" hidden="false" customHeight="false" outlineLevel="0" collapsed="false">
      <c r="A111" s="828" t="s">
        <v>1049</v>
      </c>
      <c r="B111" s="828" t="s">
        <v>1073</v>
      </c>
      <c r="C111" s="828" t="s">
        <v>1074</v>
      </c>
      <c r="D111" s="828" t="s">
        <v>1068</v>
      </c>
      <c r="E111" s="828" t="s">
        <v>800</v>
      </c>
      <c r="F111" s="828" t="s">
        <v>801</v>
      </c>
      <c r="G111" s="828" t="s">
        <v>1051</v>
      </c>
      <c r="H111" s="828" t="n">
        <v>60440</v>
      </c>
      <c r="I111" s="828" t="s">
        <v>1075</v>
      </c>
      <c r="J111" s="831" t="n">
        <v>81.8</v>
      </c>
    </row>
    <row r="112" customFormat="false" ht="14.45" hidden="false" customHeight="false" outlineLevel="0" collapsed="false">
      <c r="A112" s="828" t="s">
        <v>1049</v>
      </c>
      <c r="B112" s="828" t="s">
        <v>1076</v>
      </c>
      <c r="C112" s="828" t="s">
        <v>1077</v>
      </c>
      <c r="D112" s="828" t="s">
        <v>1068</v>
      </c>
      <c r="E112" s="828" t="s">
        <v>800</v>
      </c>
      <c r="F112" s="828" t="s">
        <v>801</v>
      </c>
      <c r="G112" s="828" t="s">
        <v>1051</v>
      </c>
      <c r="H112" s="828" t="n">
        <v>60441</v>
      </c>
      <c r="I112" s="828" t="s">
        <v>1078</v>
      </c>
      <c r="J112" s="831" t="n">
        <v>81.8</v>
      </c>
    </row>
    <row r="113" customFormat="false" ht="14.45" hidden="false" customHeight="false" outlineLevel="0" collapsed="false">
      <c r="A113" s="828" t="s">
        <v>1049</v>
      </c>
      <c r="B113" s="828" t="s">
        <v>1079</v>
      </c>
      <c r="C113" s="828" t="s">
        <v>1080</v>
      </c>
      <c r="D113" s="828" t="s">
        <v>1081</v>
      </c>
      <c r="E113" s="828" t="s">
        <v>800</v>
      </c>
      <c r="F113" s="828" t="s">
        <v>801</v>
      </c>
      <c r="G113" s="828" t="s">
        <v>1051</v>
      </c>
      <c r="H113" s="828" t="n">
        <v>60442</v>
      </c>
      <c r="I113" s="828" t="s">
        <v>1082</v>
      </c>
      <c r="J113" s="831" t="n">
        <v>81.8</v>
      </c>
    </row>
    <row r="114" customFormat="false" ht="14.45" hidden="false" customHeight="false" outlineLevel="0" collapsed="false">
      <c r="A114" s="828" t="s">
        <v>1049</v>
      </c>
      <c r="B114" s="828" t="s">
        <v>1083</v>
      </c>
      <c r="C114" s="828" t="s">
        <v>1084</v>
      </c>
      <c r="D114" s="828" t="s">
        <v>1081</v>
      </c>
      <c r="E114" s="828" t="s">
        <v>800</v>
      </c>
      <c r="F114" s="828" t="s">
        <v>801</v>
      </c>
      <c r="G114" s="828" t="s">
        <v>1051</v>
      </c>
      <c r="H114" s="828" t="n">
        <v>60444</v>
      </c>
      <c r="I114" s="828" t="s">
        <v>1085</v>
      </c>
      <c r="J114" s="831" t="n">
        <v>81.8</v>
      </c>
    </row>
    <row r="115" customFormat="false" ht="14.45" hidden="false" customHeight="false" outlineLevel="0" collapsed="false">
      <c r="A115" s="828" t="s">
        <v>1049</v>
      </c>
      <c r="B115" s="828" t="s">
        <v>1086</v>
      </c>
      <c r="C115" s="828" t="s">
        <v>1087</v>
      </c>
      <c r="D115" s="828" t="s">
        <v>1081</v>
      </c>
      <c r="E115" s="828" t="s">
        <v>800</v>
      </c>
      <c r="F115" s="828" t="s">
        <v>801</v>
      </c>
      <c r="G115" s="828" t="s">
        <v>1051</v>
      </c>
      <c r="H115" s="828" t="n">
        <v>60445</v>
      </c>
      <c r="I115" s="828" t="s">
        <v>1088</v>
      </c>
      <c r="J115" s="831" t="n">
        <v>81.8</v>
      </c>
    </row>
    <row r="116" customFormat="false" ht="14.45" hidden="false" customHeight="false" outlineLevel="0" collapsed="false">
      <c r="A116" s="828" t="s">
        <v>1049</v>
      </c>
      <c r="B116" s="828" t="s">
        <v>1089</v>
      </c>
      <c r="C116" s="828" t="s">
        <v>1090</v>
      </c>
      <c r="D116" s="828" t="s">
        <v>1081</v>
      </c>
      <c r="E116" s="828" t="s">
        <v>800</v>
      </c>
      <c r="F116" s="828" t="s">
        <v>801</v>
      </c>
      <c r="G116" s="828" t="s">
        <v>1051</v>
      </c>
      <c r="H116" s="828" t="n">
        <v>60443</v>
      </c>
      <c r="I116" s="828" t="s">
        <v>1091</v>
      </c>
      <c r="J116" s="831" t="n">
        <v>81.8</v>
      </c>
    </row>
    <row r="117" customFormat="false" ht="14.45" hidden="false" customHeight="false" outlineLevel="0" collapsed="false">
      <c r="A117" s="828" t="s">
        <v>823</v>
      </c>
      <c r="B117" s="828" t="n">
        <v>15468</v>
      </c>
      <c r="C117" s="828" t="s">
        <v>1092</v>
      </c>
      <c r="E117" s="828" t="s">
        <v>800</v>
      </c>
      <c r="F117" s="828" t="s">
        <v>801</v>
      </c>
      <c r="G117" s="828" t="s">
        <v>1093</v>
      </c>
      <c r="H117" s="828" t="n">
        <v>54123</v>
      </c>
      <c r="I117" s="828" t="s">
        <v>1094</v>
      </c>
      <c r="J117" s="828" t="n">
        <v>7</v>
      </c>
    </row>
    <row r="118" customFormat="false" ht="14.45" hidden="false" customHeight="false" outlineLevel="0" collapsed="false">
      <c r="A118" s="828" t="s">
        <v>823</v>
      </c>
      <c r="B118" s="828" t="n">
        <v>15469</v>
      </c>
      <c r="C118" s="828" t="s">
        <v>1095</v>
      </c>
      <c r="D118" s="828" t="s">
        <v>1096</v>
      </c>
      <c r="E118" s="828" t="s">
        <v>800</v>
      </c>
      <c r="F118" s="828" t="s">
        <v>1097</v>
      </c>
      <c r="G118" s="828" t="s">
        <v>1093</v>
      </c>
      <c r="H118" s="828" t="n">
        <v>54124</v>
      </c>
      <c r="I118" s="828" t="s">
        <v>1098</v>
      </c>
      <c r="J118" s="828" t="n">
        <v>7</v>
      </c>
    </row>
    <row r="119" customFormat="false" ht="14.45" hidden="false" customHeight="false" outlineLevel="0" collapsed="false">
      <c r="A119" s="828" t="s">
        <v>823</v>
      </c>
      <c r="B119" s="828" t="n">
        <v>119207</v>
      </c>
      <c r="C119" s="828" t="s">
        <v>836</v>
      </c>
      <c r="D119" s="828" t="s">
        <v>1099</v>
      </c>
      <c r="E119" s="828" t="s">
        <v>800</v>
      </c>
      <c r="F119" s="828" t="s">
        <v>801</v>
      </c>
      <c r="G119" s="828" t="s">
        <v>1093</v>
      </c>
      <c r="H119" s="828" t="n">
        <v>54117</v>
      </c>
      <c r="I119" s="828" t="s">
        <v>1100</v>
      </c>
      <c r="J119" s="828" t="n">
        <v>75</v>
      </c>
    </row>
    <row r="120" customFormat="false" ht="14.45" hidden="false" customHeight="false" outlineLevel="0" collapsed="false">
      <c r="A120" s="828" t="s">
        <v>823</v>
      </c>
      <c r="B120" s="828" t="n">
        <v>119208</v>
      </c>
      <c r="C120" s="828" t="s">
        <v>840</v>
      </c>
      <c r="D120" s="828" t="s">
        <v>1099</v>
      </c>
      <c r="E120" s="828" t="s">
        <v>800</v>
      </c>
      <c r="F120" s="828" t="s">
        <v>801</v>
      </c>
      <c r="G120" s="828" t="s">
        <v>1093</v>
      </c>
      <c r="H120" s="828" t="n">
        <v>54118</v>
      </c>
      <c r="I120" s="828" t="s">
        <v>1101</v>
      </c>
      <c r="J120" s="828" t="n">
        <v>75</v>
      </c>
    </row>
    <row r="121" customFormat="false" ht="14.45" hidden="false" customHeight="false" outlineLevel="0" collapsed="false">
      <c r="A121" s="828" t="s">
        <v>823</v>
      </c>
      <c r="B121" s="828" t="n">
        <v>119209</v>
      </c>
      <c r="C121" s="828" t="s">
        <v>841</v>
      </c>
      <c r="D121" s="828" t="s">
        <v>1099</v>
      </c>
      <c r="E121" s="828" t="s">
        <v>800</v>
      </c>
      <c r="F121" s="828" t="s">
        <v>801</v>
      </c>
      <c r="G121" s="828" t="s">
        <v>1093</v>
      </c>
      <c r="H121" s="828" t="n">
        <v>54119</v>
      </c>
      <c r="I121" s="828" t="s">
        <v>1101</v>
      </c>
      <c r="J121" s="828" t="n">
        <v>75</v>
      </c>
    </row>
    <row r="122" customFormat="false" ht="14.45" hidden="false" customHeight="false" outlineLevel="0" collapsed="false">
      <c r="A122" s="828" t="s">
        <v>823</v>
      </c>
      <c r="B122" s="828" t="n">
        <v>119223</v>
      </c>
      <c r="C122" s="828" t="s">
        <v>1102</v>
      </c>
      <c r="D122" s="828" t="s">
        <v>932</v>
      </c>
      <c r="E122" s="828" t="s">
        <v>800</v>
      </c>
      <c r="F122" s="828" t="s">
        <v>1097</v>
      </c>
      <c r="G122" s="828" t="s">
        <v>1093</v>
      </c>
      <c r="H122" s="828" t="n">
        <v>54120</v>
      </c>
      <c r="I122" s="828" t="s">
        <v>1103</v>
      </c>
      <c r="J122" s="828" t="n">
        <v>75</v>
      </c>
    </row>
    <row r="123" customFormat="false" ht="14.45" hidden="false" customHeight="false" outlineLevel="0" collapsed="false">
      <c r="A123" s="828" t="s">
        <v>823</v>
      </c>
      <c r="B123" s="828" t="n">
        <v>119224</v>
      </c>
      <c r="C123" s="828" t="s">
        <v>1104</v>
      </c>
      <c r="D123" s="828" t="s">
        <v>932</v>
      </c>
      <c r="E123" s="828" t="s">
        <v>800</v>
      </c>
      <c r="F123" s="828" t="s">
        <v>1097</v>
      </c>
      <c r="G123" s="828" t="s">
        <v>1093</v>
      </c>
      <c r="H123" s="828" t="n">
        <v>54121</v>
      </c>
      <c r="I123" s="828" t="s">
        <v>1105</v>
      </c>
      <c r="J123" s="828" t="n">
        <v>75</v>
      </c>
    </row>
    <row r="124" customFormat="false" ht="14.45" hidden="false" customHeight="false" outlineLevel="0" collapsed="false">
      <c r="A124" s="828" t="s">
        <v>823</v>
      </c>
      <c r="B124" s="828" t="n">
        <v>119225</v>
      </c>
      <c r="C124" s="828" t="s">
        <v>1106</v>
      </c>
      <c r="D124" s="828" t="s">
        <v>932</v>
      </c>
      <c r="E124" s="828" t="s">
        <v>800</v>
      </c>
      <c r="F124" s="828" t="s">
        <v>1097</v>
      </c>
      <c r="G124" s="828" t="s">
        <v>1093</v>
      </c>
      <c r="H124" s="828" t="n">
        <v>54122</v>
      </c>
      <c r="I124" s="828" t="s">
        <v>1103</v>
      </c>
      <c r="J124" s="828" t="n">
        <v>75</v>
      </c>
    </row>
    <row r="125" customFormat="false" ht="14.45" hidden="false" customHeight="false" outlineLevel="0" collapsed="false">
      <c r="A125" s="832" t="s">
        <v>1107</v>
      </c>
      <c r="B125" s="832" t="s">
        <v>1108</v>
      </c>
      <c r="C125" s="832" t="s">
        <v>1109</v>
      </c>
      <c r="D125" s="832" t="s">
        <v>1110</v>
      </c>
      <c r="E125" s="832" t="s">
        <v>800</v>
      </c>
      <c r="F125" s="832" t="s">
        <v>801</v>
      </c>
      <c r="G125" s="832" t="s">
        <v>1111</v>
      </c>
      <c r="H125" s="832" t="n">
        <v>51684</v>
      </c>
      <c r="I125" s="832" t="s">
        <v>1112</v>
      </c>
      <c r="J125" s="832" t="n">
        <v>18</v>
      </c>
      <c r="K125" s="832"/>
    </row>
    <row r="126" customFormat="false" ht="14.45" hidden="false" customHeight="false" outlineLevel="0" collapsed="false">
      <c r="A126" s="832" t="s">
        <v>1107</v>
      </c>
      <c r="B126" s="832" t="s">
        <v>1113</v>
      </c>
      <c r="C126" s="832" t="s">
        <v>1114</v>
      </c>
      <c r="D126" s="832" t="s">
        <v>1110</v>
      </c>
      <c r="E126" s="832" t="s">
        <v>800</v>
      </c>
      <c r="F126" s="832" t="s">
        <v>801</v>
      </c>
      <c r="G126" s="832" t="s">
        <v>1111</v>
      </c>
      <c r="H126" s="832" t="n">
        <v>51675</v>
      </c>
      <c r="I126" s="832" t="s">
        <v>1112</v>
      </c>
      <c r="J126" s="832" t="n">
        <v>18</v>
      </c>
      <c r="K126" s="832"/>
    </row>
    <row r="127" customFormat="false" ht="14.45" hidden="false" customHeight="false" outlineLevel="0" collapsed="false">
      <c r="A127" s="832" t="s">
        <v>1107</v>
      </c>
      <c r="B127" s="832" t="s">
        <v>1115</v>
      </c>
      <c r="C127" s="832" t="s">
        <v>1116</v>
      </c>
      <c r="D127" s="832" t="s">
        <v>1110</v>
      </c>
      <c r="E127" s="832" t="s">
        <v>800</v>
      </c>
      <c r="F127" s="832" t="s">
        <v>801</v>
      </c>
      <c r="G127" s="832" t="s">
        <v>1111</v>
      </c>
      <c r="H127" s="832" t="n">
        <v>51674</v>
      </c>
      <c r="I127" s="832" t="s">
        <v>1112</v>
      </c>
      <c r="J127" s="832" t="n">
        <v>18</v>
      </c>
      <c r="K127" s="832"/>
    </row>
    <row r="128" customFormat="false" ht="14.45" hidden="false" customHeight="false" outlineLevel="0" collapsed="false">
      <c r="A128" s="832" t="s">
        <v>1107</v>
      </c>
      <c r="B128" s="832" t="s">
        <v>1117</v>
      </c>
      <c r="C128" s="832" t="s">
        <v>1118</v>
      </c>
      <c r="D128" s="832" t="s">
        <v>1110</v>
      </c>
      <c r="E128" s="832" t="s">
        <v>800</v>
      </c>
      <c r="F128" s="832" t="s">
        <v>801</v>
      </c>
      <c r="G128" s="832" t="s">
        <v>1111</v>
      </c>
      <c r="H128" s="832" t="n">
        <v>51673</v>
      </c>
      <c r="I128" s="832" t="s">
        <v>1119</v>
      </c>
      <c r="J128" s="832" t="n">
        <v>18</v>
      </c>
      <c r="K128" s="832"/>
    </row>
    <row r="129" customFormat="false" ht="14.45" hidden="false" customHeight="false" outlineLevel="0" collapsed="false">
      <c r="A129" s="828" t="s">
        <v>1039</v>
      </c>
      <c r="B129" s="828" t="n">
        <v>50951</v>
      </c>
      <c r="C129" s="828" t="s">
        <v>1120</v>
      </c>
      <c r="D129" s="828" t="s">
        <v>1121</v>
      </c>
      <c r="E129" s="828" t="s">
        <v>800</v>
      </c>
      <c r="F129" s="828" t="s">
        <v>801</v>
      </c>
      <c r="G129" s="828" t="s">
        <v>1122</v>
      </c>
      <c r="H129" s="828" t="n">
        <v>60654</v>
      </c>
      <c r="I129" s="828" t="s">
        <v>1123</v>
      </c>
      <c r="J129" s="828" t="n">
        <v>3.5</v>
      </c>
    </row>
    <row r="130" customFormat="false" ht="14.45" hidden="false" customHeight="false" outlineLevel="0" collapsed="false">
      <c r="A130" s="828" t="s">
        <v>1039</v>
      </c>
      <c r="B130" s="828" t="n">
        <v>50952</v>
      </c>
      <c r="C130" s="828" t="s">
        <v>1120</v>
      </c>
      <c r="D130" s="828" t="s">
        <v>1121</v>
      </c>
      <c r="E130" s="828" t="s">
        <v>800</v>
      </c>
      <c r="F130" s="828" t="s">
        <v>801</v>
      </c>
      <c r="G130" s="828" t="s">
        <v>1122</v>
      </c>
      <c r="H130" s="828" t="n">
        <v>60653</v>
      </c>
      <c r="I130" s="828" t="s">
        <v>1123</v>
      </c>
      <c r="J130" s="828" t="n">
        <v>3.5</v>
      </c>
    </row>
    <row r="131" customFormat="false" ht="14.45" hidden="false" customHeight="false" outlineLevel="0" collapsed="false">
      <c r="A131" s="828" t="s">
        <v>1039</v>
      </c>
      <c r="B131" s="828" t="n">
        <v>50953</v>
      </c>
      <c r="C131" s="828" t="s">
        <v>1120</v>
      </c>
      <c r="D131" s="828" t="s">
        <v>1121</v>
      </c>
      <c r="E131" s="828" t="s">
        <v>800</v>
      </c>
      <c r="F131" s="828" t="s">
        <v>801</v>
      </c>
      <c r="G131" s="828" t="s">
        <v>1122</v>
      </c>
      <c r="H131" s="828" t="n">
        <v>60652</v>
      </c>
      <c r="I131" s="828" t="s">
        <v>1123</v>
      </c>
      <c r="J131" s="828" t="n">
        <v>3.5</v>
      </c>
    </row>
    <row r="132" customFormat="false" ht="14.45" hidden="false" customHeight="false" outlineLevel="0" collapsed="false">
      <c r="A132" s="828" t="s">
        <v>1039</v>
      </c>
      <c r="B132" s="828" t="n">
        <v>50954</v>
      </c>
      <c r="C132" s="828" t="s">
        <v>1120</v>
      </c>
      <c r="D132" s="828" t="s">
        <v>1121</v>
      </c>
      <c r="E132" s="828" t="s">
        <v>800</v>
      </c>
      <c r="F132" s="828" t="s">
        <v>801</v>
      </c>
      <c r="G132" s="828" t="s">
        <v>1122</v>
      </c>
      <c r="H132" s="828" t="n">
        <v>60658</v>
      </c>
      <c r="I132" s="828" t="s">
        <v>1124</v>
      </c>
      <c r="J132" s="828" t="n">
        <v>5</v>
      </c>
    </row>
    <row r="133" customFormat="false" ht="14.45" hidden="false" customHeight="false" outlineLevel="0" collapsed="false">
      <c r="A133" s="828" t="s">
        <v>1039</v>
      </c>
      <c r="B133" s="828" t="n">
        <v>50957</v>
      </c>
      <c r="C133" s="828" t="s">
        <v>1120</v>
      </c>
      <c r="D133" s="828" t="s">
        <v>1121</v>
      </c>
      <c r="E133" s="828" t="s">
        <v>800</v>
      </c>
      <c r="F133" s="828" t="s">
        <v>801</v>
      </c>
      <c r="G133" s="828" t="s">
        <v>1122</v>
      </c>
      <c r="H133" s="828" t="n">
        <v>60655</v>
      </c>
      <c r="I133" s="828" t="s">
        <v>1123</v>
      </c>
      <c r="J133" s="828" t="n">
        <v>3.5</v>
      </c>
    </row>
    <row r="134" customFormat="false" ht="14.45" hidden="false" customHeight="false" outlineLevel="0" collapsed="false">
      <c r="A134" s="828" t="s">
        <v>1039</v>
      </c>
      <c r="B134" s="828" t="n">
        <v>50958</v>
      </c>
      <c r="C134" s="828" t="s">
        <v>1120</v>
      </c>
      <c r="D134" s="828" t="s">
        <v>1121</v>
      </c>
      <c r="E134" s="828" t="s">
        <v>800</v>
      </c>
      <c r="F134" s="828" t="s">
        <v>801</v>
      </c>
      <c r="G134" s="828" t="s">
        <v>1122</v>
      </c>
      <c r="H134" s="828" t="n">
        <v>60656</v>
      </c>
      <c r="I134" s="828" t="s">
        <v>1125</v>
      </c>
      <c r="J134" s="828" t="n">
        <v>8</v>
      </c>
    </row>
    <row r="135" customFormat="false" ht="14.45" hidden="false" customHeight="false" outlineLevel="0" collapsed="false">
      <c r="A135" s="828" t="s">
        <v>1039</v>
      </c>
      <c r="B135" s="828" t="n">
        <v>50959</v>
      </c>
      <c r="C135" s="828" t="s">
        <v>1120</v>
      </c>
      <c r="D135" s="828" t="s">
        <v>1121</v>
      </c>
      <c r="E135" s="828" t="s">
        <v>800</v>
      </c>
      <c r="F135" s="828" t="s">
        <v>801</v>
      </c>
      <c r="G135" s="828" t="s">
        <v>1122</v>
      </c>
      <c r="H135" s="828" t="n">
        <v>60657</v>
      </c>
      <c r="I135" s="828" t="s">
        <v>1125</v>
      </c>
      <c r="J135" s="828" t="n">
        <v>8</v>
      </c>
    </row>
    <row r="136" customFormat="false" ht="14.45" hidden="false" customHeight="false" outlineLevel="0" collapsed="false">
      <c r="A136" s="828" t="s">
        <v>1039</v>
      </c>
      <c r="B136" s="828" t="n">
        <v>50960</v>
      </c>
      <c r="C136" s="828" t="s">
        <v>1120</v>
      </c>
      <c r="D136" s="828" t="s">
        <v>1121</v>
      </c>
      <c r="E136" s="828" t="s">
        <v>800</v>
      </c>
      <c r="F136" s="828" t="s">
        <v>801</v>
      </c>
      <c r="G136" s="828" t="s">
        <v>1122</v>
      </c>
      <c r="H136" s="828" t="n">
        <v>60659</v>
      </c>
      <c r="I136" s="828" t="s">
        <v>1124</v>
      </c>
      <c r="J136" s="828" t="n">
        <v>5</v>
      </c>
    </row>
    <row r="137" customFormat="false" ht="14.45" hidden="false" customHeight="false" outlineLevel="0" collapsed="false">
      <c r="A137" s="828" t="s">
        <v>1039</v>
      </c>
      <c r="B137" s="828" t="n">
        <v>50961</v>
      </c>
      <c r="C137" s="828" t="s">
        <v>1120</v>
      </c>
      <c r="D137" s="828" t="s">
        <v>1121</v>
      </c>
      <c r="E137" s="828" t="s">
        <v>800</v>
      </c>
      <c r="F137" s="828" t="s">
        <v>801</v>
      </c>
      <c r="G137" s="828" t="s">
        <v>1122</v>
      </c>
      <c r="H137" s="828" t="n">
        <v>60660</v>
      </c>
      <c r="I137" s="828" t="s">
        <v>1126</v>
      </c>
      <c r="J137" s="828" t="n">
        <v>5</v>
      </c>
    </row>
    <row r="138" customFormat="false" ht="14.45" hidden="false" customHeight="false" outlineLevel="0" collapsed="false">
      <c r="A138" s="828" t="s">
        <v>1039</v>
      </c>
      <c r="B138" s="828" t="n">
        <v>50962</v>
      </c>
      <c r="C138" s="828" t="s">
        <v>1120</v>
      </c>
      <c r="D138" s="828" t="s">
        <v>1121</v>
      </c>
      <c r="E138" s="828" t="s">
        <v>800</v>
      </c>
      <c r="F138" s="828" t="s">
        <v>801</v>
      </c>
      <c r="G138" s="828" t="s">
        <v>1122</v>
      </c>
      <c r="H138" s="828" t="n">
        <v>60664</v>
      </c>
      <c r="I138" s="828" t="s">
        <v>1127</v>
      </c>
      <c r="J138" s="828" t="n">
        <v>8</v>
      </c>
    </row>
    <row r="139" customFormat="false" ht="14.45" hidden="false" customHeight="false" outlineLevel="0" collapsed="false">
      <c r="A139" s="828" t="s">
        <v>1039</v>
      </c>
      <c r="B139" s="828" t="n">
        <v>50963</v>
      </c>
      <c r="C139" s="828" t="s">
        <v>1120</v>
      </c>
      <c r="D139" s="828" t="s">
        <v>1121</v>
      </c>
      <c r="E139" s="828" t="s">
        <v>800</v>
      </c>
      <c r="F139" s="828" t="s">
        <v>801</v>
      </c>
      <c r="G139" s="828" t="s">
        <v>1122</v>
      </c>
      <c r="H139" s="828" t="n">
        <v>60661</v>
      </c>
      <c r="I139" s="828" t="s">
        <v>1128</v>
      </c>
      <c r="J139" s="828" t="n">
        <v>5</v>
      </c>
    </row>
    <row r="140" customFormat="false" ht="14.45" hidden="false" customHeight="false" outlineLevel="0" collapsed="false">
      <c r="A140" s="828" t="s">
        <v>1039</v>
      </c>
      <c r="B140" s="828" t="n">
        <v>50965</v>
      </c>
      <c r="C140" s="828" t="s">
        <v>1120</v>
      </c>
      <c r="D140" s="828" t="s">
        <v>1121</v>
      </c>
      <c r="E140" s="828" t="s">
        <v>800</v>
      </c>
      <c r="F140" s="828" t="s">
        <v>801</v>
      </c>
      <c r="G140" s="828" t="s">
        <v>1122</v>
      </c>
      <c r="H140" s="828" t="n">
        <v>60662</v>
      </c>
      <c r="I140" s="828" t="s">
        <v>1128</v>
      </c>
      <c r="J140" s="828" t="n">
        <v>5</v>
      </c>
    </row>
    <row r="141" customFormat="false" ht="14.45" hidden="false" customHeight="false" outlineLevel="0" collapsed="false">
      <c r="A141" s="828" t="s">
        <v>1039</v>
      </c>
      <c r="B141" s="828" t="n">
        <v>50966</v>
      </c>
      <c r="C141" s="828" t="s">
        <v>1120</v>
      </c>
      <c r="D141" s="828" t="s">
        <v>1121</v>
      </c>
      <c r="E141" s="828" t="s">
        <v>800</v>
      </c>
      <c r="F141" s="828" t="s">
        <v>801</v>
      </c>
      <c r="G141" s="828" t="s">
        <v>1122</v>
      </c>
      <c r="H141" s="828" t="n">
        <v>60663</v>
      </c>
      <c r="I141" s="828" t="s">
        <v>1129</v>
      </c>
      <c r="J141" s="828" t="n">
        <v>7</v>
      </c>
    </row>
    <row r="142" customFormat="false" ht="14.45" hidden="false" customHeight="false" outlineLevel="0" collapsed="false">
      <c r="A142" s="828" t="s">
        <v>1039</v>
      </c>
      <c r="B142" s="828" t="s">
        <v>1130</v>
      </c>
      <c r="C142" s="828" t="s">
        <v>1045</v>
      </c>
      <c r="D142" s="828" t="s">
        <v>1131</v>
      </c>
      <c r="E142" s="828" t="s">
        <v>800</v>
      </c>
      <c r="F142" s="828" t="s">
        <v>838</v>
      </c>
      <c r="G142" s="828" t="s">
        <v>1122</v>
      </c>
      <c r="H142" s="828" t="n">
        <v>54738</v>
      </c>
      <c r="I142" s="828" t="s">
        <v>1132</v>
      </c>
      <c r="J142" s="828" t="n">
        <v>78</v>
      </c>
    </row>
    <row r="143" customFormat="false" ht="14.45" hidden="false" customHeight="false" outlineLevel="0" collapsed="false">
      <c r="A143" s="828" t="s">
        <v>1039</v>
      </c>
      <c r="B143" s="828" t="s">
        <v>1133</v>
      </c>
      <c r="C143" s="828" t="s">
        <v>1041</v>
      </c>
      <c r="D143" s="828" t="s">
        <v>1131</v>
      </c>
      <c r="E143" s="828" t="s">
        <v>800</v>
      </c>
      <c r="F143" s="828" t="s">
        <v>838</v>
      </c>
      <c r="G143" s="828" t="s">
        <v>1122</v>
      </c>
      <c r="H143" s="828" t="n">
        <v>54737</v>
      </c>
      <c r="I143" s="828" t="s">
        <v>1132</v>
      </c>
      <c r="J143" s="828" t="n">
        <v>78</v>
      </c>
    </row>
    <row r="144" customFormat="false" ht="14.45" hidden="false" customHeight="false" outlineLevel="0" collapsed="false">
      <c r="A144" s="828" t="s">
        <v>1039</v>
      </c>
      <c r="B144" s="828" t="s">
        <v>1134</v>
      </c>
      <c r="C144" s="828" t="s">
        <v>1048</v>
      </c>
      <c r="D144" s="828" t="s">
        <v>1131</v>
      </c>
      <c r="E144" s="828" t="s">
        <v>800</v>
      </c>
      <c r="F144" s="828" t="s">
        <v>838</v>
      </c>
      <c r="G144" s="828" t="s">
        <v>1122</v>
      </c>
      <c r="H144" s="828" t="n">
        <v>54739</v>
      </c>
      <c r="I144" s="828" t="s">
        <v>1132</v>
      </c>
      <c r="J144" s="828" t="n">
        <v>78</v>
      </c>
    </row>
    <row r="145" customFormat="false" ht="14.45" hidden="false" customHeight="false" outlineLevel="0" collapsed="false">
      <c r="A145" s="828" t="s">
        <v>1039</v>
      </c>
      <c r="B145" s="828" t="s">
        <v>1135</v>
      </c>
      <c r="C145" s="828" t="s">
        <v>1136</v>
      </c>
      <c r="D145" s="828" t="s">
        <v>1131</v>
      </c>
      <c r="E145" s="828" t="s">
        <v>800</v>
      </c>
      <c r="F145" s="828" t="s">
        <v>838</v>
      </c>
      <c r="G145" s="828" t="s">
        <v>1122</v>
      </c>
      <c r="H145" s="828" t="n">
        <v>54741</v>
      </c>
      <c r="I145" s="828" t="s">
        <v>1132</v>
      </c>
      <c r="J145" s="828" t="n">
        <v>78</v>
      </c>
    </row>
    <row r="146" customFormat="false" ht="14.45" hidden="false" customHeight="false" outlineLevel="0" collapsed="false">
      <c r="A146" s="828" t="s">
        <v>1039</v>
      </c>
      <c r="B146" s="828" t="s">
        <v>1137</v>
      </c>
      <c r="C146" s="828" t="s">
        <v>1138</v>
      </c>
      <c r="D146" s="828" t="s">
        <v>1131</v>
      </c>
      <c r="E146" s="828" t="s">
        <v>800</v>
      </c>
      <c r="F146" s="828" t="s">
        <v>838</v>
      </c>
      <c r="G146" s="828" t="s">
        <v>1122</v>
      </c>
      <c r="H146" s="828" t="n">
        <v>54743</v>
      </c>
      <c r="I146" s="828" t="s">
        <v>1132</v>
      </c>
      <c r="J146" s="828" t="n">
        <v>78</v>
      </c>
    </row>
    <row r="147" customFormat="false" ht="14.45" hidden="false" customHeight="false" outlineLevel="0" collapsed="false">
      <c r="A147" s="828" t="s">
        <v>1039</v>
      </c>
      <c r="B147" s="828" t="s">
        <v>1137</v>
      </c>
      <c r="C147" s="828" t="s">
        <v>1138</v>
      </c>
      <c r="D147" s="828" t="s">
        <v>1131</v>
      </c>
      <c r="E147" s="828" t="s">
        <v>800</v>
      </c>
      <c r="F147" s="828" t="s">
        <v>838</v>
      </c>
      <c r="G147" s="828" t="s">
        <v>1122</v>
      </c>
      <c r="H147" s="828" t="n">
        <v>519311</v>
      </c>
      <c r="I147" s="828" t="s">
        <v>1132</v>
      </c>
      <c r="J147" s="828" t="n">
        <v>78</v>
      </c>
    </row>
    <row r="148" customFormat="false" ht="14.45" hidden="false" customHeight="false" outlineLevel="0" collapsed="false">
      <c r="A148" s="828" t="s">
        <v>1039</v>
      </c>
      <c r="B148" s="828" t="s">
        <v>1139</v>
      </c>
      <c r="C148" s="828" t="s">
        <v>1140</v>
      </c>
      <c r="E148" s="828" t="s">
        <v>800</v>
      </c>
      <c r="F148" s="828" t="s">
        <v>801</v>
      </c>
      <c r="G148" s="828" t="s">
        <v>1122</v>
      </c>
      <c r="H148" s="828" t="n">
        <v>54745</v>
      </c>
      <c r="I148" s="828" t="s">
        <v>890</v>
      </c>
      <c r="J148" s="828" t="n">
        <v>99</v>
      </c>
      <c r="K148" s="828" t="s">
        <v>1141</v>
      </c>
    </row>
    <row r="149" customFormat="false" ht="14.45" hidden="false" customHeight="false" outlineLevel="0" collapsed="false">
      <c r="A149" s="828" t="s">
        <v>978</v>
      </c>
      <c r="B149" s="828" t="s">
        <v>1142</v>
      </c>
      <c r="C149" s="828" t="s">
        <v>836</v>
      </c>
      <c r="D149" s="828" t="s">
        <v>1143</v>
      </c>
      <c r="E149" s="828" t="s">
        <v>800</v>
      </c>
      <c r="F149" s="828" t="s">
        <v>801</v>
      </c>
      <c r="G149" s="828" t="s">
        <v>1144</v>
      </c>
      <c r="H149" s="828" t="n">
        <v>60080</v>
      </c>
      <c r="I149" s="828" t="s">
        <v>1145</v>
      </c>
      <c r="J149" s="828" t="n">
        <v>78</v>
      </c>
    </row>
    <row r="150" customFormat="false" ht="14.45" hidden="false" customHeight="false" outlineLevel="0" collapsed="false">
      <c r="A150" s="828" t="s">
        <v>978</v>
      </c>
      <c r="B150" s="828" t="s">
        <v>1146</v>
      </c>
      <c r="C150" s="828" t="s">
        <v>840</v>
      </c>
      <c r="D150" s="828" t="s">
        <v>1143</v>
      </c>
      <c r="E150" s="828" t="s">
        <v>800</v>
      </c>
      <c r="F150" s="828" t="s">
        <v>801</v>
      </c>
      <c r="G150" s="828" t="s">
        <v>1144</v>
      </c>
      <c r="H150" s="828" t="n">
        <v>60081</v>
      </c>
      <c r="I150" s="828" t="s">
        <v>1145</v>
      </c>
      <c r="J150" s="828" t="n">
        <v>78</v>
      </c>
    </row>
    <row r="151" customFormat="false" ht="14.45" hidden="false" customHeight="false" outlineLevel="0" collapsed="false">
      <c r="A151" s="828" t="s">
        <v>978</v>
      </c>
      <c r="B151" s="828" t="s">
        <v>1147</v>
      </c>
      <c r="C151" s="828" t="s">
        <v>841</v>
      </c>
      <c r="D151" s="828" t="s">
        <v>1143</v>
      </c>
      <c r="E151" s="828" t="s">
        <v>800</v>
      </c>
      <c r="F151" s="828" t="s">
        <v>801</v>
      </c>
      <c r="G151" s="828" t="s">
        <v>1144</v>
      </c>
      <c r="H151" s="828" t="n">
        <v>60082</v>
      </c>
      <c r="I151" s="828" t="s">
        <v>1145</v>
      </c>
      <c r="J151" s="828" t="n">
        <v>78</v>
      </c>
    </row>
    <row r="152" customFormat="false" ht="14.45" hidden="false" customHeight="false" outlineLevel="0" collapsed="false">
      <c r="A152" s="828" t="s">
        <v>978</v>
      </c>
      <c r="B152" s="828" t="s">
        <v>1148</v>
      </c>
      <c r="C152" s="828" t="s">
        <v>842</v>
      </c>
      <c r="D152" s="828" t="s">
        <v>1143</v>
      </c>
      <c r="E152" s="828" t="s">
        <v>800</v>
      </c>
      <c r="F152" s="828" t="s">
        <v>801</v>
      </c>
      <c r="G152" s="828" t="s">
        <v>1144</v>
      </c>
      <c r="H152" s="828" t="n">
        <v>60083</v>
      </c>
      <c r="I152" s="828" t="s">
        <v>1145</v>
      </c>
      <c r="J152" s="828" t="n">
        <v>78</v>
      </c>
    </row>
    <row r="153" customFormat="false" ht="14.45" hidden="false" customHeight="false" outlineLevel="0" collapsed="false">
      <c r="A153" s="828" t="s">
        <v>978</v>
      </c>
      <c r="B153" s="828" t="s">
        <v>1149</v>
      </c>
      <c r="C153" s="828" t="s">
        <v>845</v>
      </c>
      <c r="D153" s="828" t="s">
        <v>1143</v>
      </c>
      <c r="E153" s="828" t="s">
        <v>800</v>
      </c>
      <c r="F153" s="828" t="s">
        <v>801</v>
      </c>
      <c r="G153" s="828" t="s">
        <v>1144</v>
      </c>
      <c r="H153" s="828" t="n">
        <v>60084</v>
      </c>
      <c r="I153" s="828" t="s">
        <v>1145</v>
      </c>
      <c r="J153" s="828" t="n">
        <v>78</v>
      </c>
    </row>
    <row r="154" customFormat="false" ht="14.45" hidden="false" customHeight="false" outlineLevel="0" collapsed="false">
      <c r="A154" s="828" t="s">
        <v>978</v>
      </c>
      <c r="B154" s="828" t="s">
        <v>1150</v>
      </c>
      <c r="C154" s="828" t="s">
        <v>846</v>
      </c>
      <c r="D154" s="828" t="s">
        <v>1143</v>
      </c>
      <c r="E154" s="828" t="s">
        <v>800</v>
      </c>
      <c r="F154" s="828" t="s">
        <v>801</v>
      </c>
      <c r="G154" s="828" t="s">
        <v>1144</v>
      </c>
      <c r="H154" s="828" t="n">
        <v>60085</v>
      </c>
      <c r="I154" s="828" t="s">
        <v>1145</v>
      </c>
      <c r="J154" s="828" t="n">
        <v>78</v>
      </c>
    </row>
    <row r="155" customFormat="false" ht="14.45" hidden="false" customHeight="false" outlineLevel="0" collapsed="false">
      <c r="A155" s="828" t="s">
        <v>978</v>
      </c>
      <c r="B155" s="828" t="s">
        <v>1151</v>
      </c>
      <c r="C155" s="828" t="s">
        <v>847</v>
      </c>
      <c r="D155" s="828" t="s">
        <v>1143</v>
      </c>
      <c r="E155" s="828" t="s">
        <v>800</v>
      </c>
      <c r="F155" s="828" t="s">
        <v>801</v>
      </c>
      <c r="G155" s="828" t="s">
        <v>1144</v>
      </c>
      <c r="H155" s="828" t="n">
        <v>60086</v>
      </c>
      <c r="I155" s="828" t="s">
        <v>1145</v>
      </c>
      <c r="J155" s="828" t="n">
        <v>78</v>
      </c>
    </row>
    <row r="156" customFormat="false" ht="14.45" hidden="false" customHeight="false" outlineLevel="0" collapsed="false">
      <c r="A156" s="828" t="s">
        <v>978</v>
      </c>
      <c r="B156" s="828" t="s">
        <v>1152</v>
      </c>
      <c r="C156" s="828" t="s">
        <v>848</v>
      </c>
      <c r="D156" s="828" t="s">
        <v>1143</v>
      </c>
      <c r="E156" s="828" t="s">
        <v>800</v>
      </c>
      <c r="F156" s="828" t="s">
        <v>801</v>
      </c>
      <c r="G156" s="828" t="s">
        <v>1144</v>
      </c>
      <c r="H156" s="828" t="n">
        <v>60087</v>
      </c>
      <c r="I156" s="828" t="s">
        <v>1153</v>
      </c>
      <c r="J156" s="828" t="n">
        <v>78</v>
      </c>
    </row>
    <row r="157" customFormat="false" ht="14.45" hidden="false" customHeight="false" outlineLevel="0" collapsed="false">
      <c r="A157" s="828" t="s">
        <v>978</v>
      </c>
      <c r="C157" s="828" t="s">
        <v>849</v>
      </c>
      <c r="D157" s="828" t="s">
        <v>1143</v>
      </c>
      <c r="E157" s="828" t="s">
        <v>800</v>
      </c>
      <c r="F157" s="828" t="s">
        <v>801</v>
      </c>
      <c r="G157" s="828" t="s">
        <v>1144</v>
      </c>
      <c r="J157" s="828" t="n">
        <v>78</v>
      </c>
    </row>
    <row r="158" customFormat="false" ht="14.45" hidden="false" customHeight="false" outlineLevel="0" collapsed="false">
      <c r="A158" s="828" t="s">
        <v>978</v>
      </c>
      <c r="B158" s="828" t="s">
        <v>1154</v>
      </c>
      <c r="C158" s="828" t="s">
        <v>931</v>
      </c>
      <c r="D158" s="828" t="s">
        <v>1155</v>
      </c>
      <c r="E158" s="828" t="s">
        <v>800</v>
      </c>
      <c r="F158" s="828" t="s">
        <v>826</v>
      </c>
      <c r="G158" s="828" t="s">
        <v>1144</v>
      </c>
      <c r="H158" s="828" t="n">
        <v>60088</v>
      </c>
      <c r="I158" s="828" t="s">
        <v>1156</v>
      </c>
      <c r="J158" s="828" t="n">
        <v>78</v>
      </c>
    </row>
    <row r="159" customFormat="false" ht="14.45" hidden="false" customHeight="false" outlineLevel="0" collapsed="false">
      <c r="A159" s="828" t="s">
        <v>978</v>
      </c>
      <c r="B159" s="828" t="s">
        <v>1157</v>
      </c>
      <c r="C159" s="828" t="s">
        <v>936</v>
      </c>
      <c r="D159" s="828" t="s">
        <v>1155</v>
      </c>
      <c r="E159" s="828" t="s">
        <v>800</v>
      </c>
      <c r="F159" s="828" t="s">
        <v>826</v>
      </c>
      <c r="G159" s="828" t="s">
        <v>1144</v>
      </c>
      <c r="H159" s="828" t="n">
        <v>60089</v>
      </c>
      <c r="I159" s="828" t="s">
        <v>1156</v>
      </c>
      <c r="J159" s="828" t="n">
        <v>78</v>
      </c>
    </row>
    <row r="160" s="832" customFormat="true" ht="14.45" hidden="false" customHeight="false" outlineLevel="0" collapsed="false">
      <c r="A160" s="828" t="s">
        <v>978</v>
      </c>
      <c r="B160" s="828" t="s">
        <v>1158</v>
      </c>
      <c r="C160" s="828" t="s">
        <v>1002</v>
      </c>
      <c r="D160" s="828" t="s">
        <v>1155</v>
      </c>
      <c r="E160" s="828" t="s">
        <v>800</v>
      </c>
      <c r="F160" s="828" t="s">
        <v>826</v>
      </c>
      <c r="G160" s="828" t="s">
        <v>1144</v>
      </c>
      <c r="H160" s="828" t="n">
        <v>60090</v>
      </c>
      <c r="I160" s="828" t="s">
        <v>1156</v>
      </c>
      <c r="J160" s="828" t="n">
        <v>78</v>
      </c>
      <c r="K160" s="828"/>
    </row>
    <row r="161" s="832" customFormat="true" ht="14.45" hidden="false" customHeight="false" outlineLevel="0" collapsed="false">
      <c r="A161" s="828" t="s">
        <v>978</v>
      </c>
      <c r="B161" s="828" t="s">
        <v>1159</v>
      </c>
      <c r="C161" s="828" t="s">
        <v>1160</v>
      </c>
      <c r="D161" s="828" t="s">
        <v>1155</v>
      </c>
      <c r="E161" s="828" t="s">
        <v>800</v>
      </c>
      <c r="F161" s="828" t="s">
        <v>826</v>
      </c>
      <c r="G161" s="828" t="s">
        <v>1144</v>
      </c>
      <c r="H161" s="828" t="n">
        <v>60091</v>
      </c>
      <c r="I161" s="828" t="s">
        <v>1156</v>
      </c>
      <c r="J161" s="828" t="n">
        <v>78</v>
      </c>
      <c r="K161" s="828"/>
    </row>
    <row r="162" s="832" customFormat="true" ht="14.45" hidden="false" customHeight="false" outlineLevel="0" collapsed="false">
      <c r="A162" s="828" t="s">
        <v>978</v>
      </c>
      <c r="B162" s="828" t="s">
        <v>1161</v>
      </c>
      <c r="C162" s="828" t="s">
        <v>1162</v>
      </c>
      <c r="D162" s="828" t="s">
        <v>1155</v>
      </c>
      <c r="E162" s="828" t="s">
        <v>800</v>
      </c>
      <c r="F162" s="828" t="s">
        <v>826</v>
      </c>
      <c r="G162" s="828" t="s">
        <v>1144</v>
      </c>
      <c r="H162" s="828" t="n">
        <v>60092</v>
      </c>
      <c r="I162" s="828" t="s">
        <v>1156</v>
      </c>
      <c r="J162" s="828" t="n">
        <v>78</v>
      </c>
      <c r="K162" s="828"/>
    </row>
    <row r="163" s="832" customFormat="true" ht="14.45" hidden="false" customHeight="false" outlineLevel="0" collapsed="false">
      <c r="A163" s="828" t="s">
        <v>978</v>
      </c>
      <c r="B163" s="828" t="s">
        <v>1163</v>
      </c>
      <c r="C163" s="828" t="s">
        <v>1164</v>
      </c>
      <c r="D163" s="828" t="s">
        <v>1155</v>
      </c>
      <c r="E163" s="828" t="s">
        <v>800</v>
      </c>
      <c r="F163" s="828" t="s">
        <v>826</v>
      </c>
      <c r="G163" s="828" t="s">
        <v>1144</v>
      </c>
      <c r="H163" s="828" t="n">
        <v>60093</v>
      </c>
      <c r="I163" s="828" t="s">
        <v>1156</v>
      </c>
      <c r="J163" s="828" t="n">
        <v>78</v>
      </c>
      <c r="K163" s="828"/>
    </row>
    <row r="164" customFormat="false" ht="14.45" hidden="false" customHeight="false" outlineLevel="0" collapsed="false">
      <c r="A164" s="828" t="s">
        <v>978</v>
      </c>
      <c r="B164" s="828" t="s">
        <v>1165</v>
      </c>
      <c r="C164" s="828" t="s">
        <v>1166</v>
      </c>
      <c r="D164" s="828" t="s">
        <v>1155</v>
      </c>
      <c r="E164" s="828" t="s">
        <v>800</v>
      </c>
      <c r="F164" s="828" t="s">
        <v>826</v>
      </c>
      <c r="G164" s="828" t="s">
        <v>1144</v>
      </c>
      <c r="H164" s="828" t="n">
        <v>60094</v>
      </c>
      <c r="I164" s="828" t="s">
        <v>1156</v>
      </c>
      <c r="J164" s="828" t="n">
        <v>78</v>
      </c>
    </row>
    <row r="165" customFormat="false" ht="14.45" hidden="false" customHeight="false" outlineLevel="0" collapsed="false">
      <c r="A165" s="828" t="s">
        <v>978</v>
      </c>
      <c r="B165" s="828" t="s">
        <v>1165</v>
      </c>
      <c r="C165" s="828" t="s">
        <v>1167</v>
      </c>
      <c r="D165" s="828" t="s">
        <v>1155</v>
      </c>
      <c r="E165" s="828" t="s">
        <v>800</v>
      </c>
      <c r="F165" s="828" t="s">
        <v>826</v>
      </c>
      <c r="G165" s="828" t="s">
        <v>1144</v>
      </c>
      <c r="J165" s="828" t="n">
        <v>78</v>
      </c>
    </row>
    <row r="166" customFormat="false" ht="14.45" hidden="false" customHeight="false" outlineLevel="0" collapsed="false">
      <c r="A166" s="828" t="s">
        <v>823</v>
      </c>
      <c r="B166" s="828" t="n">
        <v>15363</v>
      </c>
      <c r="C166" s="828" t="s">
        <v>836</v>
      </c>
      <c r="D166" s="828" t="s">
        <v>837</v>
      </c>
      <c r="E166" s="828" t="s">
        <v>800</v>
      </c>
      <c r="F166" s="828" t="s">
        <v>838</v>
      </c>
      <c r="G166" s="828" t="s">
        <v>1168</v>
      </c>
      <c r="H166" s="828" t="n">
        <v>53736</v>
      </c>
      <c r="I166" s="828" t="s">
        <v>1132</v>
      </c>
      <c r="J166" s="828" t="n">
        <v>78</v>
      </c>
    </row>
    <row r="167" customFormat="false" ht="14.45" hidden="false" customHeight="false" outlineLevel="0" collapsed="false">
      <c r="A167" s="828" t="s">
        <v>823</v>
      </c>
      <c r="B167" s="828" t="n">
        <v>15364</v>
      </c>
      <c r="C167" s="828" t="s">
        <v>840</v>
      </c>
      <c r="D167" s="828" t="s">
        <v>837</v>
      </c>
      <c r="E167" s="828" t="s">
        <v>800</v>
      </c>
      <c r="F167" s="828" t="s">
        <v>838</v>
      </c>
      <c r="G167" s="828" t="s">
        <v>1168</v>
      </c>
      <c r="H167" s="828" t="n">
        <v>53737</v>
      </c>
      <c r="I167" s="828" t="s">
        <v>1132</v>
      </c>
      <c r="J167" s="828" t="n">
        <v>78</v>
      </c>
    </row>
    <row r="168" customFormat="false" ht="14.45" hidden="false" customHeight="false" outlineLevel="0" collapsed="false">
      <c r="A168" s="828" t="s">
        <v>823</v>
      </c>
      <c r="B168" s="828" t="n">
        <v>15365</v>
      </c>
      <c r="C168" s="828" t="s">
        <v>841</v>
      </c>
      <c r="D168" s="828" t="s">
        <v>837</v>
      </c>
      <c r="E168" s="828" t="s">
        <v>800</v>
      </c>
      <c r="F168" s="828" t="s">
        <v>838</v>
      </c>
      <c r="G168" s="828" t="s">
        <v>1168</v>
      </c>
      <c r="H168" s="828" t="n">
        <v>53738</v>
      </c>
      <c r="I168" s="828" t="s">
        <v>1132</v>
      </c>
      <c r="J168" s="828" t="n">
        <v>78</v>
      </c>
    </row>
    <row r="169" customFormat="false" ht="14.45" hidden="false" customHeight="false" outlineLevel="0" collapsed="false">
      <c r="A169" s="828" t="s">
        <v>823</v>
      </c>
      <c r="B169" s="828" t="n">
        <v>15366</v>
      </c>
      <c r="C169" s="828" t="s">
        <v>842</v>
      </c>
      <c r="D169" s="828" t="s">
        <v>837</v>
      </c>
      <c r="E169" s="828" t="s">
        <v>800</v>
      </c>
      <c r="F169" s="828" t="s">
        <v>838</v>
      </c>
      <c r="G169" s="828" t="s">
        <v>1168</v>
      </c>
      <c r="H169" s="828" t="n">
        <v>53739</v>
      </c>
      <c r="I169" s="828" t="s">
        <v>1132</v>
      </c>
      <c r="J169" s="828" t="n">
        <v>78</v>
      </c>
    </row>
    <row r="170" customFormat="false" ht="14.45" hidden="false" customHeight="false" outlineLevel="0" collapsed="false">
      <c r="A170" s="828" t="s">
        <v>823</v>
      </c>
      <c r="B170" s="828" t="n">
        <v>15367</v>
      </c>
      <c r="C170" s="828" t="s">
        <v>845</v>
      </c>
      <c r="D170" s="828" t="s">
        <v>837</v>
      </c>
      <c r="E170" s="828" t="s">
        <v>800</v>
      </c>
      <c r="F170" s="828" t="s">
        <v>838</v>
      </c>
      <c r="G170" s="828" t="s">
        <v>1168</v>
      </c>
      <c r="H170" s="828" t="n">
        <v>53740</v>
      </c>
      <c r="I170" s="828" t="s">
        <v>1132</v>
      </c>
      <c r="J170" s="828" t="n">
        <v>78</v>
      </c>
    </row>
    <row r="171" customFormat="false" ht="14.45" hidden="false" customHeight="false" outlineLevel="0" collapsed="false">
      <c r="A171" s="828" t="s">
        <v>823</v>
      </c>
      <c r="B171" s="828" t="n">
        <v>15368</v>
      </c>
      <c r="C171" s="828" t="s">
        <v>846</v>
      </c>
      <c r="D171" s="828" t="s">
        <v>837</v>
      </c>
      <c r="E171" s="828" t="s">
        <v>800</v>
      </c>
      <c r="F171" s="828" t="s">
        <v>838</v>
      </c>
      <c r="G171" s="828" t="s">
        <v>1168</v>
      </c>
      <c r="H171" s="828" t="n">
        <v>53741</v>
      </c>
      <c r="I171" s="828" t="s">
        <v>1132</v>
      </c>
      <c r="J171" s="828" t="n">
        <v>78</v>
      </c>
    </row>
    <row r="172" customFormat="false" ht="14.45" hidden="false" customHeight="false" outlineLevel="0" collapsed="false">
      <c r="A172" s="828" t="s">
        <v>823</v>
      </c>
      <c r="B172" s="828" t="n">
        <v>15369</v>
      </c>
      <c r="C172" s="828" t="s">
        <v>847</v>
      </c>
      <c r="D172" s="828" t="s">
        <v>837</v>
      </c>
      <c r="E172" s="828" t="s">
        <v>800</v>
      </c>
      <c r="F172" s="828" t="s">
        <v>838</v>
      </c>
      <c r="G172" s="828" t="s">
        <v>1168</v>
      </c>
      <c r="H172" s="828" t="n">
        <v>53742</v>
      </c>
      <c r="I172" s="828" t="s">
        <v>1132</v>
      </c>
      <c r="J172" s="828" t="n">
        <v>78</v>
      </c>
    </row>
    <row r="173" customFormat="false" ht="14.45" hidden="false" customHeight="false" outlineLevel="0" collapsed="false">
      <c r="A173" s="828" t="s">
        <v>823</v>
      </c>
      <c r="B173" s="828" t="n">
        <v>15370</v>
      </c>
      <c r="C173" s="828" t="s">
        <v>848</v>
      </c>
      <c r="D173" s="828" t="s">
        <v>837</v>
      </c>
      <c r="E173" s="828" t="s">
        <v>800</v>
      </c>
      <c r="F173" s="828" t="s">
        <v>838</v>
      </c>
      <c r="G173" s="828" t="s">
        <v>1168</v>
      </c>
      <c r="H173" s="828" t="n">
        <v>53743</v>
      </c>
      <c r="I173" s="828" t="s">
        <v>1132</v>
      </c>
      <c r="J173" s="828" t="n">
        <v>78</v>
      </c>
    </row>
    <row r="174" customFormat="false" ht="14.45" hidden="false" customHeight="false" outlineLevel="0" collapsed="false">
      <c r="A174" s="828" t="s">
        <v>823</v>
      </c>
      <c r="B174" s="828" t="n">
        <v>15371</v>
      </c>
      <c r="C174" s="828" t="s">
        <v>824</v>
      </c>
      <c r="D174" s="828" t="s">
        <v>1110</v>
      </c>
      <c r="E174" s="828" t="s">
        <v>800</v>
      </c>
      <c r="F174" s="828" t="s">
        <v>826</v>
      </c>
      <c r="G174" s="828" t="s">
        <v>1168</v>
      </c>
      <c r="H174" s="828" t="n">
        <v>53662</v>
      </c>
      <c r="I174" s="828" t="s">
        <v>1169</v>
      </c>
      <c r="J174" s="828" t="n">
        <v>78</v>
      </c>
    </row>
    <row r="175" customFormat="false" ht="14.45" hidden="false" customHeight="false" outlineLevel="0" collapsed="false">
      <c r="A175" s="828" t="s">
        <v>823</v>
      </c>
      <c r="B175" s="828" t="n">
        <v>15372</v>
      </c>
      <c r="C175" s="828" t="s">
        <v>829</v>
      </c>
      <c r="D175" s="828" t="s">
        <v>1110</v>
      </c>
      <c r="E175" s="828" t="s">
        <v>800</v>
      </c>
      <c r="F175" s="828" t="s">
        <v>826</v>
      </c>
      <c r="G175" s="828" t="s">
        <v>1168</v>
      </c>
      <c r="H175" s="828" t="n">
        <v>53706</v>
      </c>
      <c r="I175" s="828" t="s">
        <v>1169</v>
      </c>
      <c r="J175" s="828" t="n">
        <v>78</v>
      </c>
    </row>
    <row r="176" customFormat="false" ht="14.45" hidden="false" customHeight="false" outlineLevel="0" collapsed="false">
      <c r="A176" s="828" t="s">
        <v>823</v>
      </c>
      <c r="B176" s="828" t="n">
        <v>15373</v>
      </c>
      <c r="C176" s="828" t="s">
        <v>830</v>
      </c>
      <c r="D176" s="828" t="s">
        <v>1110</v>
      </c>
      <c r="E176" s="828" t="s">
        <v>800</v>
      </c>
      <c r="F176" s="828" t="s">
        <v>826</v>
      </c>
      <c r="G176" s="828" t="s">
        <v>1168</v>
      </c>
      <c r="H176" s="828" t="n">
        <v>53707</v>
      </c>
      <c r="I176" s="828" t="s">
        <v>1169</v>
      </c>
      <c r="J176" s="828" t="n">
        <v>78</v>
      </c>
    </row>
    <row r="177" customFormat="false" ht="14.45" hidden="false" customHeight="false" outlineLevel="0" collapsed="false">
      <c r="A177" s="828" t="s">
        <v>823</v>
      </c>
      <c r="B177" s="828" t="n">
        <v>15374</v>
      </c>
      <c r="C177" s="828" t="s">
        <v>831</v>
      </c>
      <c r="D177" s="828" t="s">
        <v>1110</v>
      </c>
      <c r="E177" s="828" t="s">
        <v>800</v>
      </c>
      <c r="F177" s="828" t="s">
        <v>826</v>
      </c>
      <c r="G177" s="828" t="s">
        <v>1168</v>
      </c>
      <c r="H177" s="828" t="n">
        <v>53708</v>
      </c>
      <c r="I177" s="828" t="s">
        <v>1169</v>
      </c>
      <c r="J177" s="828" t="n">
        <v>78</v>
      </c>
    </row>
    <row r="178" customFormat="false" ht="14.45" hidden="false" customHeight="false" outlineLevel="0" collapsed="false">
      <c r="A178" s="828" t="s">
        <v>823</v>
      </c>
      <c r="B178" s="828" t="n">
        <v>15375</v>
      </c>
      <c r="C178" s="828" t="s">
        <v>832</v>
      </c>
      <c r="D178" s="828" t="s">
        <v>1110</v>
      </c>
      <c r="E178" s="828" t="s">
        <v>800</v>
      </c>
      <c r="F178" s="828" t="s">
        <v>826</v>
      </c>
      <c r="G178" s="828" t="s">
        <v>1168</v>
      </c>
      <c r="H178" s="828" t="n">
        <v>53709</v>
      </c>
      <c r="I178" s="828" t="s">
        <v>1169</v>
      </c>
      <c r="J178" s="828" t="n">
        <v>78</v>
      </c>
    </row>
    <row r="179" customFormat="false" ht="14.45" hidden="false" customHeight="false" outlineLevel="0" collapsed="false">
      <c r="A179" s="828" t="s">
        <v>823</v>
      </c>
      <c r="B179" s="828" t="n">
        <v>15376</v>
      </c>
      <c r="C179" s="828" t="s">
        <v>833</v>
      </c>
      <c r="D179" s="828" t="s">
        <v>1110</v>
      </c>
      <c r="E179" s="828" t="s">
        <v>800</v>
      </c>
      <c r="F179" s="828" t="s">
        <v>826</v>
      </c>
      <c r="G179" s="828" t="s">
        <v>1168</v>
      </c>
      <c r="H179" s="828" t="n">
        <v>53711</v>
      </c>
      <c r="I179" s="828" t="s">
        <v>1169</v>
      </c>
      <c r="J179" s="828" t="n">
        <v>78</v>
      </c>
    </row>
    <row r="180" customFormat="false" ht="14.45" hidden="false" customHeight="false" outlineLevel="0" collapsed="false">
      <c r="A180" s="828" t="s">
        <v>823</v>
      </c>
      <c r="B180" s="828" t="n">
        <v>15377</v>
      </c>
      <c r="C180" s="828" t="s">
        <v>834</v>
      </c>
      <c r="D180" s="828" t="s">
        <v>1110</v>
      </c>
      <c r="E180" s="828" t="s">
        <v>800</v>
      </c>
      <c r="F180" s="828" t="s">
        <v>826</v>
      </c>
      <c r="G180" s="828" t="s">
        <v>1168</v>
      </c>
      <c r="H180" s="828" t="n">
        <v>53712</v>
      </c>
      <c r="I180" s="828" t="s">
        <v>1169</v>
      </c>
      <c r="J180" s="828" t="n">
        <v>78</v>
      </c>
    </row>
    <row r="181" customFormat="false" ht="14.45" hidden="false" customHeight="false" outlineLevel="0" collapsed="false">
      <c r="A181" s="828" t="s">
        <v>823</v>
      </c>
      <c r="B181" s="828" t="n">
        <v>15378</v>
      </c>
      <c r="C181" s="828" t="s">
        <v>835</v>
      </c>
      <c r="D181" s="828" t="s">
        <v>1110</v>
      </c>
      <c r="E181" s="828" t="s">
        <v>800</v>
      </c>
      <c r="F181" s="828" t="s">
        <v>826</v>
      </c>
      <c r="G181" s="828" t="s">
        <v>1168</v>
      </c>
      <c r="H181" s="828" t="n">
        <v>53713</v>
      </c>
      <c r="I181" s="828" t="s">
        <v>1169</v>
      </c>
      <c r="J181" s="828" t="n">
        <v>78</v>
      </c>
    </row>
    <row r="182" customFormat="false" ht="14.45" hidden="false" customHeight="false" outlineLevel="0" collapsed="false">
      <c r="A182" s="828" t="s">
        <v>823</v>
      </c>
      <c r="B182" s="828" t="s">
        <v>1170</v>
      </c>
      <c r="C182" s="828" t="s">
        <v>1171</v>
      </c>
      <c r="D182" s="828" t="s">
        <v>1110</v>
      </c>
      <c r="E182" s="828" t="s">
        <v>800</v>
      </c>
      <c r="F182" s="828" t="s">
        <v>826</v>
      </c>
      <c r="G182" s="828" t="s">
        <v>1168</v>
      </c>
      <c r="I182" s="828" t="s">
        <v>1172</v>
      </c>
      <c r="J182" s="828" t="n">
        <v>78</v>
      </c>
      <c r="K182" s="828" t="s">
        <v>1173</v>
      </c>
    </row>
    <row r="183" customFormat="false" ht="14.45" hidden="false" customHeight="false" outlineLevel="0" collapsed="false">
      <c r="A183" s="828" t="s">
        <v>823</v>
      </c>
      <c r="B183" s="828" t="n">
        <v>15387</v>
      </c>
      <c r="C183" s="828" t="s">
        <v>1174</v>
      </c>
      <c r="D183" s="828" t="s">
        <v>1034</v>
      </c>
      <c r="E183" s="828" t="s">
        <v>800</v>
      </c>
      <c r="F183" s="828" t="s">
        <v>801</v>
      </c>
      <c r="G183" s="828" t="s">
        <v>1168</v>
      </c>
      <c r="H183" s="828" t="n">
        <v>53746</v>
      </c>
      <c r="I183" s="828" t="s">
        <v>1175</v>
      </c>
      <c r="J183" s="828" t="n">
        <v>5</v>
      </c>
    </row>
    <row r="184" customFormat="false" ht="14.45" hidden="false" customHeight="false" outlineLevel="0" collapsed="false">
      <c r="A184" s="828" t="s">
        <v>823</v>
      </c>
      <c r="B184" s="828" t="n">
        <v>15388</v>
      </c>
      <c r="C184" s="828" t="s">
        <v>1176</v>
      </c>
      <c r="D184" s="828" t="s">
        <v>1034</v>
      </c>
      <c r="E184" s="828" t="s">
        <v>800</v>
      </c>
      <c r="F184" s="828" t="s">
        <v>801</v>
      </c>
      <c r="G184" s="828" t="s">
        <v>1168</v>
      </c>
      <c r="H184" s="828" t="n">
        <v>53747</v>
      </c>
      <c r="I184" s="828" t="s">
        <v>1177</v>
      </c>
      <c r="J184" s="828" t="n">
        <v>2.5</v>
      </c>
    </row>
    <row r="185" customFormat="false" ht="14.45" hidden="false" customHeight="false" outlineLevel="0" collapsed="false">
      <c r="A185" s="828" t="s">
        <v>823</v>
      </c>
      <c r="B185" s="828" t="n">
        <v>15389</v>
      </c>
      <c r="C185" s="828" t="s">
        <v>840</v>
      </c>
      <c r="D185" s="828" t="s">
        <v>1034</v>
      </c>
      <c r="E185" s="828" t="s">
        <v>800</v>
      </c>
      <c r="F185" s="828" t="s">
        <v>801</v>
      </c>
      <c r="G185" s="828" t="s">
        <v>1168</v>
      </c>
      <c r="H185" s="828" t="n">
        <v>53748</v>
      </c>
      <c r="I185" s="828" t="s">
        <v>1177</v>
      </c>
      <c r="J185" s="828" t="n">
        <v>2</v>
      </c>
    </row>
    <row r="186" customFormat="false" ht="14.45" hidden="false" customHeight="false" outlineLevel="0" collapsed="false">
      <c r="A186" s="828" t="s">
        <v>823</v>
      </c>
      <c r="B186" s="828" t="s">
        <v>1178</v>
      </c>
      <c r="C186" s="828" t="s">
        <v>849</v>
      </c>
      <c r="D186" s="828" t="s">
        <v>837</v>
      </c>
      <c r="E186" s="828" t="s">
        <v>800</v>
      </c>
      <c r="F186" s="828" t="s">
        <v>838</v>
      </c>
      <c r="G186" s="828" t="s">
        <v>1168</v>
      </c>
      <c r="J186" s="828" t="n">
        <v>80</v>
      </c>
      <c r="K186" s="828" t="s">
        <v>1179</v>
      </c>
    </row>
    <row r="187" customFormat="false" ht="14.45" hidden="false" customHeight="false" outlineLevel="0" collapsed="false">
      <c r="A187" s="828" t="s">
        <v>823</v>
      </c>
      <c r="B187" s="828" t="n">
        <v>121493</v>
      </c>
      <c r="C187" s="828" t="s">
        <v>1104</v>
      </c>
      <c r="D187" s="828" t="s">
        <v>1110</v>
      </c>
      <c r="E187" s="828" t="s">
        <v>800</v>
      </c>
      <c r="F187" s="828" t="s">
        <v>1097</v>
      </c>
      <c r="G187" s="828" t="s">
        <v>1168</v>
      </c>
      <c r="H187" s="828" t="n">
        <v>53750</v>
      </c>
      <c r="I187" s="828" t="s">
        <v>1180</v>
      </c>
      <c r="J187" s="828" t="n">
        <v>2.5</v>
      </c>
    </row>
    <row r="188" customFormat="false" ht="14.45" hidden="false" customHeight="false" outlineLevel="0" collapsed="false">
      <c r="A188" s="828" t="s">
        <v>823</v>
      </c>
      <c r="B188" s="828" t="n">
        <v>121494</v>
      </c>
      <c r="C188" s="828" t="s">
        <v>1102</v>
      </c>
      <c r="D188" s="828" t="s">
        <v>1110</v>
      </c>
      <c r="E188" s="828" t="s">
        <v>800</v>
      </c>
      <c r="F188" s="828" t="s">
        <v>1097</v>
      </c>
      <c r="G188" s="828" t="s">
        <v>1168</v>
      </c>
      <c r="H188" s="828" t="n">
        <v>53749</v>
      </c>
      <c r="I188" s="828" t="s">
        <v>1181</v>
      </c>
      <c r="J188" s="828" t="n">
        <v>5</v>
      </c>
    </row>
    <row r="189" customFormat="false" ht="14.45" hidden="false" customHeight="false" outlineLevel="0" collapsed="false">
      <c r="A189" s="828" t="s">
        <v>823</v>
      </c>
      <c r="B189" s="828" t="n">
        <v>121498</v>
      </c>
      <c r="C189" s="828" t="s">
        <v>1182</v>
      </c>
      <c r="D189" s="828" t="s">
        <v>1110</v>
      </c>
      <c r="E189" s="828" t="s">
        <v>800</v>
      </c>
      <c r="F189" s="828" t="s">
        <v>1097</v>
      </c>
      <c r="G189" s="828" t="s">
        <v>1168</v>
      </c>
      <c r="H189" s="828" t="n">
        <v>53745</v>
      </c>
      <c r="I189" s="828" t="s">
        <v>1183</v>
      </c>
      <c r="J189" s="828" t="n">
        <v>80</v>
      </c>
    </row>
    <row r="190" customFormat="false" ht="14.45" hidden="false" customHeight="false" outlineLevel="0" collapsed="false">
      <c r="A190" s="828" t="s">
        <v>851</v>
      </c>
      <c r="B190" s="828" t="s">
        <v>1184</v>
      </c>
      <c r="C190" s="828" t="s">
        <v>1185</v>
      </c>
      <c r="D190" s="828" t="s">
        <v>1186</v>
      </c>
      <c r="E190" s="828" t="s">
        <v>800</v>
      </c>
      <c r="F190" s="828" t="s">
        <v>801</v>
      </c>
      <c r="G190" s="828" t="s">
        <v>1187</v>
      </c>
      <c r="H190" s="828" t="n">
        <v>65115</v>
      </c>
      <c r="I190" s="828" t="s">
        <v>1188</v>
      </c>
      <c r="J190" s="828" t="n">
        <v>10</v>
      </c>
    </row>
    <row r="191" customFormat="false" ht="14.45" hidden="false" customHeight="false" outlineLevel="0" collapsed="false">
      <c r="A191" s="828" t="s">
        <v>851</v>
      </c>
      <c r="B191" s="828" t="s">
        <v>1189</v>
      </c>
      <c r="C191" s="828" t="s">
        <v>1190</v>
      </c>
      <c r="D191" s="828" t="s">
        <v>1191</v>
      </c>
      <c r="E191" s="828" t="s">
        <v>800</v>
      </c>
      <c r="F191" s="828" t="s">
        <v>801</v>
      </c>
      <c r="G191" s="828" t="s">
        <v>1187</v>
      </c>
      <c r="H191" s="828" t="n">
        <v>65116</v>
      </c>
      <c r="I191" s="828" t="s">
        <v>1192</v>
      </c>
      <c r="J191" s="828" t="n">
        <v>7.2</v>
      </c>
    </row>
    <row r="192" customFormat="false" ht="14.45" hidden="false" customHeight="false" outlineLevel="0" collapsed="false">
      <c r="A192" s="828" t="s">
        <v>851</v>
      </c>
      <c r="B192" s="828" t="s">
        <v>1193</v>
      </c>
      <c r="C192" s="828" t="s">
        <v>1194</v>
      </c>
      <c r="D192" s="828" t="s">
        <v>1195</v>
      </c>
      <c r="E192" s="828" t="s">
        <v>800</v>
      </c>
      <c r="F192" s="828" t="s">
        <v>1196</v>
      </c>
      <c r="G192" s="828" t="s">
        <v>1187</v>
      </c>
      <c r="H192" s="828" t="n">
        <v>59788</v>
      </c>
      <c r="K192" s="828" t="s">
        <v>1197</v>
      </c>
    </row>
    <row r="193" customFormat="false" ht="14.45" hidden="false" customHeight="false" outlineLevel="0" collapsed="false">
      <c r="A193" s="828" t="s">
        <v>851</v>
      </c>
      <c r="B193" s="828" t="s">
        <v>1198</v>
      </c>
      <c r="C193" s="828" t="s">
        <v>1199</v>
      </c>
      <c r="D193" s="828" t="s">
        <v>1195</v>
      </c>
      <c r="E193" s="828" t="s">
        <v>800</v>
      </c>
      <c r="F193" s="828" t="s">
        <v>1196</v>
      </c>
      <c r="G193" s="828" t="s">
        <v>1187</v>
      </c>
      <c r="H193" s="828" t="n">
        <v>59792</v>
      </c>
      <c r="K193" s="828" t="s">
        <v>1197</v>
      </c>
    </row>
    <row r="194" customFormat="false" ht="14.45" hidden="false" customHeight="false" outlineLevel="0" collapsed="false">
      <c r="A194" s="828" t="s">
        <v>851</v>
      </c>
      <c r="B194" s="828" t="s">
        <v>1200</v>
      </c>
      <c r="C194" s="828" t="s">
        <v>1201</v>
      </c>
      <c r="D194" s="828" t="s">
        <v>1195</v>
      </c>
      <c r="E194" s="828" t="s">
        <v>800</v>
      </c>
      <c r="F194" s="828" t="s">
        <v>1196</v>
      </c>
      <c r="G194" s="828" t="s">
        <v>1187</v>
      </c>
      <c r="H194" s="828" t="n">
        <v>59791</v>
      </c>
      <c r="K194" s="828" t="s">
        <v>1197</v>
      </c>
    </row>
    <row r="195" customFormat="false" ht="14.45" hidden="false" customHeight="false" outlineLevel="0" collapsed="false">
      <c r="A195" s="828" t="s">
        <v>851</v>
      </c>
      <c r="B195" s="828" t="s">
        <v>1202</v>
      </c>
      <c r="C195" s="828" t="s">
        <v>1203</v>
      </c>
      <c r="D195" s="828" t="s">
        <v>1195</v>
      </c>
      <c r="E195" s="828" t="s">
        <v>800</v>
      </c>
      <c r="F195" s="828" t="s">
        <v>1196</v>
      </c>
      <c r="G195" s="828" t="s">
        <v>1187</v>
      </c>
      <c r="H195" s="828" t="n">
        <v>59800</v>
      </c>
      <c r="J195" s="828" t="s">
        <v>151</v>
      </c>
      <c r="K195" s="828" t="s">
        <v>1197</v>
      </c>
    </row>
    <row r="196" customFormat="false" ht="14.45" hidden="false" customHeight="false" outlineLevel="0" collapsed="false">
      <c r="A196" s="828" t="s">
        <v>851</v>
      </c>
      <c r="B196" s="828" t="s">
        <v>1204</v>
      </c>
      <c r="C196" s="828" t="s">
        <v>1203</v>
      </c>
      <c r="D196" s="828" t="s">
        <v>1195</v>
      </c>
      <c r="E196" s="828" t="s">
        <v>800</v>
      </c>
      <c r="F196" s="828" t="s">
        <v>1196</v>
      </c>
      <c r="G196" s="828" t="s">
        <v>1187</v>
      </c>
      <c r="H196" s="828" t="n">
        <v>59801</v>
      </c>
      <c r="J196" s="828" t="s">
        <v>151</v>
      </c>
      <c r="K196" s="828" t="s">
        <v>1197</v>
      </c>
    </row>
    <row r="197" customFormat="false" ht="14.45" hidden="false" customHeight="false" outlineLevel="0" collapsed="false">
      <c r="A197" s="828" t="s">
        <v>851</v>
      </c>
      <c r="B197" s="828" t="s">
        <v>1205</v>
      </c>
      <c r="C197" s="828" t="s">
        <v>1203</v>
      </c>
      <c r="D197" s="828" t="s">
        <v>1195</v>
      </c>
      <c r="E197" s="828" t="s">
        <v>800</v>
      </c>
      <c r="F197" s="828" t="s">
        <v>1196</v>
      </c>
      <c r="G197" s="828" t="s">
        <v>1187</v>
      </c>
      <c r="H197" s="828" t="n">
        <v>59802</v>
      </c>
      <c r="J197" s="828" t="s">
        <v>151</v>
      </c>
      <c r="K197" s="828" t="s">
        <v>1197</v>
      </c>
    </row>
    <row r="198" customFormat="false" ht="14.45" hidden="false" customHeight="false" outlineLevel="0" collapsed="false">
      <c r="A198" s="828" t="s">
        <v>851</v>
      </c>
      <c r="B198" s="828" t="s">
        <v>1206</v>
      </c>
      <c r="C198" s="828" t="s">
        <v>1207</v>
      </c>
      <c r="D198" s="828" t="s">
        <v>1195</v>
      </c>
      <c r="E198" s="828" t="s">
        <v>800</v>
      </c>
      <c r="F198" s="828" t="s">
        <v>1208</v>
      </c>
      <c r="G198" s="828" t="s">
        <v>1187</v>
      </c>
      <c r="H198" s="828" t="n">
        <v>59808</v>
      </c>
      <c r="I198" s="828" t="s">
        <v>1209</v>
      </c>
      <c r="J198" s="828" t="n">
        <v>60</v>
      </c>
      <c r="K198" s="828" t="s">
        <v>1210</v>
      </c>
    </row>
    <row r="199" customFormat="false" ht="14.45" hidden="false" customHeight="false" outlineLevel="0" collapsed="false">
      <c r="A199" s="828" t="s">
        <v>851</v>
      </c>
      <c r="B199" s="828" t="s">
        <v>1211</v>
      </c>
      <c r="C199" s="828" t="s">
        <v>1212</v>
      </c>
      <c r="D199" s="828" t="s">
        <v>1213</v>
      </c>
      <c r="E199" s="828" t="s">
        <v>800</v>
      </c>
      <c r="F199" s="828" t="s">
        <v>1196</v>
      </c>
      <c r="G199" s="828" t="s">
        <v>1187</v>
      </c>
      <c r="H199" s="828" t="n">
        <v>59838</v>
      </c>
      <c r="J199" s="828" t="n">
        <v>60</v>
      </c>
      <c r="K199" s="828" t="s">
        <v>1214</v>
      </c>
    </row>
    <row r="200" customFormat="false" ht="14.45" hidden="false" customHeight="false" outlineLevel="0" collapsed="false">
      <c r="A200" s="828" t="s">
        <v>851</v>
      </c>
      <c r="B200" s="828" t="s">
        <v>1215</v>
      </c>
      <c r="C200" s="828" t="s">
        <v>1216</v>
      </c>
      <c r="D200" s="828" t="s">
        <v>1213</v>
      </c>
      <c r="E200" s="828" t="s">
        <v>800</v>
      </c>
      <c r="F200" s="828" t="s">
        <v>1196</v>
      </c>
      <c r="G200" s="828" t="s">
        <v>1187</v>
      </c>
      <c r="H200" s="828" t="n">
        <v>59839</v>
      </c>
      <c r="J200" s="828" t="n">
        <v>60</v>
      </c>
      <c r="K200" s="828" t="s">
        <v>1214</v>
      </c>
    </row>
    <row r="201" customFormat="false" ht="14.45" hidden="false" customHeight="false" outlineLevel="0" collapsed="false">
      <c r="A201" s="828" t="s">
        <v>851</v>
      </c>
      <c r="B201" s="828" t="s">
        <v>1217</v>
      </c>
      <c r="C201" s="828" t="s">
        <v>841</v>
      </c>
      <c r="D201" s="828" t="s">
        <v>1218</v>
      </c>
      <c r="E201" s="828" t="s">
        <v>800</v>
      </c>
      <c r="F201" s="828" t="s">
        <v>801</v>
      </c>
      <c r="G201" s="828" t="s">
        <v>1187</v>
      </c>
      <c r="H201" s="828" t="n">
        <v>59893</v>
      </c>
      <c r="I201" s="828" t="s">
        <v>1219</v>
      </c>
      <c r="J201" s="828" t="n">
        <v>60</v>
      </c>
    </row>
    <row r="202" customFormat="false" ht="14.45" hidden="false" customHeight="false" outlineLevel="0" collapsed="false">
      <c r="A202" s="828" t="s">
        <v>851</v>
      </c>
      <c r="B202" s="828" t="s">
        <v>1220</v>
      </c>
      <c r="C202" s="828" t="s">
        <v>840</v>
      </c>
      <c r="D202" s="828" t="s">
        <v>1218</v>
      </c>
      <c r="E202" s="828" t="s">
        <v>800</v>
      </c>
      <c r="F202" s="828" t="s">
        <v>801</v>
      </c>
      <c r="G202" s="828" t="s">
        <v>1187</v>
      </c>
      <c r="H202" s="828" t="n">
        <v>59894</v>
      </c>
      <c r="I202" s="828" t="s">
        <v>1219</v>
      </c>
      <c r="J202" s="828" t="n">
        <v>60</v>
      </c>
    </row>
    <row r="203" customFormat="false" ht="14.45" hidden="false" customHeight="false" outlineLevel="0" collapsed="false">
      <c r="A203" s="828" t="s">
        <v>851</v>
      </c>
      <c r="B203" s="828" t="s">
        <v>1221</v>
      </c>
      <c r="C203" s="828" t="s">
        <v>836</v>
      </c>
      <c r="D203" s="828" t="s">
        <v>1218</v>
      </c>
      <c r="E203" s="828" t="s">
        <v>800</v>
      </c>
      <c r="F203" s="828" t="s">
        <v>801</v>
      </c>
      <c r="G203" s="828" t="s">
        <v>1187</v>
      </c>
      <c r="H203" s="828" t="n">
        <v>59895</v>
      </c>
      <c r="I203" s="828" t="s">
        <v>1222</v>
      </c>
      <c r="J203" s="828" t="n">
        <v>60</v>
      </c>
    </row>
    <row r="204" customFormat="false" ht="14.45" hidden="false" customHeight="false" outlineLevel="0" collapsed="false">
      <c r="A204" s="828" t="s">
        <v>851</v>
      </c>
      <c r="B204" s="828" t="s">
        <v>1223</v>
      </c>
      <c r="C204" s="828" t="s">
        <v>1224</v>
      </c>
      <c r="D204" s="828" t="s">
        <v>1225</v>
      </c>
      <c r="E204" s="828" t="s">
        <v>800</v>
      </c>
      <c r="F204" s="828" t="s">
        <v>1196</v>
      </c>
      <c r="G204" s="828" t="s">
        <v>1187</v>
      </c>
      <c r="H204" s="828" t="n">
        <v>59897</v>
      </c>
      <c r="I204" s="828" t="s">
        <v>1226</v>
      </c>
      <c r="J204" s="828" t="s">
        <v>151</v>
      </c>
      <c r="K204" s="828" t="s">
        <v>1227</v>
      </c>
    </row>
    <row r="205" customFormat="false" ht="14.45" hidden="false" customHeight="false" outlineLevel="0" collapsed="false">
      <c r="A205" s="828" t="s">
        <v>851</v>
      </c>
      <c r="B205" s="828" t="s">
        <v>1228</v>
      </c>
      <c r="C205" s="828" t="s">
        <v>1229</v>
      </c>
      <c r="D205" s="828" t="s">
        <v>1225</v>
      </c>
      <c r="E205" s="828" t="s">
        <v>800</v>
      </c>
      <c r="F205" s="828" t="s">
        <v>801</v>
      </c>
      <c r="G205" s="828" t="s">
        <v>1187</v>
      </c>
      <c r="H205" s="828" t="n">
        <v>59900</v>
      </c>
      <c r="I205" s="828" t="s">
        <v>1230</v>
      </c>
      <c r="J205" s="828" t="n">
        <v>5</v>
      </c>
    </row>
    <row r="206" customFormat="false" ht="14.45" hidden="false" customHeight="false" outlineLevel="0" collapsed="false">
      <c r="A206" s="828" t="s">
        <v>851</v>
      </c>
      <c r="B206" s="828" t="s">
        <v>1231</v>
      </c>
      <c r="C206" s="828" t="s">
        <v>1232</v>
      </c>
      <c r="D206" s="828" t="s">
        <v>1225</v>
      </c>
      <c r="E206" s="828" t="s">
        <v>800</v>
      </c>
      <c r="F206" s="828" t="s">
        <v>801</v>
      </c>
      <c r="G206" s="828" t="s">
        <v>1187</v>
      </c>
      <c r="H206" s="828" t="n">
        <v>59901</v>
      </c>
      <c r="I206" s="828" t="s">
        <v>1230</v>
      </c>
      <c r="J206" s="828" t="n">
        <v>5</v>
      </c>
    </row>
    <row r="207" customFormat="false" ht="14.45" hidden="false" customHeight="false" outlineLevel="0" collapsed="false">
      <c r="A207" s="828" t="s">
        <v>851</v>
      </c>
      <c r="B207" s="828" t="s">
        <v>1233</v>
      </c>
      <c r="C207" s="828" t="s">
        <v>1234</v>
      </c>
      <c r="D207" s="828" t="s">
        <v>1235</v>
      </c>
      <c r="E207" s="828" t="s">
        <v>800</v>
      </c>
      <c r="F207" s="828" t="s">
        <v>801</v>
      </c>
      <c r="G207" s="828" t="s">
        <v>1187</v>
      </c>
      <c r="H207" s="828" t="n">
        <v>59902</v>
      </c>
      <c r="I207" s="828" t="s">
        <v>1236</v>
      </c>
      <c r="J207" s="828" t="n">
        <v>100</v>
      </c>
    </row>
    <row r="208" customFormat="false" ht="14.45" hidden="false" customHeight="false" outlineLevel="0" collapsed="false">
      <c r="A208" s="828" t="s">
        <v>851</v>
      </c>
      <c r="B208" s="828" t="s">
        <v>1237</v>
      </c>
      <c r="C208" s="828" t="s">
        <v>1238</v>
      </c>
      <c r="D208" s="828" t="s">
        <v>1191</v>
      </c>
      <c r="E208" s="828" t="s">
        <v>800</v>
      </c>
      <c r="F208" s="828" t="s">
        <v>801</v>
      </c>
      <c r="G208" s="828" t="s">
        <v>1187</v>
      </c>
      <c r="H208" s="828" t="n">
        <v>59903</v>
      </c>
      <c r="I208" s="828" t="s">
        <v>1239</v>
      </c>
      <c r="J208" s="828" t="n">
        <v>5</v>
      </c>
    </row>
    <row r="209" customFormat="false" ht="14.45" hidden="false" customHeight="false" outlineLevel="0" collapsed="false">
      <c r="A209" s="828" t="s">
        <v>851</v>
      </c>
      <c r="B209" s="828" t="s">
        <v>1240</v>
      </c>
      <c r="C209" s="828" t="s">
        <v>1241</v>
      </c>
      <c r="D209" s="828" t="s">
        <v>1242</v>
      </c>
      <c r="E209" s="828" t="s">
        <v>800</v>
      </c>
      <c r="F209" s="828" t="s">
        <v>801</v>
      </c>
      <c r="G209" s="828" t="s">
        <v>1187</v>
      </c>
      <c r="H209" s="828" t="n">
        <v>59905</v>
      </c>
      <c r="I209" s="828" t="s">
        <v>1243</v>
      </c>
      <c r="J209" s="828" t="n">
        <v>3</v>
      </c>
    </row>
    <row r="210" customFormat="false" ht="14.45" hidden="false" customHeight="false" outlineLevel="0" collapsed="false">
      <c r="A210" s="828" t="s">
        <v>851</v>
      </c>
      <c r="B210" s="828" t="s">
        <v>1244</v>
      </c>
      <c r="C210" s="828" t="s">
        <v>1245</v>
      </c>
      <c r="D210" s="828" t="s">
        <v>1191</v>
      </c>
      <c r="E210" s="828" t="s">
        <v>800</v>
      </c>
      <c r="F210" s="828" t="s">
        <v>801</v>
      </c>
      <c r="G210" s="828" t="s">
        <v>1187</v>
      </c>
      <c r="H210" s="828" t="n">
        <v>59909</v>
      </c>
      <c r="I210" s="828" t="s">
        <v>1246</v>
      </c>
      <c r="J210" s="828" t="n">
        <v>5</v>
      </c>
    </row>
    <row r="211" customFormat="false" ht="14.45" hidden="false" customHeight="false" outlineLevel="0" collapsed="false">
      <c r="A211" s="828" t="s">
        <v>851</v>
      </c>
      <c r="B211" s="828" t="s">
        <v>1247</v>
      </c>
      <c r="C211" s="828" t="s">
        <v>1245</v>
      </c>
      <c r="D211" s="828" t="s">
        <v>1191</v>
      </c>
      <c r="E211" s="828" t="s">
        <v>800</v>
      </c>
      <c r="F211" s="828" t="s">
        <v>801</v>
      </c>
      <c r="G211" s="828" t="s">
        <v>1187</v>
      </c>
      <c r="H211" s="828" t="n">
        <v>59910</v>
      </c>
      <c r="I211" s="828" t="s">
        <v>1246</v>
      </c>
      <c r="J211" s="828" t="n">
        <v>5</v>
      </c>
    </row>
    <row r="212" customFormat="false" ht="14.45" hidden="false" customHeight="false" outlineLevel="0" collapsed="false">
      <c r="A212" s="828" t="s">
        <v>851</v>
      </c>
      <c r="B212" s="828" t="s">
        <v>1248</v>
      </c>
      <c r="C212" s="828" t="s">
        <v>1241</v>
      </c>
      <c r="D212" s="828" t="s">
        <v>1242</v>
      </c>
      <c r="E212" s="828" t="s">
        <v>800</v>
      </c>
      <c r="F212" s="828" t="s">
        <v>801</v>
      </c>
      <c r="G212" s="828" t="s">
        <v>1187</v>
      </c>
      <c r="H212" s="828" t="n">
        <v>59917</v>
      </c>
      <c r="I212" s="828" t="s">
        <v>1249</v>
      </c>
      <c r="J212" s="828" t="n">
        <v>5</v>
      </c>
    </row>
    <row r="213" customFormat="false" ht="14.45" hidden="false" customHeight="false" outlineLevel="0" collapsed="false">
      <c r="A213" s="828" t="s">
        <v>851</v>
      </c>
      <c r="B213" s="828" t="s">
        <v>1250</v>
      </c>
      <c r="C213" s="828" t="s">
        <v>1251</v>
      </c>
      <c r="D213" s="828" t="s">
        <v>1252</v>
      </c>
      <c r="E213" s="828" t="s">
        <v>800</v>
      </c>
      <c r="F213" s="828" t="s">
        <v>826</v>
      </c>
      <c r="G213" s="828" t="s">
        <v>1187</v>
      </c>
      <c r="H213" s="828" t="n">
        <v>59918</v>
      </c>
      <c r="I213" s="828" t="s">
        <v>1253</v>
      </c>
      <c r="J213" s="828" t="n">
        <v>100</v>
      </c>
      <c r="K213" s="828" t="s">
        <v>1254</v>
      </c>
    </row>
    <row r="214" customFormat="false" ht="14.45" hidden="false" customHeight="false" outlineLevel="0" collapsed="false">
      <c r="A214" s="828" t="s">
        <v>851</v>
      </c>
      <c r="B214" s="828" t="s">
        <v>1255</v>
      </c>
      <c r="C214" s="828" t="s">
        <v>1256</v>
      </c>
      <c r="D214" s="828" t="s">
        <v>1257</v>
      </c>
      <c r="E214" s="828" t="s">
        <v>800</v>
      </c>
      <c r="F214" s="828" t="s">
        <v>801</v>
      </c>
      <c r="G214" s="828" t="s">
        <v>1187</v>
      </c>
      <c r="H214" s="828" t="n">
        <v>62409</v>
      </c>
      <c r="I214" s="828" t="s">
        <v>1258</v>
      </c>
      <c r="J214" s="828" t="n">
        <v>70</v>
      </c>
    </row>
    <row r="215" customFormat="false" ht="14.45" hidden="false" customHeight="false" outlineLevel="0" collapsed="false">
      <c r="A215" s="828" t="s">
        <v>851</v>
      </c>
      <c r="B215" s="828" t="s">
        <v>1259</v>
      </c>
      <c r="C215" s="828" t="s">
        <v>1260</v>
      </c>
      <c r="D215" s="828" t="s">
        <v>1257</v>
      </c>
      <c r="E215" s="828" t="s">
        <v>800</v>
      </c>
      <c r="F215" s="828" t="s">
        <v>801</v>
      </c>
      <c r="G215" s="828" t="s">
        <v>1187</v>
      </c>
      <c r="H215" s="828" t="n">
        <v>62410</v>
      </c>
      <c r="I215" s="828" t="s">
        <v>1261</v>
      </c>
      <c r="J215" s="828" t="n">
        <v>70</v>
      </c>
    </row>
    <row r="216" customFormat="false" ht="14.45" hidden="false" customHeight="false" outlineLevel="0" collapsed="false">
      <c r="A216" s="828" t="s">
        <v>1107</v>
      </c>
      <c r="B216" s="828" t="s">
        <v>1262</v>
      </c>
      <c r="C216" s="828" t="s">
        <v>836</v>
      </c>
      <c r="D216" s="828" t="s">
        <v>1263</v>
      </c>
      <c r="E216" s="828" t="s">
        <v>800</v>
      </c>
      <c r="F216" s="828" t="s">
        <v>801</v>
      </c>
      <c r="G216" s="828" t="s">
        <v>1264</v>
      </c>
      <c r="H216" s="828" t="n">
        <v>54047</v>
      </c>
      <c r="I216" s="828" t="s">
        <v>1265</v>
      </c>
      <c r="J216" s="828" t="n">
        <v>43</v>
      </c>
    </row>
    <row r="217" customFormat="false" ht="14.45" hidden="false" customHeight="false" outlineLevel="0" collapsed="false">
      <c r="A217" s="828" t="s">
        <v>1107</v>
      </c>
      <c r="B217" s="828" t="s">
        <v>1266</v>
      </c>
      <c r="C217" s="828" t="s">
        <v>840</v>
      </c>
      <c r="D217" s="828" t="s">
        <v>1263</v>
      </c>
      <c r="E217" s="828" t="s">
        <v>800</v>
      </c>
      <c r="F217" s="828" t="s">
        <v>801</v>
      </c>
      <c r="G217" s="828" t="s">
        <v>1264</v>
      </c>
      <c r="H217" s="828" t="n">
        <v>54048</v>
      </c>
      <c r="I217" s="828" t="s">
        <v>1267</v>
      </c>
      <c r="J217" s="828" t="n">
        <v>43</v>
      </c>
    </row>
    <row r="218" customFormat="false" ht="14.45" hidden="false" customHeight="false" outlineLevel="0" collapsed="false">
      <c r="A218" s="828" t="s">
        <v>1107</v>
      </c>
      <c r="B218" s="828" t="s">
        <v>1268</v>
      </c>
      <c r="C218" s="828" t="s">
        <v>841</v>
      </c>
      <c r="D218" s="828" t="s">
        <v>1263</v>
      </c>
      <c r="E218" s="828" t="s">
        <v>800</v>
      </c>
      <c r="F218" s="828" t="s">
        <v>801</v>
      </c>
      <c r="G218" s="828" t="s">
        <v>1264</v>
      </c>
      <c r="H218" s="828" t="n">
        <v>54049</v>
      </c>
      <c r="I218" s="828" t="s">
        <v>1269</v>
      </c>
      <c r="J218" s="828" t="n">
        <v>43</v>
      </c>
    </row>
    <row r="219" customFormat="false" ht="14.45" hidden="false" customHeight="false" outlineLevel="0" collapsed="false">
      <c r="A219" s="828" t="s">
        <v>1107</v>
      </c>
      <c r="B219" s="828" t="s">
        <v>1270</v>
      </c>
      <c r="C219" s="828" t="s">
        <v>1271</v>
      </c>
      <c r="D219" s="828" t="s">
        <v>1272</v>
      </c>
      <c r="E219" s="828" t="s">
        <v>800</v>
      </c>
      <c r="F219" s="828" t="s">
        <v>801</v>
      </c>
      <c r="G219" s="828" t="s">
        <v>1264</v>
      </c>
      <c r="H219" s="828" t="n">
        <v>54021</v>
      </c>
      <c r="I219" s="828" t="s">
        <v>1269</v>
      </c>
      <c r="J219" s="828" t="n">
        <v>50</v>
      </c>
    </row>
    <row r="220" customFormat="false" ht="14.45" hidden="false" customHeight="false" outlineLevel="0" collapsed="false">
      <c r="A220" s="828" t="s">
        <v>1107</v>
      </c>
      <c r="B220" s="828" t="s">
        <v>1273</v>
      </c>
      <c r="C220" s="828" t="s">
        <v>1274</v>
      </c>
      <c r="D220" s="828" t="s">
        <v>1272</v>
      </c>
      <c r="E220" s="828" t="s">
        <v>800</v>
      </c>
      <c r="F220" s="828" t="s">
        <v>801</v>
      </c>
      <c r="G220" s="828" t="s">
        <v>1264</v>
      </c>
      <c r="H220" s="828" t="n">
        <v>54022</v>
      </c>
      <c r="I220" s="828" t="s">
        <v>1269</v>
      </c>
      <c r="J220" s="828" t="n">
        <v>50</v>
      </c>
    </row>
    <row r="221" customFormat="false" ht="14.45" hidden="false" customHeight="false" outlineLevel="0" collapsed="false">
      <c r="A221" s="828" t="s">
        <v>1107</v>
      </c>
      <c r="B221" s="828" t="s">
        <v>1275</v>
      </c>
      <c r="C221" s="828" t="s">
        <v>1276</v>
      </c>
      <c r="D221" s="828" t="s">
        <v>1272</v>
      </c>
      <c r="E221" s="828" t="s">
        <v>800</v>
      </c>
      <c r="F221" s="828" t="s">
        <v>855</v>
      </c>
      <c r="G221" s="828" t="s">
        <v>1264</v>
      </c>
      <c r="H221" s="828" t="n">
        <v>54023</v>
      </c>
      <c r="I221" s="828" t="s">
        <v>1269</v>
      </c>
      <c r="J221" s="828" t="n">
        <v>50</v>
      </c>
    </row>
    <row r="222" customFormat="false" ht="14.45" hidden="false" customHeight="false" outlineLevel="0" collapsed="false">
      <c r="A222" s="828" t="s">
        <v>1107</v>
      </c>
      <c r="B222" s="828" t="s">
        <v>1277</v>
      </c>
      <c r="C222" s="828" t="s">
        <v>1278</v>
      </c>
      <c r="D222" s="828" t="s">
        <v>1279</v>
      </c>
      <c r="E222" s="828" t="s">
        <v>800</v>
      </c>
      <c r="F222" s="828" t="s">
        <v>801</v>
      </c>
      <c r="G222" s="828" t="s">
        <v>1264</v>
      </c>
      <c r="H222" s="828" t="n">
        <v>54035</v>
      </c>
      <c r="I222" s="828" t="s">
        <v>1280</v>
      </c>
      <c r="J222" s="828" t="n">
        <v>7</v>
      </c>
    </row>
    <row r="223" customFormat="false" ht="14.45" hidden="false" customHeight="false" outlineLevel="0" collapsed="false">
      <c r="A223" s="828" t="s">
        <v>1107</v>
      </c>
      <c r="B223" s="828" t="s">
        <v>1281</v>
      </c>
      <c r="C223" s="828" t="s">
        <v>1282</v>
      </c>
      <c r="D223" s="828" t="s">
        <v>1283</v>
      </c>
      <c r="E223" s="828" t="s">
        <v>800</v>
      </c>
      <c r="F223" s="828" t="s">
        <v>801</v>
      </c>
      <c r="G223" s="828" t="s">
        <v>1264</v>
      </c>
      <c r="H223" s="828" t="n">
        <v>55364</v>
      </c>
      <c r="I223" s="828" t="s">
        <v>1284</v>
      </c>
      <c r="J223" s="828" t="n">
        <v>53</v>
      </c>
    </row>
    <row r="224" customFormat="false" ht="14.45" hidden="false" customHeight="false" outlineLevel="0" collapsed="false">
      <c r="A224" s="828" t="s">
        <v>1107</v>
      </c>
      <c r="B224" s="828" t="s">
        <v>1285</v>
      </c>
      <c r="C224" s="828" t="s">
        <v>1286</v>
      </c>
      <c r="D224" s="828" t="s">
        <v>1283</v>
      </c>
      <c r="E224" s="828" t="s">
        <v>800</v>
      </c>
      <c r="F224" s="828" t="s">
        <v>801</v>
      </c>
      <c r="G224" s="828" t="s">
        <v>1264</v>
      </c>
      <c r="H224" s="828" t="n">
        <v>55363</v>
      </c>
      <c r="I224" s="828" t="s">
        <v>1287</v>
      </c>
      <c r="J224" s="828" t="n">
        <v>53</v>
      </c>
    </row>
    <row r="225" customFormat="false" ht="14.45" hidden="false" customHeight="false" outlineLevel="0" collapsed="false">
      <c r="A225" s="828" t="s">
        <v>1107</v>
      </c>
      <c r="B225" s="828" t="s">
        <v>1288</v>
      </c>
      <c r="C225" s="828" t="s">
        <v>1289</v>
      </c>
      <c r="D225" s="828" t="s">
        <v>1283</v>
      </c>
      <c r="E225" s="828" t="s">
        <v>800</v>
      </c>
      <c r="F225" s="828" t="s">
        <v>801</v>
      </c>
      <c r="G225" s="828" t="s">
        <v>1264</v>
      </c>
      <c r="H225" s="828" t="n">
        <v>55362</v>
      </c>
      <c r="I225" s="828" t="s">
        <v>1290</v>
      </c>
      <c r="J225" s="828" t="n">
        <v>53</v>
      </c>
    </row>
    <row r="226" customFormat="false" ht="14.45" hidden="false" customHeight="false" outlineLevel="0" collapsed="false">
      <c r="A226" s="828" t="s">
        <v>1107</v>
      </c>
      <c r="B226" s="828" t="s">
        <v>1291</v>
      </c>
      <c r="C226" s="828" t="s">
        <v>1292</v>
      </c>
      <c r="D226" s="828" t="s">
        <v>1293</v>
      </c>
      <c r="E226" s="828" t="s">
        <v>800</v>
      </c>
      <c r="F226" s="828" t="s">
        <v>1097</v>
      </c>
      <c r="G226" s="828" t="s">
        <v>1264</v>
      </c>
      <c r="H226" s="828" t="n">
        <v>55359</v>
      </c>
      <c r="I226" s="828" t="s">
        <v>1290</v>
      </c>
      <c r="J226" s="828" t="n">
        <v>53</v>
      </c>
    </row>
    <row r="227" customFormat="false" ht="14.45" hidden="false" customHeight="false" outlineLevel="0" collapsed="false">
      <c r="A227" s="828" t="s">
        <v>1107</v>
      </c>
      <c r="B227" s="828" t="s">
        <v>1294</v>
      </c>
      <c r="C227" s="828" t="s">
        <v>1295</v>
      </c>
      <c r="D227" s="828" t="s">
        <v>1293</v>
      </c>
      <c r="E227" s="828" t="s">
        <v>800</v>
      </c>
      <c r="F227" s="828" t="s">
        <v>1097</v>
      </c>
      <c r="G227" s="828" t="s">
        <v>1264</v>
      </c>
      <c r="H227" s="828" t="n">
        <v>55360</v>
      </c>
      <c r="I227" s="828" t="s">
        <v>1290</v>
      </c>
      <c r="J227" s="828" t="n">
        <v>53</v>
      </c>
    </row>
    <row r="228" customFormat="false" ht="14.45" hidden="false" customHeight="false" outlineLevel="0" collapsed="false">
      <c r="A228" s="828" t="s">
        <v>1107</v>
      </c>
      <c r="B228" s="828" t="s">
        <v>1296</v>
      </c>
      <c r="C228" s="828" t="s">
        <v>1297</v>
      </c>
      <c r="D228" s="828" t="s">
        <v>1293</v>
      </c>
      <c r="E228" s="828" t="s">
        <v>800</v>
      </c>
      <c r="F228" s="828" t="s">
        <v>1097</v>
      </c>
      <c r="G228" s="828" t="s">
        <v>1264</v>
      </c>
      <c r="H228" s="828" t="n">
        <v>55361</v>
      </c>
      <c r="I228" s="828" t="s">
        <v>1290</v>
      </c>
      <c r="J228" s="828" t="n">
        <v>53</v>
      </c>
    </row>
    <row r="229" customFormat="false" ht="14.45" hidden="false" customHeight="false" outlineLevel="0" collapsed="false">
      <c r="A229" s="828" t="s">
        <v>978</v>
      </c>
      <c r="B229" s="828" t="s">
        <v>1298</v>
      </c>
      <c r="C229" s="828" t="s">
        <v>1299</v>
      </c>
      <c r="D229" s="828" t="s">
        <v>1300</v>
      </c>
      <c r="E229" s="828" t="s">
        <v>800</v>
      </c>
      <c r="F229" s="828" t="s">
        <v>826</v>
      </c>
      <c r="G229" s="828" t="s">
        <v>1301</v>
      </c>
      <c r="H229" s="828" t="n">
        <v>51639</v>
      </c>
      <c r="I229" s="828" t="s">
        <v>898</v>
      </c>
      <c r="J229" s="828" t="n">
        <v>78</v>
      </c>
    </row>
    <row r="230" customFormat="false" ht="14.45" hidden="false" customHeight="false" outlineLevel="0" collapsed="false">
      <c r="A230" s="828" t="s">
        <v>978</v>
      </c>
      <c r="B230" s="828" t="s">
        <v>1302</v>
      </c>
      <c r="C230" s="828" t="s">
        <v>1160</v>
      </c>
      <c r="D230" s="828" t="s">
        <v>1300</v>
      </c>
      <c r="E230" s="828" t="s">
        <v>800</v>
      </c>
      <c r="F230" s="828" t="s">
        <v>826</v>
      </c>
      <c r="G230" s="828" t="s">
        <v>1301</v>
      </c>
      <c r="H230" s="828" t="n">
        <v>51699</v>
      </c>
      <c r="I230" s="828" t="s">
        <v>898</v>
      </c>
      <c r="J230" s="828" t="n">
        <v>78</v>
      </c>
    </row>
    <row r="231" customFormat="false" ht="14.45" hidden="false" customHeight="false" outlineLevel="0" collapsed="false">
      <c r="A231" s="828" t="s">
        <v>978</v>
      </c>
      <c r="B231" s="828" t="s">
        <v>1303</v>
      </c>
      <c r="C231" s="828" t="s">
        <v>1002</v>
      </c>
      <c r="D231" s="828" t="s">
        <v>1300</v>
      </c>
      <c r="E231" s="828" t="s">
        <v>800</v>
      </c>
      <c r="F231" s="828" t="s">
        <v>826</v>
      </c>
      <c r="G231" s="828" t="s">
        <v>1301</v>
      </c>
      <c r="H231" s="828" t="n">
        <v>51700</v>
      </c>
      <c r="I231" s="828" t="s">
        <v>898</v>
      </c>
      <c r="J231" s="828" t="n">
        <v>78</v>
      </c>
    </row>
    <row r="232" customFormat="false" ht="14.45" hidden="false" customHeight="false" outlineLevel="0" collapsed="false">
      <c r="A232" s="828" t="s">
        <v>978</v>
      </c>
      <c r="B232" s="828" t="s">
        <v>1304</v>
      </c>
      <c r="C232" s="828" t="s">
        <v>1305</v>
      </c>
      <c r="D232" s="828" t="s">
        <v>1300</v>
      </c>
      <c r="E232" s="828" t="s">
        <v>800</v>
      </c>
      <c r="F232" s="828" t="s">
        <v>826</v>
      </c>
      <c r="G232" s="828" t="s">
        <v>1301</v>
      </c>
      <c r="H232" s="828" t="n">
        <v>51637</v>
      </c>
      <c r="I232" s="828" t="s">
        <v>898</v>
      </c>
      <c r="J232" s="828" t="n">
        <v>78</v>
      </c>
    </row>
    <row r="233" customFormat="false" ht="14.45" hidden="false" customHeight="false" outlineLevel="0" collapsed="false">
      <c r="A233" s="828" t="s">
        <v>978</v>
      </c>
      <c r="B233" s="828" t="s">
        <v>1306</v>
      </c>
      <c r="C233" s="828" t="s">
        <v>1167</v>
      </c>
      <c r="D233" s="828" t="s">
        <v>1300</v>
      </c>
      <c r="E233" s="828" t="s">
        <v>800</v>
      </c>
      <c r="F233" s="828" t="s">
        <v>826</v>
      </c>
      <c r="G233" s="828" t="s">
        <v>1301</v>
      </c>
      <c r="H233" s="828" t="n">
        <v>51636</v>
      </c>
      <c r="I233" s="828" t="s">
        <v>898</v>
      </c>
      <c r="J233" s="828" t="n">
        <v>78</v>
      </c>
    </row>
    <row r="234" customFormat="false" ht="14.45" hidden="false" customHeight="false" outlineLevel="0" collapsed="false">
      <c r="A234" s="828" t="s">
        <v>978</v>
      </c>
      <c r="B234" s="828" t="s">
        <v>1307</v>
      </c>
      <c r="C234" s="828" t="s">
        <v>1308</v>
      </c>
      <c r="E234" s="828" t="s">
        <v>800</v>
      </c>
      <c r="F234" s="828" t="s">
        <v>801</v>
      </c>
      <c r="G234" s="828" t="s">
        <v>1301</v>
      </c>
      <c r="H234" s="828" t="n">
        <v>51635</v>
      </c>
      <c r="I234" s="828" t="s">
        <v>1309</v>
      </c>
      <c r="J234" s="828" t="n">
        <v>78</v>
      </c>
    </row>
    <row r="235" customFormat="false" ht="14.45" hidden="false" customHeight="false" outlineLevel="0" collapsed="false">
      <c r="A235" s="828" t="s">
        <v>978</v>
      </c>
      <c r="B235" s="828" t="s">
        <v>1310</v>
      </c>
      <c r="C235" s="828" t="s">
        <v>1164</v>
      </c>
      <c r="D235" s="828" t="s">
        <v>1300</v>
      </c>
      <c r="E235" s="828" t="s">
        <v>800</v>
      </c>
      <c r="F235" s="828" t="s">
        <v>826</v>
      </c>
      <c r="G235" s="828" t="s">
        <v>1301</v>
      </c>
      <c r="H235" s="828" t="n">
        <v>51634</v>
      </c>
      <c r="I235" s="828" t="s">
        <v>898</v>
      </c>
      <c r="J235" s="828" t="n">
        <v>78</v>
      </c>
    </row>
    <row r="236" customFormat="false" ht="14.45" hidden="false" customHeight="false" outlineLevel="0" collapsed="false">
      <c r="A236" s="828" t="s">
        <v>978</v>
      </c>
      <c r="B236" s="828" t="s">
        <v>1311</v>
      </c>
      <c r="C236" s="828" t="s">
        <v>1312</v>
      </c>
      <c r="E236" s="828" t="s">
        <v>800</v>
      </c>
      <c r="F236" s="828" t="s">
        <v>801</v>
      </c>
      <c r="G236" s="828" t="s">
        <v>1301</v>
      </c>
      <c r="H236" s="828" t="n">
        <v>51633</v>
      </c>
      <c r="I236" s="828" t="s">
        <v>1313</v>
      </c>
      <c r="J236" s="828" t="n">
        <v>78</v>
      </c>
    </row>
    <row r="237" customFormat="false" ht="14.45" hidden="false" customHeight="false" outlineLevel="0" collapsed="false">
      <c r="A237" s="828" t="s">
        <v>978</v>
      </c>
      <c r="B237" s="828" t="s">
        <v>1314</v>
      </c>
      <c r="C237" s="828" t="s">
        <v>936</v>
      </c>
      <c r="D237" s="828" t="s">
        <v>1300</v>
      </c>
      <c r="E237" s="828" t="s">
        <v>800</v>
      </c>
      <c r="F237" s="828" t="s">
        <v>826</v>
      </c>
      <c r="G237" s="828" t="s">
        <v>1301</v>
      </c>
      <c r="H237" s="828" t="n">
        <v>51638</v>
      </c>
      <c r="I237" s="828" t="s">
        <v>898</v>
      </c>
      <c r="J237" s="828" t="n">
        <v>78</v>
      </c>
    </row>
    <row r="238" customFormat="false" ht="14.45" hidden="false" customHeight="false" outlineLevel="0" collapsed="false">
      <c r="A238" s="828" t="s">
        <v>978</v>
      </c>
      <c r="B238" s="828" t="s">
        <v>1315</v>
      </c>
      <c r="C238" s="828" t="s">
        <v>931</v>
      </c>
      <c r="D238" s="828" t="s">
        <v>1300</v>
      </c>
      <c r="E238" s="828" t="s">
        <v>800</v>
      </c>
      <c r="F238" s="828" t="s">
        <v>826</v>
      </c>
      <c r="G238" s="828" t="s">
        <v>1301</v>
      </c>
      <c r="H238" s="828" t="n">
        <v>51802</v>
      </c>
      <c r="I238" s="828" t="s">
        <v>898</v>
      </c>
      <c r="J238" s="828" t="n">
        <v>78</v>
      </c>
    </row>
    <row r="239" customFormat="false" ht="14.45" hidden="false" customHeight="false" outlineLevel="0" collapsed="false">
      <c r="A239" s="828" t="s">
        <v>851</v>
      </c>
      <c r="B239" s="828" t="s">
        <v>1316</v>
      </c>
      <c r="C239" s="828" t="s">
        <v>1317</v>
      </c>
      <c r="D239" s="828" t="s">
        <v>1055</v>
      </c>
      <c r="E239" s="828" t="s">
        <v>800</v>
      </c>
      <c r="F239" s="828" t="s">
        <v>801</v>
      </c>
      <c r="G239" s="828" t="s">
        <v>1318</v>
      </c>
      <c r="H239" s="828" t="n">
        <v>51369</v>
      </c>
      <c r="I239" s="828" t="s">
        <v>1319</v>
      </c>
      <c r="J239" s="828" t="n">
        <v>67</v>
      </c>
      <c r="K239" s="833" t="s">
        <v>1320</v>
      </c>
    </row>
    <row r="240" customFormat="false" ht="14.45" hidden="false" customHeight="false" outlineLevel="0" collapsed="false">
      <c r="A240" s="828" t="s">
        <v>851</v>
      </c>
      <c r="B240" s="828" t="s">
        <v>1321</v>
      </c>
      <c r="C240" s="828" t="s">
        <v>1322</v>
      </c>
      <c r="D240" s="828" t="s">
        <v>1055</v>
      </c>
      <c r="E240" s="828" t="s">
        <v>800</v>
      </c>
      <c r="F240" s="828" t="s">
        <v>801</v>
      </c>
      <c r="G240" s="828" t="s">
        <v>1318</v>
      </c>
      <c r="H240" s="828" t="n">
        <v>51370</v>
      </c>
      <c r="I240" s="828" t="s">
        <v>1319</v>
      </c>
      <c r="J240" s="828" t="n">
        <v>67</v>
      </c>
      <c r="K240" s="828" t="s">
        <v>968</v>
      </c>
    </row>
    <row r="241" customFormat="false" ht="14.45" hidden="false" customHeight="false" outlineLevel="0" collapsed="false">
      <c r="A241" s="828" t="s">
        <v>851</v>
      </c>
      <c r="B241" s="828" t="s">
        <v>1323</v>
      </c>
      <c r="C241" s="828" t="s">
        <v>1324</v>
      </c>
      <c r="D241" s="828" t="s">
        <v>1055</v>
      </c>
      <c r="E241" s="828" t="s">
        <v>800</v>
      </c>
      <c r="F241" s="828" t="s">
        <v>801</v>
      </c>
      <c r="G241" s="828" t="s">
        <v>1318</v>
      </c>
      <c r="H241" s="828" t="n">
        <v>51371</v>
      </c>
      <c r="I241" s="828" t="s">
        <v>1319</v>
      </c>
      <c r="J241" s="828" t="n">
        <v>67</v>
      </c>
      <c r="K241" s="828" t="s">
        <v>968</v>
      </c>
    </row>
    <row r="242" customFormat="false" ht="14.45" hidden="false" customHeight="false" outlineLevel="0" collapsed="false">
      <c r="A242" s="828" t="s">
        <v>851</v>
      </c>
      <c r="B242" s="828" t="s">
        <v>1325</v>
      </c>
      <c r="C242" s="828" t="s">
        <v>1326</v>
      </c>
      <c r="D242" s="828" t="s">
        <v>1055</v>
      </c>
      <c r="E242" s="828" t="s">
        <v>800</v>
      </c>
      <c r="F242" s="828" t="s">
        <v>801</v>
      </c>
      <c r="G242" s="828" t="s">
        <v>1318</v>
      </c>
      <c r="H242" s="828" t="n">
        <v>51372</v>
      </c>
      <c r="I242" s="828" t="s">
        <v>1327</v>
      </c>
      <c r="J242" s="828" t="n">
        <v>67</v>
      </c>
      <c r="K242" s="828" t="s">
        <v>1328</v>
      </c>
    </row>
    <row r="243" customFormat="false" ht="14.45" hidden="false" customHeight="false" outlineLevel="0" collapsed="false">
      <c r="A243" s="828" t="s">
        <v>851</v>
      </c>
      <c r="B243" s="828" t="s">
        <v>1329</v>
      </c>
      <c r="C243" s="828" t="s">
        <v>1330</v>
      </c>
      <c r="D243" s="828" t="s">
        <v>1055</v>
      </c>
      <c r="E243" s="828" t="s">
        <v>800</v>
      </c>
      <c r="F243" s="828" t="s">
        <v>801</v>
      </c>
      <c r="G243" s="828" t="s">
        <v>1318</v>
      </c>
      <c r="H243" s="828" t="n">
        <v>51374</v>
      </c>
      <c r="I243" s="828" t="s">
        <v>1331</v>
      </c>
      <c r="J243" s="828" t="n">
        <v>67</v>
      </c>
      <c r="K243" s="828" t="s">
        <v>1328</v>
      </c>
    </row>
    <row r="244" customFormat="false" ht="14.45" hidden="false" customHeight="false" outlineLevel="0" collapsed="false">
      <c r="A244" s="828" t="s">
        <v>851</v>
      </c>
      <c r="B244" s="828" t="s">
        <v>1332</v>
      </c>
      <c r="C244" s="828" t="s">
        <v>1333</v>
      </c>
      <c r="D244" s="828" t="s">
        <v>1334</v>
      </c>
      <c r="E244" s="828" t="s">
        <v>800</v>
      </c>
      <c r="F244" s="828" t="s">
        <v>1196</v>
      </c>
      <c r="G244" s="828" t="s">
        <v>1318</v>
      </c>
      <c r="H244" s="828" t="n">
        <v>51236</v>
      </c>
      <c r="I244" s="828" t="s">
        <v>861</v>
      </c>
      <c r="J244" s="828" t="n">
        <v>3</v>
      </c>
      <c r="K244" s="828" t="s">
        <v>968</v>
      </c>
    </row>
    <row r="245" customFormat="false" ht="14.45" hidden="false" customHeight="false" outlineLevel="0" collapsed="false">
      <c r="A245" s="828" t="s">
        <v>851</v>
      </c>
      <c r="B245" s="828" t="s">
        <v>1335</v>
      </c>
      <c r="C245" s="828" t="s">
        <v>1336</v>
      </c>
      <c r="D245" s="828" t="s">
        <v>1334</v>
      </c>
      <c r="E245" s="828" t="s">
        <v>800</v>
      </c>
      <c r="F245" s="828" t="s">
        <v>1196</v>
      </c>
      <c r="G245" s="828" t="s">
        <v>1318</v>
      </c>
      <c r="H245" s="828" t="n">
        <v>51237</v>
      </c>
      <c r="I245" s="828" t="s">
        <v>861</v>
      </c>
      <c r="J245" s="828" t="n">
        <v>3</v>
      </c>
      <c r="K245" s="828" t="s">
        <v>968</v>
      </c>
    </row>
    <row r="246" customFormat="false" ht="14.45" hidden="false" customHeight="false" outlineLevel="0" collapsed="false">
      <c r="A246" s="828" t="s">
        <v>851</v>
      </c>
      <c r="B246" s="828" t="s">
        <v>1337</v>
      </c>
      <c r="C246" s="828" t="s">
        <v>1338</v>
      </c>
      <c r="D246" s="828" t="s">
        <v>1334</v>
      </c>
      <c r="E246" s="828" t="s">
        <v>800</v>
      </c>
      <c r="F246" s="828" t="s">
        <v>1196</v>
      </c>
      <c r="G246" s="828" t="s">
        <v>1318</v>
      </c>
      <c r="H246" s="828" t="n">
        <v>51235</v>
      </c>
      <c r="I246" s="828" t="s">
        <v>861</v>
      </c>
      <c r="J246" s="828" t="n">
        <v>3</v>
      </c>
      <c r="K246" s="828" t="s">
        <v>968</v>
      </c>
    </row>
    <row r="247" customFormat="false" ht="14.45" hidden="false" customHeight="false" outlineLevel="0" collapsed="false">
      <c r="A247" s="828" t="s">
        <v>851</v>
      </c>
      <c r="B247" s="828" t="s">
        <v>1339</v>
      </c>
      <c r="C247" s="828" t="s">
        <v>1340</v>
      </c>
      <c r="D247" s="828" t="s">
        <v>1334</v>
      </c>
      <c r="E247" s="828" t="s">
        <v>800</v>
      </c>
      <c r="F247" s="828" t="s">
        <v>838</v>
      </c>
      <c r="G247" s="828" t="s">
        <v>1318</v>
      </c>
      <c r="H247" s="828" t="n">
        <v>51238</v>
      </c>
      <c r="J247" s="828" t="n">
        <v>3</v>
      </c>
      <c r="K247" s="828" t="s">
        <v>1341</v>
      </c>
    </row>
    <row r="248" customFormat="false" ht="14.45" hidden="false" customHeight="false" outlineLevel="0" collapsed="false">
      <c r="A248" s="828" t="s">
        <v>851</v>
      </c>
      <c r="B248" s="828" t="s">
        <v>1342</v>
      </c>
      <c r="C248" s="828" t="s">
        <v>1343</v>
      </c>
      <c r="D248" s="828" t="s">
        <v>1334</v>
      </c>
      <c r="E248" s="828" t="s">
        <v>800</v>
      </c>
      <c r="F248" s="828" t="s">
        <v>838</v>
      </c>
      <c r="G248" s="828" t="s">
        <v>1318</v>
      </c>
      <c r="H248" s="828" t="n">
        <v>51239</v>
      </c>
      <c r="J248" s="828" t="n">
        <v>3</v>
      </c>
      <c r="K248" s="828" t="s">
        <v>1341</v>
      </c>
    </row>
    <row r="249" customFormat="false" ht="14.45" hidden="false" customHeight="false" outlineLevel="0" collapsed="false">
      <c r="A249" s="828" t="s">
        <v>851</v>
      </c>
      <c r="B249" s="828" t="s">
        <v>1344</v>
      </c>
      <c r="C249" s="828" t="s">
        <v>1343</v>
      </c>
      <c r="D249" s="828" t="s">
        <v>1334</v>
      </c>
      <c r="E249" s="828" t="s">
        <v>800</v>
      </c>
      <c r="F249" s="828" t="s">
        <v>838</v>
      </c>
      <c r="G249" s="828" t="s">
        <v>1318</v>
      </c>
      <c r="H249" s="828" t="n">
        <v>51240</v>
      </c>
      <c r="J249" s="828" t="n">
        <v>3</v>
      </c>
      <c r="K249" s="828" t="s">
        <v>1341</v>
      </c>
    </row>
    <row r="250" customFormat="false" ht="14.45" hidden="false" customHeight="false" outlineLevel="0" collapsed="false">
      <c r="A250" s="828" t="s">
        <v>851</v>
      </c>
      <c r="B250" s="828" t="s">
        <v>1345</v>
      </c>
      <c r="C250" s="828" t="s">
        <v>1346</v>
      </c>
      <c r="D250" s="828" t="s">
        <v>1347</v>
      </c>
      <c r="E250" s="828" t="s">
        <v>800</v>
      </c>
      <c r="F250" s="828" t="s">
        <v>1196</v>
      </c>
      <c r="G250" s="828" t="s">
        <v>1318</v>
      </c>
      <c r="H250" s="828" t="n">
        <v>57807</v>
      </c>
      <c r="J250" s="828" t="n">
        <v>20</v>
      </c>
      <c r="K250" s="828" t="s">
        <v>968</v>
      </c>
    </row>
    <row r="251" customFormat="false" ht="14.45" hidden="false" customHeight="false" outlineLevel="0" collapsed="false">
      <c r="A251" s="828" t="s">
        <v>851</v>
      </c>
      <c r="B251" s="828" t="s">
        <v>1348</v>
      </c>
      <c r="C251" s="828" t="s">
        <v>1349</v>
      </c>
      <c r="D251" s="828" t="s">
        <v>1347</v>
      </c>
      <c r="E251" s="828" t="s">
        <v>800</v>
      </c>
      <c r="F251" s="828" t="s">
        <v>1196</v>
      </c>
      <c r="G251" s="828" t="s">
        <v>1318</v>
      </c>
      <c r="H251" s="828" t="n">
        <v>57808</v>
      </c>
      <c r="J251" s="828" t="n">
        <v>50</v>
      </c>
      <c r="K251" s="828" t="s">
        <v>968</v>
      </c>
    </row>
    <row r="252" customFormat="false" ht="14.45" hidden="false" customHeight="false" outlineLevel="0" collapsed="false">
      <c r="A252" s="828" t="s">
        <v>851</v>
      </c>
      <c r="B252" s="828" t="s">
        <v>1350</v>
      </c>
      <c r="C252" s="828" t="s">
        <v>1351</v>
      </c>
      <c r="D252" s="828" t="s">
        <v>1347</v>
      </c>
      <c r="E252" s="828" t="s">
        <v>800</v>
      </c>
      <c r="F252" s="828" t="s">
        <v>1196</v>
      </c>
      <c r="G252" s="828" t="s">
        <v>1318</v>
      </c>
      <c r="H252" s="828" t="n">
        <v>57809</v>
      </c>
      <c r="J252" s="828" t="n">
        <v>20</v>
      </c>
      <c r="K252" s="828" t="s">
        <v>968</v>
      </c>
    </row>
    <row r="253" customFormat="false" ht="14.45" hidden="false" customHeight="false" outlineLevel="0" collapsed="false">
      <c r="A253" s="828" t="s">
        <v>851</v>
      </c>
      <c r="B253" s="828" t="s">
        <v>1352</v>
      </c>
      <c r="C253" s="828" t="s">
        <v>1353</v>
      </c>
      <c r="D253" s="828" t="s">
        <v>1347</v>
      </c>
      <c r="E253" s="828" t="s">
        <v>800</v>
      </c>
      <c r="F253" s="828" t="s">
        <v>801</v>
      </c>
      <c r="G253" s="828" t="s">
        <v>1318</v>
      </c>
      <c r="H253" s="828" t="n">
        <v>51366</v>
      </c>
      <c r="I253" s="828" t="s">
        <v>866</v>
      </c>
      <c r="J253" s="828" t="n">
        <v>50</v>
      </c>
      <c r="K253" s="828" t="s">
        <v>968</v>
      </c>
    </row>
    <row r="254" customFormat="false" ht="14.45" hidden="false" customHeight="false" outlineLevel="0" collapsed="false">
      <c r="A254" s="828" t="s">
        <v>851</v>
      </c>
      <c r="B254" s="828" t="s">
        <v>1354</v>
      </c>
      <c r="C254" s="828" t="s">
        <v>1355</v>
      </c>
      <c r="D254" s="828" t="s">
        <v>1347</v>
      </c>
      <c r="E254" s="828" t="s">
        <v>800</v>
      </c>
      <c r="F254" s="828" t="s">
        <v>801</v>
      </c>
      <c r="G254" s="828" t="s">
        <v>1318</v>
      </c>
      <c r="H254" s="828" t="n">
        <v>51367</v>
      </c>
      <c r="I254" s="828" t="s">
        <v>866</v>
      </c>
      <c r="J254" s="828" t="n">
        <v>50</v>
      </c>
      <c r="K254" s="828" t="s">
        <v>968</v>
      </c>
    </row>
    <row r="255" customFormat="false" ht="14.45" hidden="false" customHeight="false" outlineLevel="0" collapsed="false">
      <c r="A255" s="828" t="s">
        <v>851</v>
      </c>
      <c r="B255" s="828" t="s">
        <v>1356</v>
      </c>
      <c r="C255" s="828" t="s">
        <v>1357</v>
      </c>
      <c r="D255" s="828" t="s">
        <v>1347</v>
      </c>
      <c r="E255" s="828" t="s">
        <v>800</v>
      </c>
      <c r="F255" s="828" t="s">
        <v>801</v>
      </c>
      <c r="G255" s="828" t="s">
        <v>1318</v>
      </c>
      <c r="H255" s="828" t="n">
        <v>51368</v>
      </c>
      <c r="I255" s="828" t="s">
        <v>866</v>
      </c>
      <c r="J255" s="828" t="n">
        <v>50</v>
      </c>
      <c r="K255" s="828" t="s">
        <v>968</v>
      </c>
    </row>
    <row r="256" customFormat="false" ht="14.45" hidden="false" customHeight="false" outlineLevel="0" collapsed="false">
      <c r="A256" s="828" t="s">
        <v>1107</v>
      </c>
      <c r="B256" s="828" t="s">
        <v>1358</v>
      </c>
      <c r="C256" s="828" t="s">
        <v>1359</v>
      </c>
      <c r="D256" s="828" t="s">
        <v>1360</v>
      </c>
      <c r="E256" s="828" t="s">
        <v>800</v>
      </c>
      <c r="F256" s="828" t="s">
        <v>838</v>
      </c>
      <c r="G256" s="828" t="s">
        <v>1361</v>
      </c>
      <c r="H256" s="828" t="n">
        <v>55189</v>
      </c>
      <c r="I256" s="828" t="s">
        <v>1362</v>
      </c>
      <c r="J256" s="828" t="n">
        <v>78</v>
      </c>
    </row>
    <row r="257" customFormat="false" ht="14.45" hidden="false" customHeight="false" outlineLevel="0" collapsed="false">
      <c r="A257" s="828" t="s">
        <v>1107</v>
      </c>
      <c r="B257" s="828" t="s">
        <v>1363</v>
      </c>
      <c r="C257" s="828" t="s">
        <v>1364</v>
      </c>
      <c r="D257" s="828" t="s">
        <v>1360</v>
      </c>
      <c r="E257" s="828" t="s">
        <v>800</v>
      </c>
      <c r="F257" s="828" t="s">
        <v>838</v>
      </c>
      <c r="G257" s="828" t="s">
        <v>1361</v>
      </c>
      <c r="H257" s="828" t="n">
        <v>55190</v>
      </c>
      <c r="I257" s="828" t="s">
        <v>1362</v>
      </c>
      <c r="J257" s="828" t="n">
        <v>78</v>
      </c>
    </row>
    <row r="258" customFormat="false" ht="14.45" hidden="false" customHeight="false" outlineLevel="0" collapsed="false">
      <c r="A258" s="828" t="s">
        <v>1107</v>
      </c>
      <c r="B258" s="828" t="s">
        <v>1365</v>
      </c>
      <c r="C258" s="828" t="s">
        <v>1366</v>
      </c>
      <c r="D258" s="828" t="s">
        <v>1360</v>
      </c>
      <c r="E258" s="828" t="s">
        <v>800</v>
      </c>
      <c r="F258" s="828" t="s">
        <v>838</v>
      </c>
      <c r="G258" s="828" t="s">
        <v>1361</v>
      </c>
      <c r="H258" s="828" t="n">
        <v>55191</v>
      </c>
      <c r="I258" s="828" t="s">
        <v>1362</v>
      </c>
      <c r="J258" s="828" t="n">
        <v>78</v>
      </c>
    </row>
    <row r="259" customFormat="false" ht="14.45" hidden="false" customHeight="false" outlineLevel="0" collapsed="false">
      <c r="A259" s="828" t="s">
        <v>1107</v>
      </c>
      <c r="B259" s="828" t="s">
        <v>1367</v>
      </c>
      <c r="C259" s="828" t="s">
        <v>1368</v>
      </c>
      <c r="D259" s="828" t="s">
        <v>1360</v>
      </c>
      <c r="E259" s="828" t="s">
        <v>800</v>
      </c>
      <c r="F259" s="828" t="s">
        <v>838</v>
      </c>
      <c r="G259" s="828" t="s">
        <v>1361</v>
      </c>
      <c r="H259" s="828" t="n">
        <v>55192</v>
      </c>
      <c r="I259" s="828" t="s">
        <v>1362</v>
      </c>
      <c r="J259" s="828" t="n">
        <v>78</v>
      </c>
    </row>
    <row r="260" customFormat="false" ht="14.45" hidden="false" customHeight="false" outlineLevel="0" collapsed="false">
      <c r="A260" s="828" t="s">
        <v>1107</v>
      </c>
      <c r="B260" s="828" t="s">
        <v>1369</v>
      </c>
      <c r="C260" s="828" t="s">
        <v>1370</v>
      </c>
      <c r="D260" s="828" t="s">
        <v>1360</v>
      </c>
      <c r="E260" s="828" t="s">
        <v>800</v>
      </c>
      <c r="F260" s="828" t="s">
        <v>838</v>
      </c>
      <c r="G260" s="828" t="s">
        <v>1361</v>
      </c>
      <c r="H260" s="828" t="n">
        <v>55193</v>
      </c>
      <c r="I260" s="828" t="s">
        <v>1362</v>
      </c>
      <c r="J260" s="828" t="n">
        <v>78</v>
      </c>
    </row>
    <row r="261" customFormat="false" ht="14.45" hidden="false" customHeight="false" outlineLevel="0" collapsed="false">
      <c r="A261" s="828" t="s">
        <v>1107</v>
      </c>
      <c r="B261" s="828" t="s">
        <v>1371</v>
      </c>
      <c r="C261" s="828" t="s">
        <v>1372</v>
      </c>
      <c r="D261" s="828" t="s">
        <v>1360</v>
      </c>
      <c r="E261" s="828" t="s">
        <v>800</v>
      </c>
      <c r="F261" s="828" t="s">
        <v>838</v>
      </c>
      <c r="G261" s="828" t="s">
        <v>1361</v>
      </c>
      <c r="H261" s="828" t="n">
        <v>55194</v>
      </c>
      <c r="I261" s="828" t="s">
        <v>1362</v>
      </c>
      <c r="J261" s="828" t="n">
        <v>78</v>
      </c>
    </row>
    <row r="262" customFormat="false" ht="14.45" hidden="false" customHeight="false" outlineLevel="0" collapsed="false">
      <c r="A262" s="828" t="s">
        <v>1107</v>
      </c>
      <c r="B262" s="828" t="s">
        <v>1373</v>
      </c>
      <c r="C262" s="828" t="s">
        <v>1374</v>
      </c>
      <c r="D262" s="828" t="s">
        <v>1360</v>
      </c>
      <c r="E262" s="828" t="s">
        <v>800</v>
      </c>
      <c r="F262" s="828" t="s">
        <v>826</v>
      </c>
      <c r="G262" s="828" t="s">
        <v>1361</v>
      </c>
      <c r="H262" s="828" t="n">
        <v>55195</v>
      </c>
      <c r="I262" s="828" t="s">
        <v>1375</v>
      </c>
      <c r="J262" s="828" t="n">
        <v>78</v>
      </c>
    </row>
    <row r="263" customFormat="false" ht="14.45" hidden="false" customHeight="false" outlineLevel="0" collapsed="false">
      <c r="A263" s="828" t="s">
        <v>1107</v>
      </c>
      <c r="B263" s="828" t="s">
        <v>1376</v>
      </c>
      <c r="C263" s="828" t="s">
        <v>1377</v>
      </c>
      <c r="D263" s="828" t="s">
        <v>1110</v>
      </c>
      <c r="E263" s="828" t="s">
        <v>800</v>
      </c>
      <c r="F263" s="828" t="s">
        <v>826</v>
      </c>
      <c r="G263" s="828" t="s">
        <v>1361</v>
      </c>
      <c r="H263" s="828" t="n">
        <v>55196</v>
      </c>
      <c r="I263" s="828" t="s">
        <v>1375</v>
      </c>
      <c r="J263" s="828" t="n">
        <v>78</v>
      </c>
    </row>
    <row r="264" customFormat="false" ht="14.45" hidden="false" customHeight="false" outlineLevel="0" collapsed="false">
      <c r="A264" s="828" t="s">
        <v>1107</v>
      </c>
      <c r="B264" s="828" t="s">
        <v>1378</v>
      </c>
      <c r="C264" s="828" t="s">
        <v>1379</v>
      </c>
      <c r="D264" s="828" t="s">
        <v>1360</v>
      </c>
      <c r="E264" s="828" t="s">
        <v>800</v>
      </c>
      <c r="F264" s="828" t="s">
        <v>826</v>
      </c>
      <c r="G264" s="828" t="s">
        <v>1361</v>
      </c>
      <c r="H264" s="828" t="n">
        <v>55197</v>
      </c>
      <c r="I264" s="828" t="s">
        <v>1375</v>
      </c>
      <c r="J264" s="828" t="n">
        <v>78</v>
      </c>
    </row>
    <row r="265" customFormat="false" ht="14.45" hidden="false" customHeight="false" outlineLevel="0" collapsed="false">
      <c r="A265" s="828" t="s">
        <v>1107</v>
      </c>
      <c r="B265" s="828" t="s">
        <v>1380</v>
      </c>
      <c r="C265" s="828" t="s">
        <v>1381</v>
      </c>
      <c r="D265" s="828" t="s">
        <v>1110</v>
      </c>
      <c r="E265" s="828" t="s">
        <v>800</v>
      </c>
      <c r="F265" s="828" t="s">
        <v>826</v>
      </c>
      <c r="G265" s="828" t="s">
        <v>1361</v>
      </c>
      <c r="H265" s="828" t="n">
        <v>55302</v>
      </c>
      <c r="I265" s="828" t="s">
        <v>1375</v>
      </c>
      <c r="J265" s="828" t="n">
        <v>78</v>
      </c>
    </row>
    <row r="266" customFormat="false" ht="14.45" hidden="false" customHeight="false" outlineLevel="0" collapsed="false">
      <c r="A266" s="828" t="s">
        <v>1107</v>
      </c>
      <c r="B266" s="828" t="s">
        <v>1382</v>
      </c>
      <c r="C266" s="828" t="s">
        <v>1383</v>
      </c>
      <c r="D266" s="828" t="s">
        <v>1110</v>
      </c>
      <c r="E266" s="828" t="s">
        <v>800</v>
      </c>
      <c r="F266" s="828" t="s">
        <v>826</v>
      </c>
      <c r="G266" s="828" t="s">
        <v>1361</v>
      </c>
      <c r="H266" s="828" t="n">
        <v>55300</v>
      </c>
      <c r="I266" s="828" t="s">
        <v>1375</v>
      </c>
      <c r="J266" s="828" t="n">
        <v>78</v>
      </c>
    </row>
    <row r="267" customFormat="false" ht="14.45" hidden="false" customHeight="false" outlineLevel="0" collapsed="false">
      <c r="A267" s="828" t="s">
        <v>1107</v>
      </c>
      <c r="B267" s="828" t="s">
        <v>1384</v>
      </c>
      <c r="C267" s="828" t="s">
        <v>1385</v>
      </c>
      <c r="D267" s="828" t="s">
        <v>1360</v>
      </c>
      <c r="E267" s="828" t="s">
        <v>800</v>
      </c>
      <c r="F267" s="828" t="s">
        <v>826</v>
      </c>
      <c r="G267" s="828" t="s">
        <v>1361</v>
      </c>
      <c r="H267" s="828" t="n">
        <v>55296</v>
      </c>
      <c r="I267" s="828" t="s">
        <v>1375</v>
      </c>
      <c r="J267" s="828" t="n">
        <v>78</v>
      </c>
    </row>
    <row r="268" customFormat="false" ht="14.45" hidden="false" customHeight="false" outlineLevel="0" collapsed="false">
      <c r="A268" s="828" t="s">
        <v>851</v>
      </c>
      <c r="B268" s="828" t="s">
        <v>1386</v>
      </c>
      <c r="C268" s="828" t="s">
        <v>1387</v>
      </c>
      <c r="D268" s="828" t="s">
        <v>1388</v>
      </c>
      <c r="E268" s="828" t="s">
        <v>800</v>
      </c>
      <c r="F268" s="828" t="s">
        <v>1196</v>
      </c>
      <c r="G268" s="828" t="s">
        <v>1389</v>
      </c>
      <c r="H268" s="828" t="n">
        <v>51061</v>
      </c>
      <c r="I268" s="828" t="s">
        <v>861</v>
      </c>
      <c r="K268" s="828" t="s">
        <v>1390</v>
      </c>
    </row>
    <row r="269" customFormat="false" ht="14.45" hidden="false" customHeight="false" outlineLevel="0" collapsed="false">
      <c r="A269" s="828" t="s">
        <v>851</v>
      </c>
      <c r="B269" s="828" t="s">
        <v>1391</v>
      </c>
      <c r="C269" s="828" t="s">
        <v>859</v>
      </c>
      <c r="D269" s="828" t="s">
        <v>1392</v>
      </c>
      <c r="E269" s="828" t="s">
        <v>800</v>
      </c>
      <c r="F269" s="828" t="s">
        <v>1196</v>
      </c>
      <c r="G269" s="828" t="s">
        <v>1389</v>
      </c>
      <c r="H269" s="828" t="n">
        <v>51062</v>
      </c>
      <c r="I269" s="828" t="s">
        <v>861</v>
      </c>
      <c r="K269" s="828" t="s">
        <v>1390</v>
      </c>
    </row>
    <row r="270" customFormat="false" ht="14.45" hidden="false" customHeight="false" outlineLevel="0" collapsed="false">
      <c r="A270" s="828" t="s">
        <v>851</v>
      </c>
      <c r="B270" s="828" t="s">
        <v>1393</v>
      </c>
      <c r="C270" s="828" t="s">
        <v>1394</v>
      </c>
      <c r="D270" s="828" t="s">
        <v>1395</v>
      </c>
      <c r="E270" s="828" t="s">
        <v>800</v>
      </c>
      <c r="F270" s="828" t="s">
        <v>801</v>
      </c>
      <c r="G270" s="828" t="s">
        <v>1389</v>
      </c>
      <c r="H270" s="828" t="n">
        <v>62309</v>
      </c>
      <c r="I270" s="828" t="s">
        <v>1396</v>
      </c>
      <c r="J270" s="828" t="n">
        <v>83</v>
      </c>
    </row>
    <row r="271" customFormat="false" ht="14.45" hidden="false" customHeight="false" outlineLevel="0" collapsed="false">
      <c r="A271" s="828" t="s">
        <v>851</v>
      </c>
      <c r="B271" s="828" t="s">
        <v>1397</v>
      </c>
      <c r="C271" s="828" t="s">
        <v>1398</v>
      </c>
      <c r="D271" s="828" t="s">
        <v>1395</v>
      </c>
      <c r="E271" s="828" t="s">
        <v>800</v>
      </c>
      <c r="F271" s="828" t="s">
        <v>801</v>
      </c>
      <c r="G271" s="828" t="s">
        <v>1389</v>
      </c>
      <c r="H271" s="828" t="n">
        <v>62310</v>
      </c>
      <c r="I271" s="828" t="s">
        <v>1396</v>
      </c>
      <c r="J271" s="828" t="n">
        <v>83</v>
      </c>
    </row>
    <row r="272" customFormat="false" ht="14.45" hidden="false" customHeight="false" outlineLevel="0" collapsed="false">
      <c r="A272" s="828" t="s">
        <v>851</v>
      </c>
      <c r="B272" s="828" t="s">
        <v>1399</v>
      </c>
      <c r="C272" s="828" t="s">
        <v>1400</v>
      </c>
      <c r="D272" s="828" t="s">
        <v>1395</v>
      </c>
      <c r="E272" s="828" t="s">
        <v>800</v>
      </c>
      <c r="F272" s="828" t="s">
        <v>801</v>
      </c>
      <c r="G272" s="828" t="s">
        <v>1389</v>
      </c>
      <c r="H272" s="828" t="n">
        <v>62306</v>
      </c>
      <c r="I272" s="828" t="s">
        <v>1401</v>
      </c>
      <c r="J272" s="828" t="n">
        <v>83</v>
      </c>
    </row>
    <row r="273" customFormat="false" ht="14.45" hidden="false" customHeight="false" outlineLevel="0" collapsed="false">
      <c r="A273" s="828" t="s">
        <v>851</v>
      </c>
      <c r="B273" s="828" t="s">
        <v>1402</v>
      </c>
      <c r="C273" s="828" t="s">
        <v>1403</v>
      </c>
      <c r="D273" s="828" t="s">
        <v>1395</v>
      </c>
      <c r="E273" s="828" t="s">
        <v>800</v>
      </c>
      <c r="F273" s="828" t="s">
        <v>801</v>
      </c>
      <c r="G273" s="828" t="s">
        <v>1389</v>
      </c>
      <c r="H273" s="828" t="n">
        <v>62307</v>
      </c>
      <c r="I273" s="828" t="s">
        <v>1404</v>
      </c>
      <c r="J273" s="828" t="n">
        <v>83</v>
      </c>
    </row>
    <row r="274" customFormat="false" ht="14.45" hidden="false" customHeight="false" outlineLevel="0" collapsed="false">
      <c r="A274" s="828" t="s">
        <v>851</v>
      </c>
      <c r="B274" s="828" t="s">
        <v>1405</v>
      </c>
      <c r="C274" s="828" t="s">
        <v>1406</v>
      </c>
      <c r="D274" s="828" t="s">
        <v>1395</v>
      </c>
      <c r="E274" s="828" t="s">
        <v>800</v>
      </c>
      <c r="F274" s="828" t="s">
        <v>801</v>
      </c>
      <c r="G274" s="828" t="s">
        <v>1389</v>
      </c>
      <c r="H274" s="828" t="n">
        <v>62308</v>
      </c>
      <c r="I274" s="828" t="s">
        <v>1404</v>
      </c>
      <c r="J274" s="828" t="n">
        <v>83</v>
      </c>
    </row>
    <row r="275" customFormat="false" ht="14.45" hidden="false" customHeight="false" outlineLevel="0" collapsed="false">
      <c r="A275" s="828" t="s">
        <v>964</v>
      </c>
      <c r="B275" s="828" t="s">
        <v>1407</v>
      </c>
      <c r="C275" s="828" t="s">
        <v>865</v>
      </c>
      <c r="D275" s="828" t="s">
        <v>799</v>
      </c>
      <c r="E275" s="828" t="s">
        <v>800</v>
      </c>
      <c r="F275" s="828" t="s">
        <v>801</v>
      </c>
      <c r="G275" s="828" t="s">
        <v>1408</v>
      </c>
      <c r="H275" s="828" t="n">
        <v>52467</v>
      </c>
      <c r="I275" s="828" t="s">
        <v>967</v>
      </c>
      <c r="J275" s="828" t="n">
        <v>80</v>
      </c>
      <c r="K275" s="828" t="s">
        <v>968</v>
      </c>
    </row>
    <row r="276" customFormat="false" ht="14.45" hidden="false" customHeight="false" outlineLevel="0" collapsed="false">
      <c r="A276" s="828" t="s">
        <v>964</v>
      </c>
      <c r="B276" s="828" t="s">
        <v>1409</v>
      </c>
      <c r="C276" s="828" t="s">
        <v>1410</v>
      </c>
      <c r="D276" s="828" t="s">
        <v>799</v>
      </c>
      <c r="E276" s="828" t="s">
        <v>800</v>
      </c>
      <c r="F276" s="828" t="s">
        <v>801</v>
      </c>
      <c r="G276" s="828" t="s">
        <v>1408</v>
      </c>
      <c r="H276" s="828" t="n">
        <v>52468</v>
      </c>
      <c r="I276" s="828" t="s">
        <v>967</v>
      </c>
      <c r="J276" s="828" t="n">
        <v>80</v>
      </c>
      <c r="K276" s="828" t="s">
        <v>968</v>
      </c>
    </row>
    <row r="277" customFormat="false" ht="14.45" hidden="false" customHeight="false" outlineLevel="0" collapsed="false">
      <c r="A277" s="828" t="s">
        <v>964</v>
      </c>
      <c r="B277" s="828" t="s">
        <v>1411</v>
      </c>
      <c r="C277" s="828" t="s">
        <v>1412</v>
      </c>
      <c r="D277" s="828" t="s">
        <v>799</v>
      </c>
      <c r="E277" s="828" t="s">
        <v>800</v>
      </c>
      <c r="F277" s="828" t="s">
        <v>801</v>
      </c>
      <c r="G277" s="828" t="s">
        <v>1408</v>
      </c>
      <c r="H277" s="828" t="n">
        <v>52469</v>
      </c>
      <c r="I277" s="828" t="s">
        <v>967</v>
      </c>
      <c r="J277" s="828" t="n">
        <v>80</v>
      </c>
      <c r="K277" s="828" t="s">
        <v>968</v>
      </c>
    </row>
    <row r="278" customFormat="false" ht="14.45" hidden="false" customHeight="false" outlineLevel="0" collapsed="false">
      <c r="A278" s="828" t="s">
        <v>964</v>
      </c>
      <c r="B278" s="828" t="s">
        <v>1413</v>
      </c>
      <c r="C278" s="828" t="s">
        <v>1414</v>
      </c>
      <c r="D278" s="828" t="s">
        <v>799</v>
      </c>
      <c r="E278" s="828" t="s">
        <v>800</v>
      </c>
      <c r="F278" s="828" t="s">
        <v>801</v>
      </c>
      <c r="G278" s="828" t="s">
        <v>1408</v>
      </c>
      <c r="H278" s="828" t="n">
        <v>52470</v>
      </c>
      <c r="I278" s="828" t="s">
        <v>967</v>
      </c>
      <c r="J278" s="828" t="n">
        <v>80</v>
      </c>
      <c r="K278" s="828" t="s">
        <v>968</v>
      </c>
    </row>
    <row r="279" customFormat="false" ht="14.45" hidden="false" customHeight="false" outlineLevel="0" collapsed="false">
      <c r="A279" s="828" t="s">
        <v>964</v>
      </c>
      <c r="B279" s="828" t="s">
        <v>1415</v>
      </c>
      <c r="C279" s="828" t="s">
        <v>1416</v>
      </c>
      <c r="D279" s="828" t="s">
        <v>799</v>
      </c>
      <c r="E279" s="828" t="s">
        <v>800</v>
      </c>
      <c r="F279" s="828" t="s">
        <v>801</v>
      </c>
      <c r="G279" s="828" t="s">
        <v>1408</v>
      </c>
      <c r="H279" s="828" t="n">
        <v>52471</v>
      </c>
      <c r="I279" s="828" t="s">
        <v>967</v>
      </c>
      <c r="J279" s="828" t="n">
        <v>80</v>
      </c>
      <c r="K279" s="828" t="s">
        <v>968</v>
      </c>
    </row>
    <row r="280" customFormat="false" ht="14.45" hidden="false" customHeight="false" outlineLevel="0" collapsed="false">
      <c r="A280" s="828" t="s">
        <v>964</v>
      </c>
      <c r="B280" s="828" t="s">
        <v>1417</v>
      </c>
      <c r="C280" s="828" t="s">
        <v>1418</v>
      </c>
      <c r="D280" s="828" t="s">
        <v>799</v>
      </c>
      <c r="E280" s="828" t="s">
        <v>800</v>
      </c>
      <c r="F280" s="828" t="s">
        <v>801</v>
      </c>
      <c r="G280" s="828" t="s">
        <v>1408</v>
      </c>
      <c r="H280" s="828" t="n">
        <v>52472</v>
      </c>
      <c r="I280" s="828" t="s">
        <v>967</v>
      </c>
      <c r="J280" s="828" t="n">
        <v>80</v>
      </c>
      <c r="K280" s="828" t="s">
        <v>968</v>
      </c>
    </row>
    <row r="281" customFormat="false" ht="14.45" hidden="false" customHeight="false" outlineLevel="0" collapsed="false">
      <c r="A281" s="828" t="s">
        <v>823</v>
      </c>
      <c r="B281" s="828" t="n">
        <v>21761</v>
      </c>
      <c r="C281" s="828" t="s">
        <v>836</v>
      </c>
      <c r="D281" s="828" t="s">
        <v>837</v>
      </c>
      <c r="E281" s="828" t="s">
        <v>800</v>
      </c>
      <c r="F281" s="828" t="s">
        <v>838</v>
      </c>
      <c r="G281" s="828" t="s">
        <v>1419</v>
      </c>
      <c r="H281" s="828" t="n">
        <v>55822</v>
      </c>
      <c r="I281" s="828" t="s">
        <v>839</v>
      </c>
      <c r="J281" s="828" t="n">
        <v>78</v>
      </c>
    </row>
    <row r="282" customFormat="false" ht="14.45" hidden="false" customHeight="false" outlineLevel="0" collapsed="false">
      <c r="A282" s="828" t="s">
        <v>823</v>
      </c>
      <c r="B282" s="828" t="n">
        <v>21762</v>
      </c>
      <c r="C282" s="828" t="s">
        <v>840</v>
      </c>
      <c r="D282" s="828" t="s">
        <v>837</v>
      </c>
      <c r="E282" s="828" t="s">
        <v>800</v>
      </c>
      <c r="F282" s="828" t="s">
        <v>801</v>
      </c>
      <c r="G282" s="828" t="s">
        <v>1419</v>
      </c>
      <c r="H282" s="828" t="n">
        <v>54941</v>
      </c>
      <c r="I282" s="828" t="s">
        <v>1420</v>
      </c>
      <c r="J282" s="828" t="n">
        <v>55</v>
      </c>
    </row>
    <row r="283" customFormat="false" ht="14.45" hidden="false" customHeight="false" outlineLevel="0" collapsed="false">
      <c r="A283" s="828" t="s">
        <v>823</v>
      </c>
      <c r="B283" s="828" t="n">
        <v>21763</v>
      </c>
      <c r="C283" s="828" t="s">
        <v>841</v>
      </c>
      <c r="D283" s="828" t="s">
        <v>837</v>
      </c>
      <c r="E283" s="828" t="s">
        <v>800</v>
      </c>
      <c r="F283" s="828" t="s">
        <v>801</v>
      </c>
      <c r="G283" s="828" t="s">
        <v>1419</v>
      </c>
      <c r="H283" s="828" t="n">
        <v>54942</v>
      </c>
      <c r="I283" s="828" t="s">
        <v>1421</v>
      </c>
      <c r="J283" s="828" t="n">
        <v>55</v>
      </c>
    </row>
    <row r="284" customFormat="false" ht="14.45" hidden="false" customHeight="false" outlineLevel="0" collapsed="false">
      <c r="A284" s="828" t="s">
        <v>823</v>
      </c>
      <c r="B284" s="828" t="n">
        <v>21764</v>
      </c>
      <c r="C284" s="828" t="s">
        <v>842</v>
      </c>
      <c r="D284" s="828" t="s">
        <v>837</v>
      </c>
      <c r="E284" s="828" t="s">
        <v>800</v>
      </c>
      <c r="F284" s="828" t="s">
        <v>838</v>
      </c>
      <c r="G284" s="828" t="s">
        <v>1419</v>
      </c>
      <c r="H284" s="828" t="n">
        <v>54943</v>
      </c>
      <c r="I284" s="828" t="s">
        <v>839</v>
      </c>
      <c r="J284" s="828" t="n">
        <v>78</v>
      </c>
    </row>
    <row r="285" customFormat="false" ht="14.45" hidden="false" customHeight="false" outlineLevel="0" collapsed="false">
      <c r="A285" s="828" t="s">
        <v>823</v>
      </c>
      <c r="B285" s="828" t="n">
        <v>21777</v>
      </c>
      <c r="C285" s="828" t="s">
        <v>824</v>
      </c>
      <c r="D285" s="828" t="s">
        <v>932</v>
      </c>
      <c r="E285" s="828" t="s">
        <v>800</v>
      </c>
      <c r="F285" s="828" t="s">
        <v>826</v>
      </c>
      <c r="G285" s="828" t="s">
        <v>1419</v>
      </c>
      <c r="H285" s="828" t="n">
        <v>54939</v>
      </c>
      <c r="I285" s="828" t="s">
        <v>1422</v>
      </c>
      <c r="J285" s="828" t="n">
        <v>78</v>
      </c>
    </row>
    <row r="286" customFormat="false" ht="14.45" hidden="false" customHeight="false" outlineLevel="0" collapsed="false">
      <c r="A286" s="828" t="s">
        <v>823</v>
      </c>
      <c r="B286" s="828" t="n">
        <v>21778</v>
      </c>
      <c r="C286" s="828" t="s">
        <v>831</v>
      </c>
      <c r="D286" s="828" t="s">
        <v>932</v>
      </c>
      <c r="E286" s="828" t="s">
        <v>800</v>
      </c>
      <c r="F286" s="828" t="s">
        <v>826</v>
      </c>
      <c r="G286" s="828" t="s">
        <v>1419</v>
      </c>
      <c r="H286" s="828" t="n">
        <v>54940</v>
      </c>
      <c r="I286" s="828" t="s">
        <v>1422</v>
      </c>
      <c r="J286" s="828" t="n">
        <v>78</v>
      </c>
    </row>
    <row r="287" customFormat="false" ht="14.45" hidden="false" customHeight="false" outlineLevel="0" collapsed="false">
      <c r="A287" s="828" t="s">
        <v>823</v>
      </c>
      <c r="B287" s="828" t="n">
        <v>110005</v>
      </c>
      <c r="C287" s="828" t="s">
        <v>845</v>
      </c>
      <c r="D287" s="828" t="s">
        <v>837</v>
      </c>
      <c r="E287" s="828" t="s">
        <v>800</v>
      </c>
      <c r="F287" s="828" t="s">
        <v>801</v>
      </c>
      <c r="G287" s="828" t="s">
        <v>1419</v>
      </c>
      <c r="H287" s="828" t="n">
        <v>55850</v>
      </c>
      <c r="I287" s="828" t="s">
        <v>1423</v>
      </c>
      <c r="J287" s="828" t="n">
        <v>81</v>
      </c>
    </row>
    <row r="288" customFormat="false" ht="14.45" hidden="false" customHeight="false" outlineLevel="0" collapsed="false">
      <c r="A288" s="828" t="s">
        <v>823</v>
      </c>
      <c r="B288" s="828" t="n">
        <v>110006</v>
      </c>
      <c r="C288" s="828" t="s">
        <v>846</v>
      </c>
      <c r="D288" s="828" t="s">
        <v>837</v>
      </c>
      <c r="E288" s="828" t="s">
        <v>800</v>
      </c>
      <c r="F288" s="828" t="s">
        <v>801</v>
      </c>
      <c r="G288" s="828" t="s">
        <v>1419</v>
      </c>
      <c r="H288" s="828" t="n">
        <v>55851</v>
      </c>
      <c r="I288" s="828" t="s">
        <v>1424</v>
      </c>
      <c r="J288" s="828" t="n">
        <v>81</v>
      </c>
    </row>
    <row r="289" customFormat="false" ht="14.45" hidden="false" customHeight="false" outlineLevel="0" collapsed="false">
      <c r="A289" s="828" t="s">
        <v>823</v>
      </c>
      <c r="B289" s="828" t="n">
        <v>120001</v>
      </c>
      <c r="C289" s="828" t="s">
        <v>836</v>
      </c>
      <c r="D289" s="828" t="s">
        <v>1425</v>
      </c>
      <c r="E289" s="828" t="s">
        <v>800</v>
      </c>
      <c r="F289" s="828" t="s">
        <v>801</v>
      </c>
      <c r="G289" s="828" t="s">
        <v>1426</v>
      </c>
      <c r="H289" s="828" t="n">
        <v>52048</v>
      </c>
      <c r="I289" s="828" t="s">
        <v>1427</v>
      </c>
      <c r="J289" s="828" t="n">
        <v>18</v>
      </c>
      <c r="K289" s="828" t="s">
        <v>1428</v>
      </c>
    </row>
    <row r="290" customFormat="false" ht="14.45" hidden="false" customHeight="false" outlineLevel="0" collapsed="false">
      <c r="A290" s="828" t="s">
        <v>823</v>
      </c>
      <c r="B290" s="828" t="n">
        <v>120002</v>
      </c>
      <c r="C290" s="828" t="s">
        <v>840</v>
      </c>
      <c r="D290" s="828" t="s">
        <v>1425</v>
      </c>
      <c r="E290" s="828" t="s">
        <v>800</v>
      </c>
      <c r="F290" s="828" t="s">
        <v>801</v>
      </c>
      <c r="G290" s="828" t="s">
        <v>1426</v>
      </c>
      <c r="H290" s="828" t="n">
        <v>52049</v>
      </c>
      <c r="I290" s="828" t="s">
        <v>1427</v>
      </c>
      <c r="J290" s="828" t="n">
        <v>18</v>
      </c>
      <c r="K290" s="828" t="s">
        <v>1428</v>
      </c>
    </row>
    <row r="291" customFormat="false" ht="14.45" hidden="false" customHeight="false" outlineLevel="0" collapsed="false">
      <c r="A291" s="828" t="s">
        <v>978</v>
      </c>
      <c r="B291" s="828" t="s">
        <v>1429</v>
      </c>
      <c r="C291" s="828" t="s">
        <v>1430</v>
      </c>
      <c r="E291" s="828" t="s">
        <v>800</v>
      </c>
      <c r="F291" s="828" t="s">
        <v>801</v>
      </c>
      <c r="G291" s="828" t="s">
        <v>1431</v>
      </c>
      <c r="H291" s="828" t="n">
        <v>54494</v>
      </c>
      <c r="I291" s="828" t="s">
        <v>1432</v>
      </c>
      <c r="J291" s="828" t="n">
        <v>60</v>
      </c>
    </row>
    <row r="292" customFormat="false" ht="14.45" hidden="false" customHeight="false" outlineLevel="0" collapsed="false">
      <c r="A292" s="828" t="s">
        <v>978</v>
      </c>
      <c r="B292" s="828" t="s">
        <v>1433</v>
      </c>
      <c r="C292" s="828" t="s">
        <v>1434</v>
      </c>
      <c r="E292" s="828" t="s">
        <v>800</v>
      </c>
      <c r="F292" s="828" t="s">
        <v>801</v>
      </c>
      <c r="G292" s="828" t="s">
        <v>1431</v>
      </c>
      <c r="H292" s="828" t="n">
        <v>54495</v>
      </c>
      <c r="I292" s="828" t="s">
        <v>1432</v>
      </c>
      <c r="J292" s="828" t="n">
        <v>60</v>
      </c>
    </row>
    <row r="293" customFormat="false" ht="14.45" hidden="false" customHeight="false" outlineLevel="0" collapsed="false">
      <c r="A293" s="828" t="s">
        <v>978</v>
      </c>
      <c r="B293" s="828" t="s">
        <v>1435</v>
      </c>
      <c r="C293" s="828" t="s">
        <v>1436</v>
      </c>
      <c r="E293" s="828" t="s">
        <v>800</v>
      </c>
      <c r="F293" s="828" t="s">
        <v>801</v>
      </c>
      <c r="G293" s="828" t="s">
        <v>1431</v>
      </c>
      <c r="H293" s="828" t="n">
        <v>54496</v>
      </c>
      <c r="I293" s="828" t="s">
        <v>1432</v>
      </c>
      <c r="J293" s="828" t="n">
        <v>60</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U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5" activeCellId="0" sqref="J15"/>
    </sheetView>
  </sheetViews>
  <sheetFormatPr defaultColWidth="8.66796875" defaultRowHeight="10.15" zeroHeight="false" outlineLevelRow="0" outlineLevelCol="0"/>
  <cols>
    <col collapsed="false" customWidth="true" hidden="false" outlineLevel="0" max="1" min="1" style="834" width="11.66"/>
    <col collapsed="false" customWidth="true" hidden="false" outlineLevel="0" max="2" min="2" style="834" width="20"/>
    <col collapsed="false" customWidth="true" hidden="false" outlineLevel="0" max="3" min="3" style="834" width="21.66"/>
    <col collapsed="false" customWidth="true" hidden="false" outlineLevel="0" max="12" min="4" style="834" width="4.66"/>
    <col collapsed="false" customWidth="true" hidden="false" outlineLevel="0" max="15" min="13" style="834" width="5.17"/>
    <col collapsed="false" customWidth="true" hidden="false" outlineLevel="0" max="17" min="16" style="834" width="4.66"/>
    <col collapsed="false" customWidth="true" hidden="false" outlineLevel="0" max="18" min="18" style="834" width="24.17"/>
    <col collapsed="false" customWidth="true" hidden="false" outlineLevel="0" max="19" min="19" style="834" width="24.66"/>
    <col collapsed="false" customWidth="true" hidden="false" outlineLevel="0" max="20" min="20" style="834" width="2"/>
    <col collapsed="false" customWidth="true" hidden="false" outlineLevel="0" max="21" min="21" style="834" width="65.5"/>
    <col collapsed="false" customWidth="true" hidden="false" outlineLevel="0" max="23" min="22" style="834" width="2"/>
    <col collapsed="false" customWidth="true" hidden="false" outlineLevel="0" max="24" min="24" style="834" width="1.66"/>
    <col collapsed="false" customWidth="true" hidden="false" outlineLevel="0" max="29" min="25" style="834" width="2"/>
    <col collapsed="false" customWidth="true" hidden="false" outlineLevel="0" max="34" min="30" style="834" width="4.17"/>
    <col collapsed="false" customWidth="false" hidden="false" outlineLevel="0" max="1024" min="35" style="834" width="8.66"/>
  </cols>
  <sheetData>
    <row r="3" customFormat="false" ht="10.15" hidden="false" customHeight="false" outlineLevel="0" collapsed="false">
      <c r="A3" s="834" t="s">
        <v>1437</v>
      </c>
      <c r="B3" s="834" t="s">
        <v>1438</v>
      </c>
      <c r="C3" s="835" t="s">
        <v>524</v>
      </c>
      <c r="D3" s="835" t="s">
        <v>253</v>
      </c>
      <c r="E3" s="835" t="s">
        <v>254</v>
      </c>
      <c r="F3" s="835" t="s">
        <v>256</v>
      </c>
      <c r="G3" s="835" t="s">
        <v>259</v>
      </c>
      <c r="H3" s="835" t="s">
        <v>261</v>
      </c>
      <c r="I3" s="835" t="s">
        <v>263</v>
      </c>
      <c r="J3" s="835" t="s">
        <v>265</v>
      </c>
      <c r="K3" s="835" t="s">
        <v>266</v>
      </c>
      <c r="L3" s="835" t="s">
        <v>267</v>
      </c>
      <c r="M3" s="835" t="s">
        <v>268</v>
      </c>
      <c r="N3" s="835" t="s">
        <v>269</v>
      </c>
      <c r="O3" s="835" t="s">
        <v>270</v>
      </c>
      <c r="P3" s="835" t="s">
        <v>271</v>
      </c>
      <c r="Q3" s="835" t="s">
        <v>272</v>
      </c>
      <c r="R3" s="836" t="s">
        <v>1439</v>
      </c>
      <c r="S3" s="836" t="s">
        <v>1440</v>
      </c>
      <c r="U3" s="834" t="s">
        <v>1441</v>
      </c>
    </row>
    <row r="4" customFormat="false" ht="10.15" hidden="false" customHeight="false" outlineLevel="0" collapsed="false">
      <c r="A4" s="834" t="s">
        <v>1442</v>
      </c>
      <c r="B4" s="835" t="n">
        <v>29</v>
      </c>
      <c r="C4" s="837"/>
      <c r="D4" s="835" t="n">
        <v>0</v>
      </c>
      <c r="E4" s="835" t="n">
        <v>1</v>
      </c>
      <c r="F4" s="835"/>
      <c r="G4" s="835"/>
      <c r="H4" s="835"/>
      <c r="I4" s="835"/>
      <c r="J4" s="835" t="n">
        <v>1</v>
      </c>
      <c r="K4" s="835"/>
      <c r="L4" s="835" t="n">
        <v>1</v>
      </c>
      <c r="M4" s="835" t="n">
        <v>1</v>
      </c>
      <c r="N4" s="835"/>
      <c r="O4" s="835"/>
      <c r="R4" s="836" t="n">
        <f aca="false">PRODUCT(SUM(D4:Q4),B4)</f>
        <v>116</v>
      </c>
      <c r="S4" s="838" t="e">
        <f aca="false">R4/$U$6</f>
        <v>#REF!</v>
      </c>
      <c r="U4" s="835" t="n">
        <v>4882.5</v>
      </c>
    </row>
    <row r="5" customFormat="false" ht="10.15" hidden="false" customHeight="false" outlineLevel="0" collapsed="false">
      <c r="A5" s="834" t="s">
        <v>1443</v>
      </c>
      <c r="B5" s="835" t="n">
        <v>4</v>
      </c>
      <c r="C5" s="837"/>
      <c r="D5" s="835" t="n">
        <v>0</v>
      </c>
      <c r="E5" s="835" t="n">
        <v>0</v>
      </c>
      <c r="F5" s="835" t="n">
        <v>0</v>
      </c>
      <c r="G5" s="835"/>
      <c r="H5" s="835" t="n">
        <v>0</v>
      </c>
      <c r="I5" s="835" t="n">
        <v>0</v>
      </c>
      <c r="J5" s="835" t="n">
        <v>0</v>
      </c>
      <c r="K5" s="835"/>
      <c r="L5" s="835"/>
      <c r="M5" s="835" t="n">
        <v>0</v>
      </c>
      <c r="N5" s="835"/>
      <c r="O5" s="835"/>
      <c r="P5" s="835" t="n">
        <v>0</v>
      </c>
      <c r="Q5" s="835" t="n">
        <v>0</v>
      </c>
      <c r="R5" s="836" t="n">
        <f aca="false">PRODUCT(SUM(D5:Q5),B5)</f>
        <v>0</v>
      </c>
      <c r="S5" s="838" t="e">
        <f aca="false">R5/$U$6</f>
        <v>#REF!</v>
      </c>
      <c r="U5" s="834" t="s">
        <v>1444</v>
      </c>
    </row>
    <row r="6" customFormat="false" ht="10.15" hidden="false" customHeight="false" outlineLevel="0" collapsed="false">
      <c r="A6" s="834" t="s">
        <v>1445</v>
      </c>
      <c r="B6" s="835" t="n">
        <v>3</v>
      </c>
      <c r="C6" s="837"/>
      <c r="D6" s="835" t="n">
        <v>3</v>
      </c>
      <c r="E6" s="835" t="n">
        <v>3</v>
      </c>
      <c r="F6" s="835" t="n">
        <v>3</v>
      </c>
      <c r="G6" s="835" t="n">
        <v>7</v>
      </c>
      <c r="H6" s="835" t="n">
        <v>2</v>
      </c>
      <c r="I6" s="835" t="n">
        <v>4</v>
      </c>
      <c r="J6" s="835" t="n">
        <v>4</v>
      </c>
      <c r="K6" s="835" t="n">
        <v>5</v>
      </c>
      <c r="L6" s="835" t="n">
        <v>1</v>
      </c>
      <c r="M6" s="835" t="n">
        <v>2</v>
      </c>
      <c r="N6" s="835" t="n">
        <v>5</v>
      </c>
      <c r="O6" s="835" t="n">
        <v>8</v>
      </c>
      <c r="P6" s="835" t="n">
        <v>5</v>
      </c>
      <c r="Q6" s="835" t="n">
        <v>4</v>
      </c>
      <c r="R6" s="836" t="n">
        <f aca="false">PRODUCT(SUM(D6:Q6),B6)</f>
        <v>168</v>
      </c>
      <c r="S6" s="838" t="e">
        <f aca="false">R6/$U$6</f>
        <v>#REF!</v>
      </c>
      <c r="U6" s="835" t="e">
        <f aca="false">#REF!</f>
        <v>#REF!</v>
      </c>
    </row>
    <row r="7" customFormat="false" ht="10.15" hidden="false" customHeight="false" outlineLevel="0" collapsed="false">
      <c r="A7" s="834" t="s">
        <v>1446</v>
      </c>
      <c r="B7" s="835" t="n">
        <v>3</v>
      </c>
      <c r="C7" s="837"/>
      <c r="D7" s="835" t="n">
        <v>3</v>
      </c>
      <c r="E7" s="835" t="n">
        <v>6</v>
      </c>
      <c r="F7" s="835" t="n">
        <v>3</v>
      </c>
      <c r="G7" s="835" t="n">
        <v>7</v>
      </c>
      <c r="H7" s="835" t="n">
        <v>2</v>
      </c>
      <c r="I7" s="835" t="n">
        <v>4</v>
      </c>
      <c r="J7" s="835" t="n">
        <v>4</v>
      </c>
      <c r="K7" s="835" t="n">
        <v>4</v>
      </c>
      <c r="L7" s="835" t="n">
        <v>5</v>
      </c>
      <c r="M7" s="835" t="n">
        <v>6</v>
      </c>
      <c r="N7" s="835" t="n">
        <v>4</v>
      </c>
      <c r="O7" s="835" t="n">
        <v>4</v>
      </c>
      <c r="P7" s="835" t="n">
        <v>2</v>
      </c>
      <c r="Q7" s="835" t="n">
        <v>4</v>
      </c>
      <c r="R7" s="836" t="n">
        <f aca="false">PRODUCT(SUM(D7:Q7),B7)</f>
        <v>174</v>
      </c>
      <c r="S7" s="838" t="e">
        <f aca="false">R7/$U$6</f>
        <v>#REF!</v>
      </c>
      <c r="U7" s="834" t="s">
        <v>1447</v>
      </c>
    </row>
    <row r="8" customFormat="false" ht="10.15" hidden="false" customHeight="false" outlineLevel="0" collapsed="false">
      <c r="A8" s="834" t="s">
        <v>1448</v>
      </c>
      <c r="B8" s="835"/>
      <c r="C8" s="837"/>
      <c r="D8" s="835"/>
      <c r="E8" s="835"/>
      <c r="F8" s="835"/>
      <c r="G8" s="835"/>
      <c r="H8" s="835"/>
      <c r="I8" s="835"/>
      <c r="J8" s="835"/>
      <c r="K8" s="835"/>
      <c r="L8" s="835"/>
      <c r="M8" s="835"/>
      <c r="N8" s="835"/>
      <c r="O8" s="835"/>
      <c r="R8" s="836" t="n">
        <f aca="false">PRODUCT(SUM(D8:Q8),B8)</f>
        <v>0</v>
      </c>
      <c r="S8" s="838" t="e">
        <f aca="false">R8/$U$6</f>
        <v>#REF!</v>
      </c>
      <c r="U8" s="839" t="e">
        <f aca="false">SUM(R4:R12)/U6</f>
        <v>#REF!</v>
      </c>
    </row>
    <row r="9" customFormat="false" ht="10.15" hidden="false" customHeight="false" outlineLevel="0" collapsed="false">
      <c r="A9" s="834" t="s">
        <v>1449</v>
      </c>
      <c r="B9" s="835" t="n">
        <v>3</v>
      </c>
      <c r="C9" s="840"/>
      <c r="D9" s="841" t="n">
        <v>5</v>
      </c>
      <c r="E9" s="841" t="n">
        <v>2</v>
      </c>
      <c r="F9" s="841" t="n">
        <v>6</v>
      </c>
      <c r="G9" s="841" t="n">
        <v>4</v>
      </c>
      <c r="H9" s="841" t="n">
        <v>5</v>
      </c>
      <c r="I9" s="841" t="n">
        <v>5</v>
      </c>
      <c r="J9" s="841" t="n">
        <v>5</v>
      </c>
      <c r="K9" s="841" t="n">
        <v>4</v>
      </c>
      <c r="L9" s="841" t="n">
        <v>4</v>
      </c>
      <c r="M9" s="841" t="n">
        <v>6</v>
      </c>
      <c r="N9" s="841" t="n">
        <v>6</v>
      </c>
      <c r="O9" s="841" t="n">
        <v>7</v>
      </c>
      <c r="P9" s="841" t="n">
        <v>8</v>
      </c>
      <c r="Q9" s="841" t="n">
        <v>5</v>
      </c>
      <c r="R9" s="836" t="n">
        <f aca="false">PRODUCT(SUM(D9:Q9),B9)</f>
        <v>216</v>
      </c>
      <c r="S9" s="838" t="e">
        <f aca="false">R9/$U$6</f>
        <v>#REF!</v>
      </c>
      <c r="U9" s="834" t="s">
        <v>1450</v>
      </c>
    </row>
    <row r="10" customFormat="false" ht="10.15" hidden="false" customHeight="false" outlineLevel="0" collapsed="false">
      <c r="A10" s="834" t="s">
        <v>1451</v>
      </c>
      <c r="C10" s="837"/>
      <c r="D10" s="835"/>
      <c r="E10" s="835"/>
      <c r="F10" s="835"/>
      <c r="G10" s="835"/>
      <c r="H10" s="835"/>
      <c r="I10" s="835"/>
      <c r="J10" s="835"/>
      <c r="K10" s="835"/>
      <c r="L10" s="835"/>
      <c r="M10" s="835"/>
      <c r="N10" s="835"/>
      <c r="O10" s="835"/>
      <c r="R10" s="836" t="n">
        <f aca="false">PRODUCT(SUM(D10:Q10),B10)</f>
        <v>0</v>
      </c>
      <c r="S10" s="838" t="e">
        <f aca="false">R10/$U$6</f>
        <v>#REF!</v>
      </c>
      <c r="U10" s="585" t="n">
        <f aca="false">SUM(R4:R12)/U4</f>
        <v>0.142959549411162</v>
      </c>
    </row>
    <row r="11" customFormat="false" ht="10.15" hidden="false" customHeight="false" outlineLevel="0" collapsed="false">
      <c r="A11" s="834" t="s">
        <v>1452</v>
      </c>
      <c r="B11" s="835" t="n">
        <v>9</v>
      </c>
      <c r="C11" s="837"/>
      <c r="D11" s="835"/>
      <c r="E11" s="835"/>
      <c r="F11" s="835"/>
      <c r="G11" s="835"/>
      <c r="H11" s="835"/>
      <c r="I11" s="835"/>
      <c r="J11" s="835"/>
      <c r="K11" s="835"/>
      <c r="L11" s="835"/>
      <c r="M11" s="835"/>
      <c r="N11" s="835"/>
      <c r="O11" s="835"/>
      <c r="R11" s="836" t="n">
        <f aca="false">PRODUCT(SUM(D11:Q11),B11)</f>
        <v>0</v>
      </c>
      <c r="S11" s="838" t="e">
        <f aca="false">R11/$U$6</f>
        <v>#REF!</v>
      </c>
    </row>
    <row r="12" customFormat="false" ht="10.15" hidden="false" customHeight="false" outlineLevel="0" collapsed="false">
      <c r="A12" s="834" t="s">
        <v>1453</v>
      </c>
      <c r="B12" s="835" t="n">
        <v>3</v>
      </c>
      <c r="C12" s="837"/>
      <c r="D12" s="835"/>
      <c r="E12" s="835" t="n">
        <v>1</v>
      </c>
      <c r="F12" s="835"/>
      <c r="G12" s="835" t="n">
        <v>1</v>
      </c>
      <c r="H12" s="835"/>
      <c r="I12" s="835"/>
      <c r="J12" s="835" t="n">
        <v>1</v>
      </c>
      <c r="K12" s="835" t="n">
        <v>1</v>
      </c>
      <c r="L12" s="835" t="n">
        <v>1</v>
      </c>
      <c r="M12" s="835" t="n">
        <v>1</v>
      </c>
      <c r="N12" s="835" t="n">
        <v>1</v>
      </c>
      <c r="O12" s="835" t="n">
        <v>1</v>
      </c>
      <c r="P12" s="835"/>
      <c r="Q12" s="835"/>
      <c r="R12" s="836" t="n">
        <f aca="false">PRODUCT(SUM(D12:Q12),B12)</f>
        <v>24</v>
      </c>
      <c r="S12" s="838" t="e">
        <f aca="false">R12/$U$6</f>
        <v>#REF!</v>
      </c>
    </row>
    <row r="13" customFormat="false" ht="10.15" hidden="false" customHeight="false" outlineLevel="0" collapsed="false">
      <c r="C13" s="836" t="s">
        <v>1454</v>
      </c>
      <c r="D13" s="836" t="n">
        <f aca="false">SUMPRODUCT($B$4:$B$12*D4:D12)</f>
        <v>33</v>
      </c>
      <c r="E13" s="836" t="n">
        <f aca="false">SUMPRODUCT($B$4:$B$12*E4:E12)</f>
        <v>65</v>
      </c>
      <c r="F13" s="836" t="n">
        <f aca="false">SUMPRODUCT($B$4:$B$12*F4:F12)</f>
        <v>36</v>
      </c>
      <c r="G13" s="836" t="n">
        <f aca="false">SUMPRODUCT($B$4:$B$12*G4:G12)</f>
        <v>57</v>
      </c>
      <c r="H13" s="836" t="n">
        <f aca="false">SUMPRODUCT($B$4:$B$12*H4:H12)</f>
        <v>27</v>
      </c>
      <c r="I13" s="836" t="n">
        <f aca="false">SUMPRODUCT($B$4:$B$12*I4:I12)</f>
        <v>39</v>
      </c>
      <c r="J13" s="836" t="n">
        <f aca="false">SUMPRODUCT($B$4:$B$12*J4:J12)</f>
        <v>71</v>
      </c>
      <c r="K13" s="836" t="n">
        <f aca="false">SUMPRODUCT($B$4:$B$12*K4:K12)</f>
        <v>42</v>
      </c>
      <c r="L13" s="836" t="n">
        <f aca="false">SUMPRODUCT($B$4:$B$12*L4:L12)</f>
        <v>62</v>
      </c>
      <c r="M13" s="836" t="n">
        <f aca="false">SUMPRODUCT($B$4:$B$12*M4:M12)</f>
        <v>74</v>
      </c>
      <c r="N13" s="836" t="n">
        <f aca="false">SUMPRODUCT($B$4:$B$12*N4:N12)</f>
        <v>48</v>
      </c>
      <c r="O13" s="836" t="n">
        <f aca="false">SUMPRODUCT($B$4:$B$12*O4:O12)</f>
        <v>60</v>
      </c>
      <c r="P13" s="836" t="n">
        <f aca="false">SUMPRODUCT($B$4:$B$12*P4:P12)</f>
        <v>45</v>
      </c>
      <c r="Q13" s="836" t="n">
        <f aca="false">SUMPRODUCT($B$4:$B$12*Q4:Q12)</f>
        <v>39</v>
      </c>
    </row>
    <row r="14" customFormat="false" ht="10.15" hidden="false" customHeight="false" outlineLevel="0" collapsed="false">
      <c r="C14" s="836" t="s">
        <v>1455</v>
      </c>
      <c r="D14" s="842" t="n">
        <v>170.7485</v>
      </c>
      <c r="E14" s="842" t="n">
        <v>321.768</v>
      </c>
      <c r="F14" s="842" t="n">
        <v>140.065</v>
      </c>
      <c r="G14" s="842" t="n">
        <v>133.9065</v>
      </c>
      <c r="H14" s="842" t="n">
        <v>114.3955</v>
      </c>
      <c r="I14" s="842" t="n">
        <v>155.7065</v>
      </c>
      <c r="J14" s="842" t="n">
        <v>228.464</v>
      </c>
      <c r="K14" s="842" t="n">
        <v>197.072</v>
      </c>
      <c r="L14" s="842" t="n">
        <v>189.3875</v>
      </c>
      <c r="M14" s="842" t="n">
        <v>277.732</v>
      </c>
      <c r="N14" s="842" t="n">
        <v>222.0875</v>
      </c>
      <c r="O14" s="842" t="n">
        <v>151.4555</v>
      </c>
      <c r="P14" s="842" t="n">
        <v>126.1675</v>
      </c>
      <c r="Q14" s="842" t="n">
        <v>154.1805</v>
      </c>
    </row>
    <row r="15" customFormat="false" ht="10.15" hidden="false" customHeight="false" outlineLevel="0" collapsed="false">
      <c r="C15" s="843" t="s">
        <v>1456</v>
      </c>
      <c r="D15" s="844" t="n">
        <v>0.193266705124789</v>
      </c>
      <c r="E15" s="844" t="n">
        <v>0.202008900822953</v>
      </c>
      <c r="F15" s="844" t="n">
        <v>0.257023524792061</v>
      </c>
      <c r="G15" s="844" t="n">
        <v>0.425670150440793</v>
      </c>
      <c r="H15" s="844" t="n">
        <v>0.236023270146116</v>
      </c>
      <c r="I15" s="844" t="n">
        <v>0.250471239158288</v>
      </c>
      <c r="J15" s="844" t="n">
        <v>0.310771062399328</v>
      </c>
      <c r="K15" s="844" t="n">
        <v>0.213120077941057</v>
      </c>
      <c r="L15" s="844" t="n">
        <v>0.327371130618441</v>
      </c>
      <c r="M15" s="844" t="n">
        <v>0.266443909956361</v>
      </c>
      <c r="N15" s="844" t="n">
        <v>0.216131029436596</v>
      </c>
      <c r="O15" s="844" t="n">
        <v>0.396155966604052</v>
      </c>
      <c r="P15" s="844" t="n">
        <v>0.356668714209285</v>
      </c>
      <c r="Q15" s="844" t="n">
        <v>0.252950275813089</v>
      </c>
    </row>
    <row r="44" customFormat="false" ht="10.15" hidden="false" customHeight="false" outlineLevel="0" collapsed="false">
      <c r="C44" s="836" t="s">
        <v>524</v>
      </c>
      <c r="D44" s="836" t="s">
        <v>253</v>
      </c>
      <c r="E44" s="836" t="s">
        <v>254</v>
      </c>
      <c r="F44" s="836" t="s">
        <v>256</v>
      </c>
      <c r="G44" s="836" t="s">
        <v>259</v>
      </c>
      <c r="H44" s="836" t="s">
        <v>261</v>
      </c>
      <c r="I44" s="836" t="s">
        <v>263</v>
      </c>
      <c r="J44" s="836" t="s">
        <v>265</v>
      </c>
      <c r="K44" s="836" t="s">
        <v>266</v>
      </c>
      <c r="L44" s="836" t="s">
        <v>267</v>
      </c>
      <c r="M44" s="836" t="s">
        <v>268</v>
      </c>
      <c r="N44" s="836" t="s">
        <v>269</v>
      </c>
      <c r="O44" s="836" t="s">
        <v>270</v>
      </c>
      <c r="P44" s="836" t="s">
        <v>271</v>
      </c>
      <c r="Q44" s="836" t="s">
        <v>272</v>
      </c>
    </row>
    <row r="45" customFormat="false" ht="10.15" hidden="false" customHeight="false" outlineLevel="0" collapsed="false">
      <c r="C45" s="845" t="s">
        <v>1457</v>
      </c>
      <c r="D45" s="835" t="n">
        <f aca="false">D13</f>
        <v>33</v>
      </c>
      <c r="E45" s="835" t="n">
        <f aca="false">E13</f>
        <v>65</v>
      </c>
      <c r="F45" s="835" t="n">
        <f aca="false">F13</f>
        <v>36</v>
      </c>
      <c r="G45" s="835" t="n">
        <f aca="false">G13</f>
        <v>57</v>
      </c>
      <c r="H45" s="835" t="n">
        <f aca="false">H13</f>
        <v>27</v>
      </c>
      <c r="I45" s="835" t="n">
        <f aca="false">I13</f>
        <v>39</v>
      </c>
      <c r="J45" s="835" t="n">
        <f aca="false">J13</f>
        <v>71</v>
      </c>
      <c r="K45" s="835" t="n">
        <f aca="false">K13</f>
        <v>42</v>
      </c>
      <c r="L45" s="835" t="n">
        <f aca="false">L13</f>
        <v>62</v>
      </c>
      <c r="M45" s="835" t="n">
        <f aca="false">M13</f>
        <v>74</v>
      </c>
      <c r="N45" s="835" t="n">
        <f aca="false">N13</f>
        <v>48</v>
      </c>
      <c r="O45" s="835" t="n">
        <f aca="false">O13</f>
        <v>60</v>
      </c>
      <c r="P45" s="835" t="n">
        <f aca="false">P13</f>
        <v>45</v>
      </c>
      <c r="Q45" s="835" t="n">
        <f aca="false">Q13</f>
        <v>39</v>
      </c>
    </row>
    <row r="46" customFormat="false" ht="10.15" hidden="false" customHeight="false" outlineLevel="0" collapsed="false">
      <c r="C46" s="845" t="s">
        <v>1458</v>
      </c>
      <c r="D46" s="846" t="n">
        <f aca="false">D14</f>
        <v>170.7485</v>
      </c>
      <c r="E46" s="846" t="n">
        <f aca="false">E14</f>
        <v>321.768</v>
      </c>
      <c r="F46" s="846" t="n">
        <f aca="false">F14</f>
        <v>140.065</v>
      </c>
      <c r="G46" s="846" t="n">
        <f aca="false">G14</f>
        <v>133.9065</v>
      </c>
      <c r="H46" s="846" t="n">
        <f aca="false">H14</f>
        <v>114.3955</v>
      </c>
      <c r="I46" s="846" t="n">
        <f aca="false">I14</f>
        <v>155.7065</v>
      </c>
      <c r="J46" s="846" t="n">
        <f aca="false">J14</f>
        <v>228.464</v>
      </c>
      <c r="K46" s="846" t="n">
        <f aca="false">K14</f>
        <v>197.072</v>
      </c>
      <c r="L46" s="846" t="n">
        <f aca="false">L14</f>
        <v>189.3875</v>
      </c>
      <c r="M46" s="846" t="n">
        <f aca="false">M14</f>
        <v>277.732</v>
      </c>
      <c r="N46" s="846" t="n">
        <f aca="false">N14</f>
        <v>222.0875</v>
      </c>
      <c r="O46" s="846" t="n">
        <f aca="false">O14</f>
        <v>151.4555</v>
      </c>
      <c r="P46" s="846" t="n">
        <f aca="false">P14</f>
        <v>126.1675</v>
      </c>
      <c r="Q46" s="846" t="n">
        <f aca="false">Q14</f>
        <v>154.1805</v>
      </c>
    </row>
    <row r="47" customFormat="false" ht="10.15" hidden="false" customHeight="false" outlineLevel="0" collapsed="false">
      <c r="C47" s="845" t="s">
        <v>1459</v>
      </c>
      <c r="D47" s="846" t="n">
        <f aca="false">D46-D45</f>
        <v>137.7485</v>
      </c>
      <c r="E47" s="846" t="n">
        <f aca="false">E46-E45</f>
        <v>256.768</v>
      </c>
      <c r="F47" s="846" t="n">
        <f aca="false">F46-F45</f>
        <v>104.065</v>
      </c>
      <c r="G47" s="846" t="n">
        <f aca="false">G46-G45</f>
        <v>76.9065</v>
      </c>
      <c r="H47" s="846" t="n">
        <f aca="false">H46-H45</f>
        <v>87.3955</v>
      </c>
      <c r="I47" s="846" t="n">
        <f aca="false">I46-I45</f>
        <v>116.7065</v>
      </c>
      <c r="J47" s="846" t="n">
        <f aca="false">J46-J45</f>
        <v>157.464</v>
      </c>
      <c r="K47" s="846" t="n">
        <f aca="false">K46-K45</f>
        <v>155.072</v>
      </c>
      <c r="L47" s="846" t="n">
        <f aca="false">L46-L45</f>
        <v>127.3875</v>
      </c>
      <c r="M47" s="846" t="n">
        <f aca="false">M46-M45</f>
        <v>203.732</v>
      </c>
      <c r="N47" s="846" t="n">
        <f aca="false">N46-N45</f>
        <v>174.0875</v>
      </c>
      <c r="O47" s="846" t="n">
        <f aca="false">O46-O45</f>
        <v>91.4555</v>
      </c>
      <c r="P47" s="846" t="n">
        <f aca="false">P46-P45</f>
        <v>81.1675</v>
      </c>
      <c r="Q47" s="846" t="n">
        <f aca="false">Q46-Q45</f>
        <v>115.1805</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0" colorId="64" zoomScale="75" zoomScaleNormal="75" zoomScalePageLayoutView="100" workbookViewId="0">
      <selection pane="topLeft" activeCell="AA55" activeCellId="0" sqref="AA55"/>
    </sheetView>
  </sheetViews>
  <sheetFormatPr defaultColWidth="8.66796875" defaultRowHeight="10.15" zeroHeight="false" outlineLevelRow="0" outlineLevelCol="0"/>
  <sheetData/>
  <printOptions headings="false" gridLines="false" gridLinesSet="true" horizontalCentered="false" verticalCentered="false"/>
  <pageMargins left="0.708333333333333" right="0.708333333333333" top="0.747916666666667" bottom="0.748611111111111" header="0.511805555555555" footer="0.315277777777778"/>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&amp;L&amp;"Calibri,Regular"&amp;11C2 - VODAFONE RESTRICTED_x005F_x000D_&amp;1#&amp;7C2 General&amp;CPage &amp;P of &amp;N&amp;RMTX Space and Power Utilisation Jan 2013</oddFooter>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8.66796875" defaultRowHeight="10.15" zeroHeight="false" outlineLevelRow="0" outlineLevelCol="0"/>
  <cols>
    <col collapsed="false" customWidth="true" hidden="false" outlineLevel="0" max="1" min="1" style="0" width="8.17"/>
    <col collapsed="false" customWidth="true" hidden="false" outlineLevel="0" max="3" min="2" style="0" width="28.17"/>
    <col collapsed="false" customWidth="true" hidden="false" outlineLevel="0" max="4" min="4" style="0" width="18.17"/>
    <col collapsed="false" customWidth="true" hidden="false" outlineLevel="0" max="5" min="5" style="0" width="17.5"/>
    <col collapsed="false" customWidth="true" hidden="false" outlineLevel="0" max="6" min="6" style="0" width="13.5"/>
    <col collapsed="false" customWidth="true" hidden="false" outlineLevel="0" max="7" min="7" style="0" width="19"/>
    <col collapsed="false" customWidth="true" hidden="false" outlineLevel="0" max="8" min="8" style="0" width="14.66"/>
    <col collapsed="false" customWidth="true" hidden="false" outlineLevel="0" max="9" min="9" style="0" width="5"/>
    <col collapsed="false" customWidth="true" hidden="false" outlineLevel="0" max="12" min="10" style="0" width="15.17"/>
    <col collapsed="false" customWidth="true" hidden="false" outlineLevel="0" max="13" min="13" style="0" width="13.66"/>
    <col collapsed="false" customWidth="true" hidden="false" outlineLevel="0" max="14" min="14" style="0" width="12.66"/>
  </cols>
  <sheetData>
    <row r="1" customFormat="false" ht="15" hidden="false" customHeight="false" outlineLevel="0" collapsed="false">
      <c r="B1" s="847" t="s">
        <v>1460</v>
      </c>
      <c r="C1" s="847"/>
      <c r="D1" s="620"/>
    </row>
    <row r="2" customFormat="false" ht="15" hidden="false" customHeight="false" outlineLevel="0" collapsed="false">
      <c r="B2" s="848"/>
      <c r="D2" s="848"/>
      <c r="J2" s="849" t="s">
        <v>1461</v>
      </c>
      <c r="K2" s="849"/>
      <c r="L2" s="849"/>
    </row>
    <row r="3" customFormat="false" ht="20.45" hidden="false" customHeight="false" outlineLevel="0" collapsed="false">
      <c r="A3" s="418" t="s">
        <v>8</v>
      </c>
      <c r="B3" s="850" t="s">
        <v>1462</v>
      </c>
      <c r="C3" s="850" t="s">
        <v>1463</v>
      </c>
      <c r="D3" s="806" t="s">
        <v>386</v>
      </c>
      <c r="E3" s="806" t="s">
        <v>307</v>
      </c>
      <c r="F3" s="825" t="s">
        <v>1464</v>
      </c>
      <c r="G3" s="825" t="s">
        <v>1465</v>
      </c>
      <c r="H3" s="806" t="s">
        <v>1466</v>
      </c>
      <c r="I3" s="620"/>
      <c r="J3" s="851"/>
      <c r="K3" s="852" t="s">
        <v>1462</v>
      </c>
      <c r="L3" s="652" t="s">
        <v>1463</v>
      </c>
      <c r="M3" s="652" t="s">
        <v>386</v>
      </c>
      <c r="N3" s="652" t="s">
        <v>307</v>
      </c>
    </row>
    <row r="4" customFormat="false" ht="10.15" hidden="false" customHeight="false" outlineLevel="0" collapsed="false">
      <c r="A4" s="853" t="s">
        <v>253</v>
      </c>
      <c r="B4" s="854" t="e">
        <f aca="false">#REF!</f>
        <v>#REF!</v>
      </c>
      <c r="C4" s="855" t="n">
        <f aca="false">'Plant loading'!G4</f>
        <v>164.154</v>
      </c>
      <c r="D4" s="854" t="n">
        <f aca="false">'Power figures'!D2</f>
        <v>13.8975</v>
      </c>
      <c r="E4" s="854" t="n">
        <f aca="false">'Power figures'!C2</f>
        <v>0</v>
      </c>
      <c r="F4" s="854"/>
      <c r="G4" s="854" t="n">
        <v>10</v>
      </c>
      <c r="H4" s="854" t="e">
        <f aca="false">C4-B4</f>
        <v>#REF!</v>
      </c>
      <c r="J4" s="620"/>
      <c r="K4" s="573"/>
    </row>
    <row r="5" customFormat="false" ht="10.15" hidden="false" customHeight="false" outlineLevel="0" collapsed="false">
      <c r="A5" s="853" t="s">
        <v>254</v>
      </c>
      <c r="B5" s="854" t="e">
        <f aca="false">#REF!</f>
        <v>#REF!</v>
      </c>
      <c r="C5" s="855" t="n">
        <f aca="false">'Plant loading'!G9</f>
        <v>382.372</v>
      </c>
      <c r="D5" s="854" t="n">
        <f aca="false">'Power figures'!D3</f>
        <v>30.302</v>
      </c>
      <c r="E5" s="854" t="n">
        <f aca="false">'Power figures'!C3</f>
        <v>32.3512</v>
      </c>
      <c r="F5" s="854"/>
      <c r="G5" s="854" t="n">
        <v>34</v>
      </c>
      <c r="H5" s="854" t="e">
        <f aca="false">C5-B5</f>
        <v>#REF!</v>
      </c>
      <c r="J5" s="620" t="s">
        <v>259</v>
      </c>
      <c r="K5" s="573" t="e">
        <f aca="false">B7</f>
        <v>#REF!</v>
      </c>
    </row>
    <row r="6" customFormat="false" ht="10.15" hidden="false" customHeight="false" outlineLevel="0" collapsed="false">
      <c r="A6" s="853" t="s">
        <v>256</v>
      </c>
      <c r="B6" s="854" t="e">
        <f aca="false">#REF!</f>
        <v>#REF!</v>
      </c>
      <c r="C6" s="855" t="n">
        <f aca="false">'Plant loading'!G17</f>
        <v>114.123</v>
      </c>
      <c r="D6" s="854" t="n">
        <f aca="false">'Power figures'!D4</f>
        <v>0</v>
      </c>
      <c r="E6" s="854" t="n">
        <f aca="false">'Power figures'!C4</f>
        <v>5.777</v>
      </c>
      <c r="F6" s="854"/>
      <c r="G6" s="854"/>
      <c r="H6" s="854" t="e">
        <f aca="false">C6-B6</f>
        <v>#REF!</v>
      </c>
      <c r="K6" s="573"/>
      <c r="L6" s="573" t="n">
        <f aca="false">C7</f>
        <v>294.736</v>
      </c>
      <c r="M6" s="573" t="n">
        <f aca="false">D7</f>
        <v>50.467</v>
      </c>
      <c r="N6" s="573" t="n">
        <f aca="false">E7</f>
        <v>2.943</v>
      </c>
    </row>
    <row r="7" customFormat="false" ht="10.15" hidden="false" customHeight="false" outlineLevel="0" collapsed="false">
      <c r="A7" s="825" t="s">
        <v>259</v>
      </c>
      <c r="B7" s="827" t="e">
        <f aca="false">#REF!</f>
        <v>#REF!</v>
      </c>
      <c r="C7" s="856" t="n">
        <f aca="false">'Plant loading'!G22</f>
        <v>294.736</v>
      </c>
      <c r="D7" s="857" t="n">
        <f aca="false">'Power figures'!D5</f>
        <v>50.467</v>
      </c>
      <c r="E7" s="857" t="n">
        <f aca="false">'Power figures'!C5</f>
        <v>2.943</v>
      </c>
      <c r="F7" s="857"/>
      <c r="G7" s="857"/>
      <c r="H7" s="857" t="e">
        <f aca="false">C7-B7</f>
        <v>#REF!</v>
      </c>
      <c r="K7" s="573"/>
      <c r="L7" s="573"/>
      <c r="M7" s="573"/>
    </row>
    <row r="8" customFormat="false" ht="10.15" hidden="false" customHeight="false" outlineLevel="0" collapsed="false">
      <c r="A8" s="825" t="s">
        <v>261</v>
      </c>
      <c r="B8" s="827" t="e">
        <f aca="false">#REF!</f>
        <v>#REF!</v>
      </c>
      <c r="C8" s="856" t="n">
        <f aca="false">'Plant loading'!G28</f>
        <v>68.7245</v>
      </c>
      <c r="D8" s="857" t="n">
        <f aca="false">'Power figures'!D6</f>
        <v>0</v>
      </c>
      <c r="E8" s="857" t="n">
        <f aca="false">'Power figures'!C6</f>
        <v>0.99552</v>
      </c>
      <c r="F8" s="857"/>
      <c r="G8" s="857" t="n">
        <v>2</v>
      </c>
      <c r="H8" s="857" t="e">
        <f aca="false">C8-B8</f>
        <v>#REF!</v>
      </c>
      <c r="J8" s="620" t="s">
        <v>261</v>
      </c>
      <c r="K8" s="573" t="e">
        <f aca="false">B8</f>
        <v>#REF!</v>
      </c>
      <c r="L8" s="573"/>
      <c r="M8" s="573"/>
    </row>
    <row r="9" customFormat="false" ht="10.15" hidden="false" customHeight="false" outlineLevel="0" collapsed="false">
      <c r="A9" s="853" t="s">
        <v>263</v>
      </c>
      <c r="B9" s="854" t="e">
        <f aca="false">#REF!</f>
        <v>#REF!</v>
      </c>
      <c r="C9" s="855" t="n">
        <f aca="false">'Plant loading'!G32</f>
        <v>309.2875</v>
      </c>
      <c r="D9" s="854" t="n">
        <f aca="false">'Power figures'!D7</f>
        <v>98.8085</v>
      </c>
      <c r="E9" s="854" t="n">
        <f aca="false">'Power figures'!C7</f>
        <v>21.0152</v>
      </c>
      <c r="F9" s="854"/>
      <c r="G9" s="854" t="n">
        <v>2</v>
      </c>
      <c r="H9" s="854" t="e">
        <f aca="false">C9-B9</f>
        <v>#REF!</v>
      </c>
      <c r="K9" s="573"/>
      <c r="L9" s="573" t="n">
        <f aca="false">C8</f>
        <v>68.7245</v>
      </c>
      <c r="M9" s="573" t="n">
        <f aca="false">D8</f>
        <v>0</v>
      </c>
      <c r="N9" s="573" t="n">
        <f aca="false">E8</f>
        <v>0.99552</v>
      </c>
    </row>
    <row r="10" customFormat="false" ht="10.15" hidden="false" customHeight="false" outlineLevel="0" collapsed="false">
      <c r="A10" s="853" t="s">
        <v>265</v>
      </c>
      <c r="B10" s="854" t="e">
        <f aca="false">#REF!</f>
        <v>#REF!</v>
      </c>
      <c r="C10" s="855" t="e">
        <f aca="false">SUM('Plant loading'!G39)+('inverter loading'!#ref!+'inverter loading'!#ref!)</f>
        <v>#VALUE!</v>
      </c>
      <c r="D10" s="854" t="n">
        <f aca="false">'Power figures'!D8</f>
        <v>67.3075</v>
      </c>
      <c r="E10" s="854" t="n">
        <f aca="false">'Power figures'!C8</f>
        <v>11.6194</v>
      </c>
      <c r="F10" s="854"/>
      <c r="G10" s="854" t="n">
        <v>40</v>
      </c>
      <c r="H10" s="854" t="e">
        <f aca="false">C10-B10</f>
        <v>#VALUE!</v>
      </c>
      <c r="K10" s="573"/>
      <c r="L10" s="573"/>
      <c r="M10" s="573"/>
    </row>
    <row r="11" customFormat="false" ht="10.15" hidden="false" customHeight="false" outlineLevel="0" collapsed="false">
      <c r="A11" s="825" t="s">
        <v>266</v>
      </c>
      <c r="B11" s="827" t="e">
        <f aca="false">#REF!</f>
        <v>#REF!</v>
      </c>
      <c r="C11" s="856" t="n">
        <f aca="false">'Plant loading'!G47</f>
        <v>120.663</v>
      </c>
      <c r="D11" s="857" t="n">
        <f aca="false">'Power figures'!D9</f>
        <v>0</v>
      </c>
      <c r="E11" s="857" t="n">
        <f aca="false">'Power figures'!C9</f>
        <v>0</v>
      </c>
      <c r="F11" s="857"/>
      <c r="G11" s="857" t="n">
        <v>13</v>
      </c>
      <c r="H11" s="857" t="e">
        <f aca="false">C11-B11</f>
        <v>#REF!</v>
      </c>
      <c r="J11" s="620" t="s">
        <v>266</v>
      </c>
      <c r="K11" s="573" t="e">
        <f aca="false">B11</f>
        <v>#REF!</v>
      </c>
      <c r="L11" s="573"/>
      <c r="M11" s="573"/>
    </row>
    <row r="12" customFormat="false" ht="10.15" hidden="false" customHeight="false" outlineLevel="0" collapsed="false">
      <c r="A12" s="853" t="s">
        <v>267</v>
      </c>
      <c r="B12" s="854" t="e">
        <f aca="false">#REF!</f>
        <v>#REF!</v>
      </c>
      <c r="C12" s="855" t="e">
        <f aca="false">SUM('Plant loading'!G56)+('inverter loading'!#ref!+'inverter loading'!#ref!)</f>
        <v>#VALUE!</v>
      </c>
      <c r="D12" s="854" t="n">
        <f aca="false">'Power figures'!D10</f>
        <v>53.955</v>
      </c>
      <c r="E12" s="854" t="n">
        <f aca="false">'Power figures'!C10</f>
        <v>8.03875</v>
      </c>
      <c r="F12" s="854"/>
      <c r="G12" s="854" t="n">
        <v>15</v>
      </c>
      <c r="H12" s="854" t="e">
        <f aca="false">C12-B12</f>
        <v>#VALUE!</v>
      </c>
      <c r="K12" s="573"/>
      <c r="L12" s="573" t="n">
        <f aca="false">C11</f>
        <v>120.663</v>
      </c>
      <c r="M12" s="573" t="n">
        <f aca="false">D11</f>
        <v>0</v>
      </c>
      <c r="N12" s="573" t="n">
        <f aca="false">E11</f>
        <v>0</v>
      </c>
    </row>
    <row r="13" customFormat="false" ht="10.15" hidden="false" customHeight="false" outlineLevel="0" collapsed="false">
      <c r="A13" s="853" t="s">
        <v>268</v>
      </c>
      <c r="B13" s="854" t="e">
        <f aca="false">#REF!</f>
        <v>#REF!</v>
      </c>
      <c r="C13" s="855" t="n">
        <f aca="false">'Plant loading'!G64</f>
        <v>384.661</v>
      </c>
      <c r="D13" s="854" t="n">
        <f aca="false">'Power figures'!D11</f>
        <v>41.529</v>
      </c>
      <c r="E13" s="854" t="n">
        <f aca="false">'Power figures'!C11</f>
        <v>26.460295</v>
      </c>
      <c r="F13" s="854"/>
      <c r="G13" s="854" t="n">
        <v>10</v>
      </c>
      <c r="H13" s="854" t="e">
        <f aca="false">C13-B13</f>
        <v>#REF!</v>
      </c>
      <c r="K13" s="573"/>
      <c r="L13" s="573"/>
      <c r="M13" s="573"/>
    </row>
    <row r="14" customFormat="false" ht="10.15" hidden="false" customHeight="false" outlineLevel="0" collapsed="false">
      <c r="A14" s="853" t="s">
        <v>269</v>
      </c>
      <c r="B14" s="854" t="e">
        <f aca="false">#REF!</f>
        <v>#REF!</v>
      </c>
      <c r="C14" s="855" t="n">
        <f aca="false">'Plant loading'!G72</f>
        <v>271.737</v>
      </c>
      <c r="D14" s="854" t="n">
        <f aca="false">'Power figures'!D12</f>
        <v>102.133</v>
      </c>
      <c r="E14" s="854" t="n">
        <f aca="false">'Power figures'!C12</f>
        <v>7.194</v>
      </c>
      <c r="F14" s="854"/>
      <c r="G14" s="854" t="n">
        <v>3</v>
      </c>
      <c r="H14" s="854" t="e">
        <f aca="false">C14-B14</f>
        <v>#REF!</v>
      </c>
      <c r="J14" s="620" t="s">
        <v>271</v>
      </c>
      <c r="K14" s="573" t="e">
        <f aca="false">B16</f>
        <v>#REF!</v>
      </c>
      <c r="L14" s="573"/>
      <c r="M14" s="573"/>
    </row>
    <row r="15" customFormat="false" ht="10.15" hidden="false" customHeight="false" outlineLevel="0" collapsed="false">
      <c r="A15" s="853" t="s">
        <v>270</v>
      </c>
      <c r="B15" s="854" t="e">
        <f aca="false">#REF!</f>
        <v>#REF!</v>
      </c>
      <c r="C15" s="855" t="n">
        <f aca="false">'Plant loading'!G80</f>
        <v>100.389</v>
      </c>
      <c r="D15" s="854" t="n">
        <f aca="false">'Power figures'!D13</f>
        <v>0</v>
      </c>
      <c r="E15" s="854" t="n">
        <f aca="false">'Power figures'!C13</f>
        <v>6.97055</v>
      </c>
      <c r="F15" s="854" t="n">
        <v>1</v>
      </c>
      <c r="G15" s="854"/>
      <c r="H15" s="854" t="e">
        <f aca="false">C15-B15</f>
        <v>#REF!</v>
      </c>
      <c r="K15" s="573"/>
      <c r="L15" s="573" t="n">
        <f aca="false">C16</f>
        <v>87.6905</v>
      </c>
      <c r="M15" s="573" t="n">
        <f aca="false">D16</f>
        <v>0</v>
      </c>
      <c r="N15" s="573" t="n">
        <f aca="false">E16</f>
        <v>11.663</v>
      </c>
    </row>
    <row r="16" customFormat="false" ht="10.15" hidden="false" customHeight="false" outlineLevel="0" collapsed="false">
      <c r="A16" s="825" t="s">
        <v>271</v>
      </c>
      <c r="B16" s="827" t="e">
        <f aca="false">#REF!</f>
        <v>#REF!</v>
      </c>
      <c r="C16" s="856" t="n">
        <f aca="false">'Plant loading'!G85</f>
        <v>87.6905</v>
      </c>
      <c r="D16" s="857" t="n">
        <f aca="false">'Power figures'!D14</f>
        <v>0</v>
      </c>
      <c r="E16" s="857" t="n">
        <f aca="false">'Power figures'!C14</f>
        <v>11.663</v>
      </c>
      <c r="F16" s="857"/>
      <c r="G16" s="857" t="n">
        <v>3</v>
      </c>
      <c r="H16" s="857" t="e">
        <f aca="false">C16-B16</f>
        <v>#REF!</v>
      </c>
      <c r="K16" s="573"/>
      <c r="L16" s="573"/>
      <c r="M16" s="573"/>
    </row>
    <row r="17" customFormat="false" ht="10.15" hidden="false" customHeight="false" outlineLevel="0" collapsed="false">
      <c r="A17" s="825" t="s">
        <v>272</v>
      </c>
      <c r="B17" s="827" t="e">
        <f aca="false">#REF!</f>
        <v>#REF!</v>
      </c>
      <c r="C17" s="856" t="n">
        <f aca="false">'Plant loading'!G89</f>
        <v>108.8365</v>
      </c>
      <c r="D17" s="857" t="n">
        <f aca="false">'Power figures'!D15</f>
        <v>0</v>
      </c>
      <c r="E17" s="857" t="n">
        <f aca="false">'Power figures'!C15</f>
        <v>0</v>
      </c>
      <c r="F17" s="857"/>
      <c r="G17" s="857" t="n">
        <v>4</v>
      </c>
      <c r="H17" s="857" t="e">
        <f aca="false">C17-B17</f>
        <v>#REF!</v>
      </c>
      <c r="J17" s="620" t="s">
        <v>272</v>
      </c>
      <c r="K17" s="573" t="e">
        <f aca="false">B17</f>
        <v>#REF!</v>
      </c>
      <c r="L17" s="573"/>
      <c r="M17" s="573"/>
    </row>
    <row r="18" customFormat="false" ht="10.15" hidden="false" customHeight="false" outlineLevel="0" collapsed="false">
      <c r="A18" s="801" t="s">
        <v>578</v>
      </c>
      <c r="B18" s="858" t="e">
        <f aca="false">SUM(B4:B17)</f>
        <v>#REF!</v>
      </c>
      <c r="C18" s="858" t="e">
        <f aca="false">SUM(C4:C17)</f>
        <v>#VALUE!</v>
      </c>
      <c r="D18" s="858" t="n">
        <f aca="false">SUM(D4:D17)</f>
        <v>458.3995</v>
      </c>
      <c r="E18" s="858" t="n">
        <f aca="false">SUM(E4:E17)</f>
        <v>135.027915</v>
      </c>
      <c r="F18" s="858" t="n">
        <f aca="false">SUM(F4:F17)</f>
        <v>1</v>
      </c>
      <c r="G18" s="858" t="n">
        <f aca="false">SUM(G4:G17)</f>
        <v>136</v>
      </c>
      <c r="H18" s="858" t="e">
        <f aca="false">SUM(C18-B18)</f>
        <v>#VALUE!</v>
      </c>
      <c r="I18" s="859"/>
      <c r="L18" s="573" t="n">
        <f aca="false">C17</f>
        <v>108.8365</v>
      </c>
      <c r="M18" s="573" t="n">
        <f aca="false">D17</f>
        <v>0</v>
      </c>
      <c r="N18" s="573" t="n">
        <f aca="false">E17</f>
        <v>0</v>
      </c>
    </row>
    <row r="19" customFormat="false" ht="10.15" hidden="false" customHeight="false" outlineLevel="0" collapsed="false">
      <c r="A19" s="603" t="s">
        <v>1467</v>
      </c>
      <c r="B19" s="860" t="e">
        <f aca="false">SUM(B4+B5+B6+B9+B10+B12+B13+B14+B15)</f>
        <v>#REF!</v>
      </c>
      <c r="C19" s="860" t="e">
        <f aca="false">SUM(C4+C5+C6+C9+C10+C12+C13+C14+C15)</f>
        <v>#VALUE!</v>
      </c>
      <c r="D19" s="860" t="n">
        <f aca="false">SUM(D4+D5+D6+D9+D10+D12+D13+D14+D15)</f>
        <v>407.9325</v>
      </c>
      <c r="E19" s="860" t="n">
        <f aca="false">SUM(E4+E5+E6+E9+E10+E12+E13+E14+E15)</f>
        <v>119.426395</v>
      </c>
      <c r="F19" s="860" t="n">
        <f aca="false">SUM(F4+F5+F6+F9+F10+F12+F13+F14+F15)</f>
        <v>1</v>
      </c>
      <c r="G19" s="860" t="n">
        <f aca="false">SUM(G4+G5+G6+G9+G10+G12+G13+G14+G15)</f>
        <v>114</v>
      </c>
      <c r="H19" s="860" t="n">
        <f aca="false">F19-G19</f>
        <v>-113</v>
      </c>
      <c r="I19" s="860"/>
    </row>
    <row r="20" customFormat="false" ht="10.15" hidden="false" customHeight="false" outlineLevel="0" collapsed="false">
      <c r="A20" s="442" t="s">
        <v>1468</v>
      </c>
      <c r="B20" s="861" t="e">
        <f aca="false">B18-B19</f>
        <v>#REF!</v>
      </c>
      <c r="C20" s="861" t="e">
        <f aca="false">C18-C19</f>
        <v>#VALUE!</v>
      </c>
      <c r="D20" s="861" t="n">
        <f aca="false">D18-D19</f>
        <v>50.467</v>
      </c>
      <c r="E20" s="861" t="n">
        <f aca="false">SUM(E7+E8+E11+E16+E17)</f>
        <v>15.60152</v>
      </c>
      <c r="F20" s="861" t="n">
        <f aca="false">SUM(F7+F8+F11+F16+F17)</f>
        <v>0</v>
      </c>
      <c r="G20" s="861" t="n">
        <f aca="false">SUM(G7+G8+G11+G16+G17)</f>
        <v>22</v>
      </c>
      <c r="H20" s="861" t="n">
        <f aca="false">F20-G20</f>
        <v>-22</v>
      </c>
      <c r="I20" s="861"/>
    </row>
    <row r="21" customFormat="false" ht="20.45" hidden="false" customHeight="false" outlineLevel="0" collapsed="false">
      <c r="J21" s="852" t="s">
        <v>1462</v>
      </c>
      <c r="K21" s="652" t="s">
        <v>1463</v>
      </c>
      <c r="L21" s="652" t="s">
        <v>386</v>
      </c>
      <c r="M21" s="652" t="s">
        <v>307</v>
      </c>
    </row>
    <row r="22" customFormat="false" ht="15" hidden="false" customHeight="false" outlineLevel="0" collapsed="false">
      <c r="B22" s="847" t="s">
        <v>1469</v>
      </c>
      <c r="C22" s="847"/>
      <c r="D22" s="848"/>
      <c r="I22" s="620" t="s">
        <v>254</v>
      </c>
      <c r="J22" s="573" t="e">
        <f aca="false">B5</f>
        <v>#REF!</v>
      </c>
      <c r="K22" s="573"/>
      <c r="L22" s="573"/>
      <c r="M22" s="573"/>
    </row>
    <row r="23" customFormat="false" ht="15" hidden="false" customHeight="false" outlineLevel="0" collapsed="false">
      <c r="B23" s="848"/>
      <c r="D23" s="848"/>
      <c r="J23" s="573"/>
      <c r="K23" s="573" t="n">
        <f aca="false">C5</f>
        <v>382.372</v>
      </c>
      <c r="L23" s="573" t="n">
        <f aca="false">D5</f>
        <v>30.302</v>
      </c>
      <c r="M23" s="573" t="n">
        <f aca="false">E5</f>
        <v>32.3512</v>
      </c>
    </row>
    <row r="24" customFormat="false" ht="10.15" hidden="false" customHeight="false" outlineLevel="0" collapsed="false">
      <c r="A24" s="418" t="s">
        <v>8</v>
      </c>
      <c r="B24" s="825" t="s">
        <v>1470</v>
      </c>
      <c r="C24" s="825" t="s">
        <v>1471</v>
      </c>
      <c r="D24" s="805" t="s">
        <v>1472</v>
      </c>
      <c r="E24" s="418" t="s">
        <v>1464</v>
      </c>
      <c r="F24" s="418" t="s">
        <v>1465</v>
      </c>
      <c r="H24" s="851"/>
      <c r="J24" s="573"/>
      <c r="K24" s="573"/>
      <c r="L24" s="573"/>
      <c r="M24" s="573"/>
    </row>
    <row r="25" customFormat="false" ht="10.15" hidden="false" customHeight="false" outlineLevel="0" collapsed="false">
      <c r="A25" s="418" t="s">
        <v>253</v>
      </c>
      <c r="B25" s="862" t="n">
        <v>5</v>
      </c>
      <c r="C25" s="827" t="n">
        <f aca="false">'Inverter Loading'!M2</f>
        <v>15</v>
      </c>
      <c r="D25" s="857" t="n">
        <f aca="false">C25-B25</f>
        <v>10</v>
      </c>
      <c r="E25" s="418"/>
      <c r="F25" s="418" t="n">
        <v>-1</v>
      </c>
      <c r="I25" s="620" t="s">
        <v>265</v>
      </c>
      <c r="J25" s="573" t="e">
        <f aca="false">B10</f>
        <v>#REF!</v>
      </c>
      <c r="K25" s="573"/>
      <c r="L25" s="573"/>
      <c r="M25" s="573"/>
    </row>
    <row r="26" customFormat="false" ht="10.15" hidden="false" customHeight="false" outlineLevel="0" collapsed="false">
      <c r="A26" s="853" t="s">
        <v>254</v>
      </c>
      <c r="B26" s="863" t="n">
        <v>122</v>
      </c>
      <c r="C26" s="854" t="e">
        <f aca="false">SUM('inverter loading'!#ref!:'inverter loading'!#ref!)</f>
        <v>#VALUE!</v>
      </c>
      <c r="D26" s="854" t="e">
        <f aca="false">C26-B26</f>
        <v>#VALUE!</v>
      </c>
      <c r="E26" s="853"/>
      <c r="F26" s="853" t="n">
        <v>-34</v>
      </c>
      <c r="J26" s="573"/>
      <c r="K26" s="573" t="e">
        <f aca="false">C10</f>
        <v>#VALUE!</v>
      </c>
      <c r="L26" s="573" t="n">
        <f aca="false">D10</f>
        <v>67.3075</v>
      </c>
      <c r="M26" s="573" t="n">
        <f aca="false">E10</f>
        <v>11.6194</v>
      </c>
    </row>
    <row r="27" customFormat="false" ht="10.15" hidden="false" customHeight="false" outlineLevel="0" collapsed="false">
      <c r="A27" s="853" t="s">
        <v>256</v>
      </c>
      <c r="B27" s="863" t="n">
        <v>14</v>
      </c>
      <c r="C27" s="854" t="n">
        <f aca="false">'Inverter Loading'!M10</f>
        <v>8</v>
      </c>
      <c r="D27" s="854" t="n">
        <f aca="false">C27-B27</f>
        <v>-6</v>
      </c>
      <c r="E27" s="853"/>
      <c r="F27" s="853" t="n">
        <v>-4</v>
      </c>
      <c r="J27" s="573"/>
      <c r="K27" s="573"/>
      <c r="L27" s="573"/>
      <c r="M27" s="573"/>
    </row>
    <row r="28" customFormat="false" ht="10.15" hidden="false" customHeight="false" outlineLevel="0" collapsed="false">
      <c r="A28" s="418" t="s">
        <v>259</v>
      </c>
      <c r="B28" s="862" t="n">
        <v>5</v>
      </c>
      <c r="C28" s="827" t="e">
        <f aca="false">'inverter loading'!#ref!</f>
        <v>#VALUE!</v>
      </c>
      <c r="D28" s="857" t="e">
        <f aca="false">C28-B28</f>
        <v>#VALUE!</v>
      </c>
      <c r="E28" s="418"/>
      <c r="F28" s="418" t="n">
        <v>-2</v>
      </c>
      <c r="I28" s="620" t="s">
        <v>267</v>
      </c>
      <c r="J28" s="573" t="e">
        <f aca="false">B12</f>
        <v>#REF!</v>
      </c>
      <c r="K28" s="573"/>
      <c r="L28" s="573"/>
      <c r="M28" s="573"/>
    </row>
    <row r="29" customFormat="false" ht="10.15" hidden="false" customHeight="false" outlineLevel="0" collapsed="false">
      <c r="A29" s="418" t="s">
        <v>261</v>
      </c>
      <c r="B29" s="862" t="n">
        <v>5</v>
      </c>
      <c r="C29" s="827" t="e">
        <f aca="false">'inverter loading'!#ref!</f>
        <v>#VALUE!</v>
      </c>
      <c r="D29" s="857" t="e">
        <f aca="false">C29-B29</f>
        <v>#VALUE!</v>
      </c>
      <c r="E29" s="418"/>
      <c r="F29" s="418" t="n">
        <v>-1</v>
      </c>
      <c r="J29" s="573"/>
      <c r="K29" s="573" t="e">
        <f aca="false">C12</f>
        <v>#VALUE!</v>
      </c>
      <c r="L29" s="573" t="n">
        <f aca="false">D12</f>
        <v>53.955</v>
      </c>
      <c r="M29" s="573" t="n">
        <f aca="false">E12</f>
        <v>8.03875</v>
      </c>
    </row>
    <row r="30" customFormat="false" ht="10.15" hidden="false" customHeight="false" outlineLevel="0" collapsed="false">
      <c r="A30" s="853" t="s">
        <v>263</v>
      </c>
      <c r="B30" s="863" t="n">
        <v>14</v>
      </c>
      <c r="C30" s="854" t="n">
        <f aca="false">'Inverter Loading'!M20</f>
        <v>2.3</v>
      </c>
      <c r="D30" s="854" t="n">
        <f aca="false">C30-B30</f>
        <v>-11.7</v>
      </c>
      <c r="E30" s="853"/>
      <c r="F30" s="853" t="n">
        <v>-3</v>
      </c>
      <c r="J30" s="573"/>
      <c r="K30" s="573"/>
      <c r="L30" s="573"/>
      <c r="M30" s="573"/>
    </row>
    <row r="31" customFormat="false" ht="10.15" hidden="false" customHeight="false" outlineLevel="0" collapsed="false">
      <c r="A31" s="853" t="s">
        <v>265</v>
      </c>
      <c r="B31" s="863" t="n">
        <v>58</v>
      </c>
      <c r="C31" s="854" t="e">
        <f aca="false">SUM('Inverter Loading'!M16:'inverter loading'!#ref!)</f>
        <v>#VALUE!</v>
      </c>
      <c r="D31" s="854" t="e">
        <f aca="false">C31-B31</f>
        <v>#VALUE!</v>
      </c>
      <c r="E31" s="853"/>
      <c r="F31" s="853" t="n">
        <v>-1</v>
      </c>
      <c r="I31" s="620" t="s">
        <v>268</v>
      </c>
      <c r="J31" s="573" t="e">
        <f aca="false">B13</f>
        <v>#REF!</v>
      </c>
      <c r="K31" s="573"/>
      <c r="L31" s="573"/>
      <c r="M31" s="573"/>
    </row>
    <row r="32" customFormat="false" ht="10.15" hidden="false" customHeight="false" outlineLevel="0" collapsed="false">
      <c r="A32" s="418" t="s">
        <v>266</v>
      </c>
      <c r="B32" s="862" t="n">
        <v>39</v>
      </c>
      <c r="C32" s="827" t="e">
        <f aca="false">SUM('Inverter Loading'!M24:'inverter loading'!#ref!)</f>
        <v>#VALUE!</v>
      </c>
      <c r="D32" s="857" t="e">
        <f aca="false">C32-B32</f>
        <v>#VALUE!</v>
      </c>
      <c r="E32" s="418"/>
      <c r="F32" s="418" t="n">
        <v>-5</v>
      </c>
      <c r="J32" s="573"/>
      <c r="K32" s="573" t="n">
        <f aca="false">C13</f>
        <v>384.661</v>
      </c>
      <c r="L32" s="573" t="n">
        <f aca="false">D13</f>
        <v>41.529</v>
      </c>
      <c r="M32" s="573" t="n">
        <f aca="false">E13</f>
        <v>26.460295</v>
      </c>
    </row>
    <row r="33" customFormat="false" ht="10.15" hidden="false" customHeight="false" outlineLevel="0" collapsed="false">
      <c r="A33" s="853" t="s">
        <v>267</v>
      </c>
      <c r="B33" s="863" t="n">
        <v>62</v>
      </c>
      <c r="C33" s="854" t="e">
        <f aca="false">SUM('Inverter Loading'!M26:'inverter loading'!#ref!)</f>
        <v>#VALUE!</v>
      </c>
      <c r="D33" s="854" t="e">
        <f aca="false">C33-B33</f>
        <v>#VALUE!</v>
      </c>
      <c r="E33" s="853"/>
      <c r="F33" s="853" t="n">
        <v>-30</v>
      </c>
      <c r="J33" s="573"/>
      <c r="K33" s="573"/>
      <c r="L33" s="573"/>
      <c r="M33" s="573"/>
    </row>
    <row r="34" customFormat="false" ht="10.15" hidden="false" customHeight="false" outlineLevel="0" collapsed="false">
      <c r="A34" s="853" t="s">
        <v>268</v>
      </c>
      <c r="B34" s="863" t="n">
        <v>60</v>
      </c>
      <c r="C34" s="854" t="e">
        <f aca="false">SUM('inverter loading'!#ref!:'Inverter Loading'!M33)</f>
        <v>#VALUE!</v>
      </c>
      <c r="D34" s="854" t="e">
        <f aca="false">C34-B34</f>
        <v>#VALUE!</v>
      </c>
      <c r="E34" s="853"/>
      <c r="F34" s="853" t="n">
        <v>-7</v>
      </c>
      <c r="I34" s="864" t="s">
        <v>253</v>
      </c>
      <c r="J34" s="573" t="e">
        <f aca="false">B4</f>
        <v>#REF!</v>
      </c>
    </row>
    <row r="35" customFormat="false" ht="10.15" hidden="false" customHeight="false" outlineLevel="0" collapsed="false">
      <c r="A35" s="853" t="s">
        <v>269</v>
      </c>
      <c r="B35" s="863" t="n">
        <v>30</v>
      </c>
      <c r="C35" s="854" t="n">
        <f aca="false">SUM('Inverter Loading'!M34:M35)</f>
        <v>46</v>
      </c>
      <c r="D35" s="854" t="n">
        <f aca="false">C35-B35</f>
        <v>16</v>
      </c>
      <c r="E35" s="853"/>
      <c r="F35" s="853" t="n">
        <v>-9</v>
      </c>
      <c r="I35" s="865"/>
      <c r="J35" s="573"/>
      <c r="K35" s="573" t="n">
        <f aca="false">C4</f>
        <v>164.154</v>
      </c>
      <c r="L35" s="573" t="n">
        <f aca="false">D4</f>
        <v>13.8975</v>
      </c>
      <c r="M35" s="573" t="n">
        <f aca="false">E4</f>
        <v>0</v>
      </c>
    </row>
    <row r="36" customFormat="false" ht="10.15" hidden="false" customHeight="false" outlineLevel="0" collapsed="false">
      <c r="A36" s="853" t="s">
        <v>270</v>
      </c>
      <c r="B36" s="863" t="n">
        <v>11</v>
      </c>
      <c r="C36" s="854" t="n">
        <f aca="false">'Inverter Loading'!M36</f>
        <v>5</v>
      </c>
      <c r="D36" s="854" t="n">
        <f aca="false">C36-B36</f>
        <v>-6</v>
      </c>
      <c r="E36" s="853"/>
      <c r="F36" s="853" t="n">
        <v>-7</v>
      </c>
    </row>
    <row r="37" customFormat="false" ht="10.15" hidden="false" customHeight="false" outlineLevel="0" collapsed="false">
      <c r="A37" s="418" t="s">
        <v>271</v>
      </c>
      <c r="B37" s="862" t="n">
        <v>13</v>
      </c>
      <c r="C37" s="827" t="e">
        <f aca="false">'inverter loading'!#ref!</f>
        <v>#VALUE!</v>
      </c>
      <c r="D37" s="857" t="e">
        <f aca="false">C37-B37</f>
        <v>#VALUE!</v>
      </c>
      <c r="E37" s="418"/>
      <c r="F37" s="418" t="n">
        <v>-5</v>
      </c>
      <c r="I37" s="620" t="s">
        <v>256</v>
      </c>
      <c r="J37" s="573" t="e">
        <f aca="false">B6</f>
        <v>#REF!</v>
      </c>
      <c r="K37" s="573"/>
      <c r="L37" s="573"/>
      <c r="M37" s="573"/>
    </row>
    <row r="38" customFormat="false" ht="10.15" hidden="false" customHeight="false" outlineLevel="0" collapsed="false">
      <c r="A38" s="418" t="s">
        <v>272</v>
      </c>
      <c r="B38" s="862" t="n">
        <v>6</v>
      </c>
      <c r="C38" s="827" t="n">
        <f aca="false">'Inverter Loading'!M40</f>
        <v>4</v>
      </c>
      <c r="D38" s="857" t="n">
        <f aca="false">C38-B38</f>
        <v>-2</v>
      </c>
      <c r="E38" s="418"/>
      <c r="F38" s="418" t="n">
        <v>-1</v>
      </c>
      <c r="J38" s="573"/>
      <c r="K38" s="573" t="n">
        <f aca="false">C6</f>
        <v>114.123</v>
      </c>
      <c r="L38" s="573" t="n">
        <f aca="false">D6</f>
        <v>0</v>
      </c>
      <c r="M38" s="573" t="n">
        <f aca="false">E6</f>
        <v>5.777</v>
      </c>
    </row>
    <row r="39" customFormat="false" ht="10.15" hidden="false" customHeight="false" outlineLevel="0" collapsed="false">
      <c r="A39" s="801" t="s">
        <v>578</v>
      </c>
      <c r="B39" s="858" t="n">
        <f aca="false">SUM(B25:B38)</f>
        <v>444</v>
      </c>
      <c r="C39" s="858" t="e">
        <f aca="false">SUM(C25:C38)</f>
        <v>#VALUE!</v>
      </c>
      <c r="D39" s="858" t="e">
        <f aca="false">SUM(C39-B39)</f>
        <v>#VALUE!</v>
      </c>
      <c r="E39" s="801" t="n">
        <f aca="false">SUM(E25:E38)</f>
        <v>0</v>
      </c>
      <c r="F39" s="801" t="n">
        <f aca="false">SUM(F25:F38)</f>
        <v>-110</v>
      </c>
      <c r="J39" s="573"/>
      <c r="K39" s="573"/>
      <c r="L39" s="573"/>
      <c r="M39" s="573"/>
    </row>
    <row r="40" customFormat="false" ht="10.15" hidden="false" customHeight="false" outlineLevel="0" collapsed="false">
      <c r="A40" s="866" t="s">
        <v>1473</v>
      </c>
      <c r="B40" s="603" t="n">
        <f aca="false">SUM(B26+B27+B30+B31+B33+B34+B35+B36)</f>
        <v>371</v>
      </c>
      <c r="C40" s="603" t="e">
        <f aca="false">SUM(C26+C27+C30+C31+C33+C34+C35+C36)</f>
        <v>#VALUE!</v>
      </c>
      <c r="D40" s="860" t="n">
        <f aca="false">(F40+E40)*1.1</f>
        <v>-104.5</v>
      </c>
      <c r="E40" s="603" t="n">
        <f aca="false">SUM(E26+E27+E30+E31+E33+E34+E35+E36)</f>
        <v>0</v>
      </c>
      <c r="F40" s="603" t="n">
        <f aca="false">SUM(F26+F27+F30+F31+F33+F34+F35+F36)</f>
        <v>-95</v>
      </c>
      <c r="I40" s="620" t="s">
        <v>263</v>
      </c>
      <c r="J40" s="573" t="e">
        <f aca="false">B9</f>
        <v>#REF!</v>
      </c>
      <c r="K40" s="573"/>
      <c r="L40" s="573"/>
      <c r="M40" s="573"/>
    </row>
    <row r="41" customFormat="false" ht="10.15" hidden="false" customHeight="false" outlineLevel="0" collapsed="false">
      <c r="A41" s="867" t="s">
        <v>1474</v>
      </c>
      <c r="B41" s="861" t="n">
        <f aca="false">B39-B40</f>
        <v>73</v>
      </c>
      <c r="C41" s="861" t="e">
        <f aca="false">C39-C40</f>
        <v>#VALUE!</v>
      </c>
      <c r="D41" s="861" t="n">
        <f aca="false">SUM(F41+E41)*1.1</f>
        <v>-16.5</v>
      </c>
      <c r="E41" s="861" t="n">
        <f aca="false">E39-E40</f>
        <v>0</v>
      </c>
      <c r="F41" s="861" t="n">
        <f aca="false">F39-F40</f>
        <v>-15</v>
      </c>
      <c r="J41" s="573"/>
      <c r="K41" s="573" t="n">
        <f aca="false">C9</f>
        <v>309.2875</v>
      </c>
      <c r="L41" s="573" t="n">
        <f aca="false">D9</f>
        <v>98.8085</v>
      </c>
      <c r="M41" s="573" t="n">
        <f aca="false">E9</f>
        <v>21.0152</v>
      </c>
    </row>
    <row r="42" customFormat="false" ht="10.15" hidden="false" customHeight="false" outlineLevel="0" collapsed="false">
      <c r="J42" s="573"/>
      <c r="K42" s="573"/>
      <c r="L42" s="573"/>
      <c r="M42" s="573"/>
    </row>
    <row r="43" customFormat="false" ht="15" hidden="false" customHeight="false" outlineLevel="0" collapsed="false">
      <c r="B43" s="868" t="s">
        <v>1475</v>
      </c>
      <c r="C43" s="868"/>
      <c r="I43" s="620" t="s">
        <v>269</v>
      </c>
      <c r="J43" s="573" t="e">
        <f aca="false">B14</f>
        <v>#REF!</v>
      </c>
      <c r="K43" s="573"/>
      <c r="L43" s="573"/>
      <c r="M43" s="573"/>
    </row>
    <row r="44" customFormat="false" ht="10.15" hidden="false" customHeight="false" outlineLevel="0" collapsed="false">
      <c r="A44" s="418" t="s">
        <v>8</v>
      </c>
      <c r="B44" s="825" t="s">
        <v>1476</v>
      </c>
      <c r="C44" s="825" t="s">
        <v>1477</v>
      </c>
      <c r="D44" s="804" t="s">
        <v>1478</v>
      </c>
      <c r="E44" s="418" t="s">
        <v>1466</v>
      </c>
      <c r="F44" s="418" t="s">
        <v>1464</v>
      </c>
      <c r="G44" s="418" t="s">
        <v>1465</v>
      </c>
      <c r="H44" s="851"/>
      <c r="J44" s="573"/>
      <c r="K44" s="573" t="n">
        <f aca="false">C14</f>
        <v>271.737</v>
      </c>
      <c r="L44" s="573" t="n">
        <f aca="false">D14</f>
        <v>102.133</v>
      </c>
      <c r="M44" s="573" t="n">
        <f aca="false">E14</f>
        <v>7.194</v>
      </c>
    </row>
    <row r="45" customFormat="false" ht="10.15" hidden="false" customHeight="false" outlineLevel="0" collapsed="false">
      <c r="A45" s="418" t="s">
        <v>274</v>
      </c>
      <c r="B45" s="869" t="n">
        <v>36</v>
      </c>
      <c r="C45" s="827" t="n">
        <f aca="false">'Plant loading'!G94</f>
        <v>41.2565</v>
      </c>
      <c r="D45" s="827" t="n">
        <v>13</v>
      </c>
      <c r="E45" s="827" t="n">
        <v>6</v>
      </c>
      <c r="F45" s="827" t="n">
        <v>6</v>
      </c>
      <c r="G45" s="827"/>
      <c r="J45" s="573"/>
      <c r="K45" s="573"/>
      <c r="L45" s="573"/>
      <c r="M45" s="573"/>
    </row>
    <row r="46" customFormat="false" ht="10.15" hidden="false" customHeight="false" outlineLevel="0" collapsed="false">
      <c r="A46" s="418" t="s">
        <v>277</v>
      </c>
      <c r="B46" s="869" t="n">
        <v>39</v>
      </c>
      <c r="C46" s="827" t="n">
        <f aca="false">'Plant loading'!G99</f>
        <v>44.0905</v>
      </c>
      <c r="D46" s="827"/>
      <c r="E46" s="827" t="n">
        <f aca="false">C46-B46-D46</f>
        <v>5.0905</v>
      </c>
      <c r="F46" s="827" t="n">
        <v>0</v>
      </c>
      <c r="G46" s="827"/>
      <c r="I46" s="620" t="s">
        <v>270</v>
      </c>
      <c r="J46" s="573" t="e">
        <f aca="false">B15</f>
        <v>#REF!</v>
      </c>
      <c r="K46" s="573"/>
      <c r="L46" s="573"/>
      <c r="M46" s="573"/>
    </row>
    <row r="47" customFormat="false" ht="10.15" hidden="false" customHeight="false" outlineLevel="0" collapsed="false">
      <c r="A47" s="418" t="s">
        <v>276</v>
      </c>
      <c r="B47" s="869" t="n">
        <v>36</v>
      </c>
      <c r="C47" s="827" t="n">
        <f aca="false">'Plant loading'!G96</f>
        <v>39.5125</v>
      </c>
      <c r="D47" s="827"/>
      <c r="E47" s="827" t="n">
        <v>-4</v>
      </c>
      <c r="F47" s="827"/>
      <c r="G47" s="827" t="n">
        <v>-4</v>
      </c>
      <c r="J47" s="573"/>
      <c r="K47" s="573" t="n">
        <f aca="false">C15</f>
        <v>100.389</v>
      </c>
      <c r="L47" s="573" t="n">
        <f aca="false">D15</f>
        <v>0</v>
      </c>
      <c r="M47" s="573" t="n">
        <f aca="false">E15</f>
        <v>6.97055</v>
      </c>
    </row>
    <row r="48" customFormat="false" ht="10.15" hidden="false" customHeight="false" outlineLevel="0" collapsed="false">
      <c r="A48" s="418" t="s">
        <v>278</v>
      </c>
      <c r="B48" s="869" t="n">
        <v>19</v>
      </c>
      <c r="C48" s="827" t="n">
        <f aca="false">'Plant loading'!G101</f>
        <v>33.136</v>
      </c>
      <c r="D48" s="827" t="n">
        <v>21</v>
      </c>
      <c r="E48" s="827" t="n">
        <f aca="false">C48-B48-D48</f>
        <v>-6.864</v>
      </c>
      <c r="F48" s="827" t="n">
        <v>2</v>
      </c>
      <c r="G48" s="827"/>
    </row>
    <row r="49" customFormat="false" ht="10.15" hidden="false" customHeight="false" outlineLevel="0" collapsed="false">
      <c r="A49" s="825" t="s">
        <v>279</v>
      </c>
      <c r="B49" s="869" t="n">
        <v>9</v>
      </c>
      <c r="C49" s="827" t="n">
        <f aca="false">'Plant loading'!G103</f>
        <v>9.7555</v>
      </c>
      <c r="D49" s="827"/>
      <c r="E49" s="827" t="n">
        <f aca="false">C49-B49-D49</f>
        <v>0.7555</v>
      </c>
      <c r="F49" s="827" t="n">
        <v>0</v>
      </c>
      <c r="G49" s="827"/>
    </row>
    <row r="50" customFormat="false" ht="10.15" hidden="false" customHeight="false" outlineLevel="0" collapsed="false">
      <c r="A50" s="825" t="s">
        <v>1479</v>
      </c>
      <c r="B50" s="869" t="n">
        <v>22</v>
      </c>
      <c r="C50" s="827" t="e">
        <f aca="false">'plant loading'!#ref!</f>
        <v>#VALUE!</v>
      </c>
      <c r="D50" s="827"/>
      <c r="E50" s="827" t="e">
        <f aca="false">C50-B50-D50</f>
        <v>#VALUE!</v>
      </c>
      <c r="F50" s="827"/>
      <c r="G50" s="827" t="n">
        <v>-3</v>
      </c>
    </row>
    <row r="51" customFormat="false" ht="10.15" hidden="false" customHeight="false" outlineLevel="0" collapsed="false">
      <c r="A51" s="825" t="s">
        <v>280</v>
      </c>
      <c r="B51" s="869" t="n">
        <v>60</v>
      </c>
      <c r="C51" s="827" t="n">
        <f aca="false">'Plant loading'!G105</f>
        <v>54.5545</v>
      </c>
      <c r="D51" s="827"/>
      <c r="E51" s="827" t="n">
        <v>23</v>
      </c>
      <c r="F51" s="827" t="n">
        <v>23</v>
      </c>
      <c r="G51" s="827"/>
    </row>
    <row r="52" customFormat="false" ht="10.15" hidden="false" customHeight="false" outlineLevel="0" collapsed="false">
      <c r="A52" s="825" t="s">
        <v>686</v>
      </c>
      <c r="B52" s="869" t="n">
        <v>7.1068</v>
      </c>
      <c r="C52" s="827" t="e">
        <f aca="false">SUM('plant loading'!#ref!)</f>
        <v>#VALUE!</v>
      </c>
      <c r="D52" s="827"/>
      <c r="E52" s="827" t="e">
        <f aca="false">C52-B52-D52</f>
        <v>#VALUE!</v>
      </c>
      <c r="F52" s="827"/>
      <c r="G52" s="827" t="n">
        <v>-1</v>
      </c>
    </row>
    <row r="53" customFormat="false" ht="10.15" hidden="false" customHeight="false" outlineLevel="0" collapsed="false">
      <c r="A53" s="418" t="s">
        <v>282</v>
      </c>
      <c r="B53" s="869" t="n">
        <v>46</v>
      </c>
      <c r="C53" s="827" t="n">
        <f aca="false">'Plant loading'!G109</f>
        <v>38.695</v>
      </c>
      <c r="D53" s="827"/>
      <c r="E53" s="827" t="n">
        <v>-3</v>
      </c>
      <c r="F53" s="827"/>
      <c r="G53" s="827" t="n">
        <v>-3</v>
      </c>
    </row>
    <row r="54" customFormat="false" ht="10.15" hidden="false" customHeight="false" outlineLevel="0" collapsed="false">
      <c r="A54" s="418" t="s">
        <v>281</v>
      </c>
      <c r="B54" s="869" t="n">
        <v>63</v>
      </c>
      <c r="C54" s="827" t="n">
        <f aca="false">'Plant loading'!G107</f>
        <v>29.212</v>
      </c>
      <c r="D54" s="827" t="n">
        <v>11</v>
      </c>
      <c r="E54" s="827" t="n">
        <v>7</v>
      </c>
      <c r="F54" s="827" t="n">
        <v>7</v>
      </c>
      <c r="G54" s="827"/>
    </row>
    <row r="55" customFormat="false" ht="10.15" hidden="false" customHeight="false" outlineLevel="0" collapsed="false">
      <c r="A55" s="418" t="s">
        <v>283</v>
      </c>
      <c r="B55" s="869" t="n">
        <v>22.7265</v>
      </c>
      <c r="C55" s="827" t="n">
        <f aca="false">'Plant loading'!G112</f>
        <v>16.132</v>
      </c>
      <c r="D55" s="827" t="n">
        <v>14</v>
      </c>
      <c r="E55" s="827" t="n">
        <f aca="false">C55-B55-D55</f>
        <v>-20.5945</v>
      </c>
      <c r="F55" s="827"/>
      <c r="G55" s="827" t="n">
        <v>-9</v>
      </c>
    </row>
    <row r="56" customFormat="false" ht="10.15" hidden="false" customHeight="false" outlineLevel="0" collapsed="false">
      <c r="A56" s="825" t="s">
        <v>284</v>
      </c>
      <c r="B56" s="869" t="n">
        <v>55</v>
      </c>
      <c r="C56" s="827" t="n">
        <f aca="false">'Plant loading'!G114</f>
        <v>43.927</v>
      </c>
      <c r="D56" s="827" t="n">
        <v>18</v>
      </c>
      <c r="E56" s="827" t="n">
        <f aca="false">C56-B56-D56</f>
        <v>-29.073</v>
      </c>
      <c r="F56" s="827" t="n">
        <v>0</v>
      </c>
      <c r="G56" s="827"/>
    </row>
    <row r="57" customFormat="false" ht="10.15" hidden="false" customHeight="false" outlineLevel="0" collapsed="false">
      <c r="A57" s="825" t="s">
        <v>285</v>
      </c>
      <c r="B57" s="869" t="n">
        <v>44.0033</v>
      </c>
      <c r="C57" s="827" t="n">
        <f aca="false">'Plant loading'!G116</f>
        <v>45.126</v>
      </c>
      <c r="D57" s="827"/>
      <c r="E57" s="827" t="n">
        <f aca="false">C57-B57-D57</f>
        <v>1.1227</v>
      </c>
      <c r="F57" s="827"/>
      <c r="G57" s="827" t="n">
        <v>-3</v>
      </c>
    </row>
    <row r="58" customFormat="false" ht="10.15" hidden="false" customHeight="false" outlineLevel="0" collapsed="false">
      <c r="A58" s="825" t="s">
        <v>687</v>
      </c>
      <c r="B58" s="869" t="n">
        <v>4.5998</v>
      </c>
      <c r="C58" s="827" t="e">
        <f aca="false">'plant loading'!#ref!</f>
        <v>#VALUE!</v>
      </c>
      <c r="D58" s="827"/>
      <c r="E58" s="827" t="n">
        <v>-2</v>
      </c>
      <c r="F58" s="827"/>
      <c r="G58" s="827" t="n">
        <v>-2</v>
      </c>
    </row>
    <row r="59" customFormat="false" ht="10.15" hidden="false" customHeight="false" outlineLevel="0" collapsed="false">
      <c r="A59" s="801" t="s">
        <v>578</v>
      </c>
      <c r="B59" s="858" t="n">
        <f aca="false">SUM(B45:B58)</f>
        <v>463.4364</v>
      </c>
      <c r="C59" s="858" t="e">
        <f aca="false">SUM(C45:C58)</f>
        <v>#VALUE!</v>
      </c>
      <c r="D59" s="858" t="n">
        <f aca="false">SUM(D45:D58)</f>
        <v>77</v>
      </c>
      <c r="E59" s="827" t="e">
        <f aca="false">C59-B59-D59</f>
        <v>#VALUE!</v>
      </c>
      <c r="F59" s="827" t="n">
        <f aca="false">SUM(F45:F58)</f>
        <v>38</v>
      </c>
      <c r="G59" s="827" t="n">
        <f aca="false">SUM(G45:G58)</f>
        <v>-25</v>
      </c>
    </row>
    <row r="61" customFormat="false" ht="15" hidden="false" customHeight="false" outlineLevel="0" collapsed="false">
      <c r="B61" s="870" t="s">
        <v>1480</v>
      </c>
      <c r="C61" s="870"/>
    </row>
    <row r="62" customFormat="false" ht="10.15" hidden="false" customHeight="false" outlineLevel="0" collapsed="false">
      <c r="A62" s="418" t="s">
        <v>8</v>
      </c>
      <c r="B62" s="825" t="s">
        <v>1481</v>
      </c>
      <c r="C62" s="825" t="s">
        <v>1482</v>
      </c>
      <c r="D62" s="805" t="s">
        <v>1472</v>
      </c>
      <c r="E62" s="418" t="s">
        <v>1464</v>
      </c>
      <c r="F62" s="418" t="s">
        <v>1465</v>
      </c>
      <c r="H62" s="851" t="n">
        <v>41153</v>
      </c>
    </row>
    <row r="63" customFormat="false" ht="10.15" hidden="false" customHeight="false" outlineLevel="0" collapsed="false">
      <c r="A63" s="418" t="s">
        <v>274</v>
      </c>
      <c r="B63" s="827" t="n">
        <v>2.18</v>
      </c>
      <c r="C63" s="418" t="n">
        <f aca="false">'Inverter Loading'!M44</f>
        <v>1.15</v>
      </c>
      <c r="D63" s="827" t="n">
        <f aca="false">SUM(C63-B63)</f>
        <v>-1.03</v>
      </c>
      <c r="E63" s="418"/>
      <c r="F63" s="418" t="n">
        <v>-1</v>
      </c>
      <c r="H63" s="0" t="n">
        <v>2</v>
      </c>
    </row>
    <row r="64" customFormat="false" ht="10.15" hidden="false" customHeight="false" outlineLevel="0" collapsed="false">
      <c r="A64" s="418" t="s">
        <v>277</v>
      </c>
      <c r="B64" s="827" t="n">
        <v>2.18</v>
      </c>
      <c r="C64" s="418" t="n">
        <f aca="false">'Inverter Loading'!M46</f>
        <v>1.15</v>
      </c>
      <c r="D64" s="827" t="n">
        <f aca="false">SUM(C64-B64)</f>
        <v>-1.03</v>
      </c>
      <c r="E64" s="418"/>
      <c r="F64" s="418"/>
      <c r="H64" s="0" t="n">
        <v>2</v>
      </c>
    </row>
    <row r="65" customFormat="false" ht="10.15" hidden="false" customHeight="false" outlineLevel="0" collapsed="false">
      <c r="A65" s="418" t="s">
        <v>278</v>
      </c>
      <c r="B65" s="827" t="n">
        <v>3.27</v>
      </c>
      <c r="C65" s="418" t="n">
        <f aca="false">'Inverter Loading'!M47</f>
        <v>1.61</v>
      </c>
      <c r="D65" s="827" t="n">
        <f aca="false">SUM(C65-B65)</f>
        <v>-1.66</v>
      </c>
      <c r="E65" s="418"/>
      <c r="F65" s="418" t="n">
        <v>-1</v>
      </c>
      <c r="H65" s="0" t="n">
        <v>2</v>
      </c>
    </row>
    <row r="66" customFormat="false" ht="10.15" hidden="false" customHeight="false" outlineLevel="0" collapsed="false">
      <c r="A66" s="418" t="s">
        <v>279</v>
      </c>
      <c r="B66" s="827" t="n">
        <v>0.2507</v>
      </c>
      <c r="C66" s="418" t="n">
        <f aca="false">'Inverter Loading'!M48</f>
        <v>0.46</v>
      </c>
      <c r="D66" s="827" t="n">
        <f aca="false">SUM(C66-B66)</f>
        <v>0.2093</v>
      </c>
      <c r="E66" s="418"/>
      <c r="F66" s="418"/>
      <c r="G66" s="871" t="s">
        <v>1483</v>
      </c>
      <c r="H66" s="620" t="n">
        <v>0.23</v>
      </c>
    </row>
    <row r="67" customFormat="false" ht="10.15" hidden="false" customHeight="false" outlineLevel="0" collapsed="false">
      <c r="A67" s="825" t="s">
        <v>1479</v>
      </c>
      <c r="B67" s="827" t="n">
        <v>1.09</v>
      </c>
      <c r="C67" s="418" t="e">
        <f aca="false">'inverter loading'!#ref!</f>
        <v>#VALUE!</v>
      </c>
      <c r="D67" s="827" t="e">
        <f aca="false">SUM(C67-B67)</f>
        <v>#VALUE!</v>
      </c>
      <c r="E67" s="418"/>
      <c r="F67" s="418"/>
      <c r="H67" s="620" t="n">
        <v>1</v>
      </c>
    </row>
    <row r="68" customFormat="false" ht="10.15" hidden="false" customHeight="false" outlineLevel="0" collapsed="false">
      <c r="A68" s="418" t="s">
        <v>280</v>
      </c>
      <c r="B68" s="827" t="n">
        <v>2.18</v>
      </c>
      <c r="C68" s="418" t="n">
        <f aca="false">'Inverter Loading'!M49</f>
        <v>1.61</v>
      </c>
      <c r="D68" s="827" t="n">
        <f aca="false">SUM(C68-B68)</f>
        <v>-0.57</v>
      </c>
      <c r="E68" s="418"/>
      <c r="F68" s="418"/>
      <c r="H68" s="620" t="n">
        <v>2</v>
      </c>
    </row>
    <row r="69" customFormat="false" ht="10.15" hidden="false" customHeight="false" outlineLevel="0" collapsed="false">
      <c r="A69" s="418" t="s">
        <v>686</v>
      </c>
      <c r="B69" s="827" t="n">
        <v>0.2507</v>
      </c>
      <c r="C69" s="418" t="e">
        <f aca="false">'inverter loading'!#ref!</f>
        <v>#VALUE!</v>
      </c>
      <c r="D69" s="827" t="e">
        <f aca="false">SUM(C69-B69)</f>
        <v>#VALUE!</v>
      </c>
      <c r="E69" s="418"/>
      <c r="F69" s="418"/>
      <c r="H69" s="620" t="n">
        <v>0.23</v>
      </c>
    </row>
    <row r="70" customFormat="false" ht="10.15" hidden="false" customHeight="false" outlineLevel="0" collapsed="false">
      <c r="A70" s="418" t="s">
        <v>282</v>
      </c>
      <c r="B70" s="827" t="n">
        <v>2.18</v>
      </c>
      <c r="C70" s="418" t="n">
        <f aca="false">'Inverter Loading'!M50</f>
        <v>1.38</v>
      </c>
      <c r="D70" s="827" t="n">
        <f aca="false">SUM(C70-B70)</f>
        <v>-0.8</v>
      </c>
      <c r="E70" s="418"/>
      <c r="F70" s="418"/>
      <c r="H70" s="620" t="n">
        <v>2</v>
      </c>
    </row>
    <row r="71" customFormat="false" ht="10.15" hidden="false" customHeight="false" outlineLevel="0" collapsed="false">
      <c r="A71" s="418" t="s">
        <v>281</v>
      </c>
      <c r="B71" s="827" t="n">
        <v>3.27</v>
      </c>
      <c r="C71" s="418" t="n">
        <f aca="false">'Inverter Loading'!M51</f>
        <v>5.98</v>
      </c>
      <c r="D71" s="827" t="n">
        <f aca="false">SUM(C71-B71)</f>
        <v>2.71</v>
      </c>
      <c r="E71" s="418"/>
      <c r="F71" s="418"/>
      <c r="H71" s="620" t="n">
        <v>3</v>
      </c>
    </row>
    <row r="72" customFormat="false" ht="10.15" hidden="false" customHeight="false" outlineLevel="0" collapsed="false">
      <c r="A72" s="418" t="s">
        <v>284</v>
      </c>
      <c r="B72" s="827" t="n">
        <v>3.27</v>
      </c>
      <c r="C72" s="418" t="n">
        <f aca="false">'Inverter Loading'!M54</f>
        <v>1.38</v>
      </c>
      <c r="D72" s="827" t="n">
        <f aca="false">SUM(C72-B72)</f>
        <v>-1.89</v>
      </c>
      <c r="E72" s="418"/>
      <c r="F72" s="418" t="n">
        <v>-1</v>
      </c>
      <c r="H72" s="620" t="n">
        <v>3</v>
      </c>
    </row>
    <row r="73" customFormat="false" ht="10.15" hidden="false" customHeight="false" outlineLevel="0" collapsed="false">
      <c r="A73" s="825" t="s">
        <v>285</v>
      </c>
      <c r="B73" s="827" t="n">
        <v>0.2507</v>
      </c>
      <c r="C73" s="418" t="n">
        <f aca="false">'Inverter Loading'!M55</f>
        <v>0.69</v>
      </c>
      <c r="D73" s="827" t="n">
        <f aca="false">SUM(C73-B73)</f>
        <v>0.4393</v>
      </c>
      <c r="E73" s="418"/>
      <c r="F73" s="418"/>
      <c r="H73" s="620" t="n">
        <v>0.23</v>
      </c>
    </row>
    <row r="74" customFormat="false" ht="10.15" hidden="false" customHeight="false" outlineLevel="0" collapsed="false">
      <c r="A74" s="825" t="s">
        <v>687</v>
      </c>
      <c r="B74" s="827" t="n">
        <v>0.2507</v>
      </c>
      <c r="C74" s="418" t="e">
        <f aca="false">'inverter loading'!#ref!</f>
        <v>#VALUE!</v>
      </c>
      <c r="D74" s="827" t="n">
        <v>0</v>
      </c>
      <c r="E74" s="418"/>
      <c r="F74" s="418"/>
      <c r="H74" s="620" t="n">
        <v>0.23</v>
      </c>
    </row>
    <row r="75" s="442" customFormat="true" ht="10.15" hidden="false" customHeight="false" outlineLevel="0" collapsed="false">
      <c r="A75" s="801" t="s">
        <v>578</v>
      </c>
      <c r="B75" s="858" t="n">
        <f aca="false">SUM(B63:B73)</f>
        <v>20.3721</v>
      </c>
      <c r="C75" s="801" t="e">
        <f aca="false">SUM(C63:C73)</f>
        <v>#VALUE!</v>
      </c>
      <c r="D75" s="858" t="n">
        <v>-3</v>
      </c>
      <c r="E75" s="801"/>
      <c r="F75" s="801" t="n">
        <f aca="false">SUM(F63:F73)</f>
        <v>-3</v>
      </c>
    </row>
  </sheetData>
  <mergeCells count="5">
    <mergeCell ref="B1:C1"/>
    <mergeCell ref="J2:L2"/>
    <mergeCell ref="B22:C22"/>
    <mergeCell ref="B43:C43"/>
    <mergeCell ref="B61:C61"/>
  </mergeCells>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S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ColWidth="8.66796875" defaultRowHeight="10.15" zeroHeight="false" outlineLevelRow="0" outlineLevelCol="2"/>
  <cols>
    <col collapsed="false" customWidth="true" hidden="false" outlineLevel="0" max="1" min="1" style="0" width="15.66"/>
    <col collapsed="false" customWidth="true" hidden="false" outlineLevel="0" max="2" min="2" style="0" width="21.17"/>
    <col collapsed="false" customWidth="true" hidden="false" outlineLevel="0" max="3" min="3" style="0" width="20.5"/>
    <col collapsed="false" customWidth="true" hidden="false" outlineLevel="0" max="4" min="4" style="0" width="23.66"/>
    <col collapsed="false" customWidth="true" hidden="false" outlineLevel="0" max="5" min="5" style="0" width="24"/>
    <col collapsed="false" customWidth="true" hidden="false" outlineLevel="0" max="6" min="6" style="0" width="19.66"/>
    <col collapsed="false" customWidth="true" hidden="false" outlineLevel="1" max="7" min="7" style="0" width="19.66"/>
    <col collapsed="false" customWidth="true" hidden="false" outlineLevel="1" max="8" min="8" style="0" width="21.17"/>
    <col collapsed="false" customWidth="true" hidden="false" outlineLevel="1" max="9" min="9" style="0" width="30"/>
    <col collapsed="false" customWidth="true" hidden="false" outlineLevel="0" max="11" min="10" style="0" width="18.66"/>
    <col collapsed="false" customWidth="true" hidden="false" outlineLevel="2" max="12" min="12" style="0" width="11.17"/>
    <col collapsed="false" customWidth="true" hidden="false" outlineLevel="2" max="13" min="13" style="0" width="14"/>
    <col collapsed="false" customWidth="false" hidden="false" outlineLevel="2" max="14" min="14" style="0" width="8.66"/>
    <col collapsed="false" customWidth="true" hidden="false" outlineLevel="2" max="15" min="15" style="0" width="10.66"/>
    <col collapsed="false" customWidth="true" hidden="false" outlineLevel="2" max="16" min="16" style="0" width="9.66"/>
    <col collapsed="false" customWidth="true" hidden="false" outlineLevel="2" max="17" min="17" style="0" width="10"/>
    <col collapsed="false" customWidth="true" hidden="false" outlineLevel="0" max="18" min="18" style="0" width="19.17"/>
    <col collapsed="false" customWidth="true" hidden="false" outlineLevel="0" max="19" min="19" style="0" width="19.66"/>
  </cols>
  <sheetData>
    <row r="2" customFormat="false" ht="10.15" hidden="false" customHeight="false" outlineLevel="0" collapsed="false">
      <c r="A2" s="442" t="str">
        <f aca="false">'Plant loading'!A2</f>
        <v>MTX</v>
      </c>
      <c r="B2" s="442" t="str">
        <f aca="false">'Plant loading'!B2</f>
        <v>Power Element Name</v>
      </c>
      <c r="C2" s="442" t="str">
        <f aca="false">'Plant loading'!C2</f>
        <v>Power Element Type</v>
      </c>
      <c r="D2" s="442" t="str">
        <f aca="false">'Plant loading'!D2</f>
        <v>Element Load (A) Dec 24</v>
      </c>
      <c r="E2" s="442" t="str">
        <f aca="false">'Plant loading'!E2</f>
        <v>Element Load (A) 19/01/25</v>
      </c>
      <c r="F2" s="442" t="str">
        <f aca="false">'Plant loading'!G2</f>
        <v>Total Running Site Load (kW)/(%)</v>
      </c>
      <c r="G2" s="442" t="str">
        <f aca="false">'Plant loading'!H2</f>
        <v>Number of Modules</v>
      </c>
      <c r="H2" s="442" t="str">
        <f aca="false">'Plant loading'!I2</f>
        <v>Module Capacity (kW)</v>
      </c>
      <c r="I2" s="442" t="str">
        <f aca="false">'Plant loading'!J2</f>
        <v>Power Element Capability (kW)</v>
      </c>
      <c r="J2" s="442" t="s">
        <v>1484</v>
      </c>
      <c r="K2" s="442" t="s">
        <v>1485</v>
      </c>
      <c r="L2" s="442" t="s">
        <v>1486</v>
      </c>
      <c r="M2" s="442" t="s">
        <v>1487</v>
      </c>
      <c r="N2" s="609" t="s">
        <v>1488</v>
      </c>
      <c r="O2" s="442" t="s">
        <v>1489</v>
      </c>
      <c r="P2" s="442" t="s">
        <v>1490</v>
      </c>
      <c r="Q2" s="442" t="s">
        <v>1491</v>
      </c>
      <c r="R2" s="442" t="s">
        <v>1492</v>
      </c>
      <c r="S2" s="442" t="s">
        <v>1493</v>
      </c>
    </row>
    <row r="4" customFormat="false" ht="10.15" hidden="false" customHeight="false" outlineLevel="0" collapsed="false">
      <c r="A4" s="0" t="str">
        <f aca="false">'Plant loading'!A4</f>
        <v>Acton</v>
      </c>
      <c r="B4" s="595" t="str">
        <f aca="false">'Plant loading'!B4</f>
        <v>PEAAN</v>
      </c>
      <c r="C4" s="595" t="str">
        <f aca="false">'Plant loading'!C4</f>
        <v>eSure</v>
      </c>
      <c r="D4" s="595" t="n">
        <f aca="false">'Plant loading'!D4</f>
        <v>601</v>
      </c>
      <c r="E4" s="595" t="n">
        <f aca="false">'Plant loading'!E4</f>
        <v>584</v>
      </c>
      <c r="F4" s="595" t="n">
        <f aca="false">'Plant loading'!G4</f>
        <v>164.154</v>
      </c>
      <c r="G4" s="595" t="n">
        <f aca="false">'Plant loading'!H4</f>
        <v>36</v>
      </c>
      <c r="H4" s="595" t="n">
        <v>3.5</v>
      </c>
      <c r="I4" s="595" t="n">
        <f aca="false">'Plant loading'!J4</f>
        <v>126</v>
      </c>
      <c r="J4" s="872" t="n">
        <f aca="false">D4/(G4*((H4*1000)/58))</f>
        <v>0.276650793650794</v>
      </c>
      <c r="K4" s="872" t="n">
        <v>0.5</v>
      </c>
      <c r="L4" s="873" t="n">
        <f aca="false">ROUNDDOWN((H4*1000/58),0)</f>
        <v>60</v>
      </c>
      <c r="M4" s="595" t="n">
        <f aca="false">L4*K4</f>
        <v>30</v>
      </c>
      <c r="N4" s="595" t="n">
        <f aca="false">ROUNDUP((E4/M4),0)</f>
        <v>20</v>
      </c>
      <c r="O4" s="595" t="n">
        <f aca="false">N4*L4</f>
        <v>1200</v>
      </c>
      <c r="P4" s="450" t="n">
        <f aca="false">O4-L4</f>
        <v>1140</v>
      </c>
      <c r="Q4" s="595" t="n">
        <f aca="false">O4+(L4*K4)</f>
        <v>1230</v>
      </c>
      <c r="R4" s="595" t="n">
        <f aca="false">ROUNDUP((P4-E4)/L4*100,0)</f>
        <v>927</v>
      </c>
      <c r="S4" s="595" t="n">
        <f aca="false">ROUNDUP((Q4-E4)/(L4)*100,0)</f>
        <v>1077</v>
      </c>
    </row>
    <row r="5" customFormat="false" ht="10.15" hidden="false" customHeight="false" outlineLevel="0" collapsed="false">
      <c r="A5" s="0" t="str">
        <f aca="false">'Plant loading'!A5</f>
        <v>Acton</v>
      </c>
      <c r="B5" s="595" t="str">
        <f aca="false">'Plant loading'!B5</f>
        <v>PEBAN</v>
      </c>
      <c r="C5" s="595" t="str">
        <f aca="false">'Plant loading'!C5</f>
        <v>eSure</v>
      </c>
      <c r="D5" s="595" t="n">
        <f aca="false">'Plant loading'!D5</f>
        <v>550</v>
      </c>
      <c r="E5" s="595" t="n">
        <f aca="false">'Plant loading'!E5</f>
        <v>547</v>
      </c>
      <c r="F5" s="595" t="n">
        <f aca="false">'Plant loading'!G5</f>
        <v>0</v>
      </c>
      <c r="G5" s="595" t="n">
        <f aca="false">'Plant loading'!H5</f>
        <v>36</v>
      </c>
      <c r="H5" s="595" t="n">
        <f aca="false">'Plant loading'!I5</f>
        <v>3.5</v>
      </c>
      <c r="I5" s="595" t="n">
        <f aca="false">'Plant loading'!J5</f>
        <v>126</v>
      </c>
      <c r="J5" s="872" t="n">
        <f aca="false">D5/(G5*((H5*1000)/58))</f>
        <v>0.253174603174603</v>
      </c>
      <c r="K5" s="872" t="n">
        <v>0.5</v>
      </c>
      <c r="L5" s="873" t="n">
        <f aca="false">ROUNDDOWN((H5*1000/58),0)</f>
        <v>60</v>
      </c>
      <c r="M5" s="595" t="n">
        <f aca="false">L5*K5</f>
        <v>30</v>
      </c>
      <c r="N5" s="595" t="n">
        <f aca="false">ROUNDUP((E5/M5),0)</f>
        <v>19</v>
      </c>
      <c r="O5" s="595" t="n">
        <f aca="false">N5*L5</f>
        <v>1140</v>
      </c>
      <c r="P5" s="450" t="n">
        <f aca="false">O5-L5</f>
        <v>1080</v>
      </c>
      <c r="Q5" s="595" t="n">
        <f aca="false">O5+(L5*K5)</f>
        <v>1170</v>
      </c>
      <c r="R5" s="595" t="n">
        <f aca="false">ROUNDUP((P5-E5)/L5*100,0)</f>
        <v>889</v>
      </c>
      <c r="S5" s="595" t="n">
        <f aca="false">ROUNDUP((Q5-E5)/(L5)*100,0)</f>
        <v>1039</v>
      </c>
    </row>
    <row r="6" customFormat="false" ht="10.15" hidden="false" customHeight="false" outlineLevel="0" collapsed="false">
      <c r="A6" s="0" t="str">
        <f aca="false">'Plant loading'!A6</f>
        <v>Acton</v>
      </c>
      <c r="B6" s="595" t="str">
        <f aca="false">'Plant loading'!B6</f>
        <v>PECAN</v>
      </c>
      <c r="C6" s="595" t="str">
        <f aca="false">'Plant loading'!C6</f>
        <v>eSure</v>
      </c>
      <c r="D6" s="595" t="n">
        <f aca="false">'Plant loading'!D6</f>
        <v>461</v>
      </c>
      <c r="E6" s="595" t="n">
        <f aca="false">'Plant loading'!E6</f>
        <v>449</v>
      </c>
      <c r="F6" s="595" t="n">
        <f aca="false">'Plant loading'!G6</f>
        <v>0</v>
      </c>
      <c r="G6" s="595" t="n">
        <f aca="false">'Plant loading'!H6</f>
        <v>36</v>
      </c>
      <c r="H6" s="595" t="n">
        <f aca="false">'Plant loading'!I6</f>
        <v>3.5</v>
      </c>
      <c r="I6" s="595" t="n">
        <f aca="false">'Plant loading'!J6</f>
        <v>126</v>
      </c>
      <c r="J6" s="872" t="n">
        <f aca="false">D6/(G6*((H6*1000)/58))</f>
        <v>0.212206349206349</v>
      </c>
      <c r="K6" s="872" t="n">
        <v>0.5</v>
      </c>
      <c r="L6" s="873" t="n">
        <f aca="false">ROUNDDOWN((H6*1000/58),0)</f>
        <v>60</v>
      </c>
      <c r="M6" s="595" t="n">
        <f aca="false">L6*K6</f>
        <v>30</v>
      </c>
      <c r="N6" s="595" t="n">
        <f aca="false">ROUNDUP((E6/M6),0)</f>
        <v>15</v>
      </c>
      <c r="O6" s="595" t="n">
        <f aca="false">N6*L6</f>
        <v>900</v>
      </c>
      <c r="P6" s="450" t="n">
        <f aca="false">O6-L6</f>
        <v>840</v>
      </c>
      <c r="Q6" s="595" t="n">
        <f aca="false">O6+(L6*K6)</f>
        <v>930</v>
      </c>
      <c r="R6" s="595" t="n">
        <f aca="false">ROUNDUP((P6-E6)/L6*100,0)</f>
        <v>652</v>
      </c>
      <c r="S6" s="595" t="n">
        <f aca="false">ROUNDUP((Q6-E6)/(L6)*100,0)</f>
        <v>802</v>
      </c>
    </row>
    <row r="7" customFormat="false" ht="10.15" hidden="false" customHeight="false" outlineLevel="0" collapsed="false">
      <c r="A7" s="0" t="str">
        <f aca="false">'Plant loading'!A7</f>
        <v>Acton</v>
      </c>
      <c r="B7" s="595" t="str">
        <f aca="false">'Plant loading'!B7</f>
        <v>PEFAN</v>
      </c>
      <c r="C7" s="595" t="str">
        <f aca="false">'Plant loading'!C7</f>
        <v>eSure</v>
      </c>
      <c r="D7" s="595" t="n">
        <f aca="false">'Plant loading'!D7</f>
        <v>706</v>
      </c>
      <c r="E7" s="595" t="n">
        <f aca="false">'Plant loading'!E7</f>
        <v>693</v>
      </c>
      <c r="F7" s="595" t="n">
        <f aca="false">'Plant loading'!G7</f>
        <v>0.52112380952381</v>
      </c>
      <c r="G7" s="595" t="n">
        <f aca="false">'Plant loading'!H7</f>
        <v>36</v>
      </c>
      <c r="H7" s="595" t="n">
        <f aca="false">'Plant loading'!I7</f>
        <v>3.5</v>
      </c>
      <c r="I7" s="595" t="n">
        <f aca="false">'Plant loading'!J7</f>
        <v>126</v>
      </c>
      <c r="J7" s="872" t="n">
        <f aca="false">D7/(G7*((H7*1000)/58))</f>
        <v>0.324984126984127</v>
      </c>
      <c r="K7" s="872" t="n">
        <v>0.5</v>
      </c>
      <c r="L7" s="873" t="n">
        <f aca="false">ROUNDDOWN((H7*1000/58),0)</f>
        <v>60</v>
      </c>
      <c r="M7" s="595" t="n">
        <f aca="false">L7*K7</f>
        <v>30</v>
      </c>
      <c r="N7" s="595" t="n">
        <f aca="false">ROUNDUP((E7/M7),0)</f>
        <v>24</v>
      </c>
      <c r="O7" s="595" t="n">
        <f aca="false">N7*L7</f>
        <v>1440</v>
      </c>
      <c r="P7" s="450" t="n">
        <f aca="false">O7-L7</f>
        <v>1380</v>
      </c>
      <c r="Q7" s="595" t="n">
        <f aca="false">O7+(L7*K7)</f>
        <v>1470</v>
      </c>
      <c r="R7" s="595" t="n">
        <f aca="false">ROUNDUP((P7-E7)/L7*100,0)</f>
        <v>1145</v>
      </c>
      <c r="S7" s="595" t="n">
        <f aca="false">ROUNDUP((Q7-E7)/(L7)*100,0)</f>
        <v>1295</v>
      </c>
    </row>
    <row r="8" customFormat="false" ht="10.15" hidden="false" customHeight="false" outlineLevel="0" collapsed="false">
      <c r="A8" s="0" t="str">
        <f aca="false">'Plant loading'!A8</f>
        <v>Acton</v>
      </c>
      <c r="B8" s="595" t="str">
        <f aca="false">'Plant loading'!B8</f>
        <v>PEGAN</v>
      </c>
      <c r="C8" s="595" t="str">
        <f aca="false">'Plant loading'!C8</f>
        <v>eSure</v>
      </c>
      <c r="D8" s="595" t="n">
        <f aca="false">'Plant loading'!D8</f>
        <v>725</v>
      </c>
      <c r="E8" s="595" t="n">
        <f aca="false">'Plant loading'!E8</f>
        <v>739</v>
      </c>
      <c r="F8" s="595" t="n">
        <f aca="false">'Plant loading'!G8</f>
        <v>0</v>
      </c>
      <c r="G8" s="595" t="n">
        <f aca="false">'Plant loading'!H8</f>
        <v>36</v>
      </c>
      <c r="H8" s="595" t="n">
        <f aca="false">'Plant loading'!I8</f>
        <v>3.5</v>
      </c>
      <c r="I8" s="595" t="n">
        <f aca="false">'Plant loading'!J8</f>
        <v>126</v>
      </c>
      <c r="J8" s="872" t="n">
        <f aca="false">D8/(G8*((H8*1000)/58))</f>
        <v>0.333730158730159</v>
      </c>
      <c r="K8" s="872" t="n">
        <v>0.5</v>
      </c>
      <c r="L8" s="873" t="n">
        <f aca="false">ROUNDDOWN((H8*1000/58),0)</f>
        <v>60</v>
      </c>
      <c r="M8" s="595" t="n">
        <f aca="false">L8*K8</f>
        <v>30</v>
      </c>
      <c r="N8" s="595" t="n">
        <f aca="false">ROUNDUP((E8/M8),0)</f>
        <v>25</v>
      </c>
      <c r="O8" s="595" t="n">
        <f aca="false">N8*L8</f>
        <v>1500</v>
      </c>
      <c r="P8" s="450" t="n">
        <f aca="false">O8-L8</f>
        <v>1440</v>
      </c>
      <c r="Q8" s="595" t="n">
        <f aca="false">O8+(L8*K8)</f>
        <v>1530</v>
      </c>
      <c r="R8" s="595" t="n">
        <f aca="false">ROUNDUP((P8-E8)/L8*100,0)</f>
        <v>1169</v>
      </c>
      <c r="S8" s="595" t="n">
        <f aca="false">ROUNDUP((Q8-E8)/(L8)*100,0)</f>
        <v>1319</v>
      </c>
    </row>
    <row r="9" customFormat="false" ht="10.15" hidden="false" customHeight="false" outlineLevel="0" collapsed="false">
      <c r="A9" s="0" t="str">
        <f aca="false">'Plant loading'!A9</f>
        <v>Basingstoke</v>
      </c>
      <c r="B9" s="595" t="str">
        <f aca="false">'Plant loading'!B9</f>
        <v>PEABE</v>
      </c>
      <c r="C9" s="595" t="str">
        <f aca="false">'Plant loading'!C9</f>
        <v>eSure</v>
      </c>
      <c r="D9" s="595" t="n">
        <f aca="false">'Plant loading'!D9</f>
        <v>805</v>
      </c>
      <c r="E9" s="595" t="n">
        <f aca="false">'Plant loading'!E9</f>
        <v>759</v>
      </c>
      <c r="F9" s="595" t="n">
        <f aca="false">'Plant loading'!G9</f>
        <v>382.372</v>
      </c>
      <c r="G9" s="595" t="n">
        <f aca="false">'Plant loading'!H9</f>
        <v>36</v>
      </c>
      <c r="H9" s="595" t="n">
        <f aca="false">'Plant loading'!I9</f>
        <v>3.5</v>
      </c>
      <c r="I9" s="595" t="n">
        <f aca="false">'Plant loading'!J9</f>
        <v>126</v>
      </c>
      <c r="J9" s="872" t="n">
        <f aca="false">D9/(G9*((H9*1000)/58))</f>
        <v>0.370555555555556</v>
      </c>
      <c r="K9" s="872" t="n">
        <v>0.5</v>
      </c>
      <c r="L9" s="873" t="n">
        <f aca="false">ROUNDDOWN((H9*1000/58),0)</f>
        <v>60</v>
      </c>
      <c r="M9" s="595" t="n">
        <f aca="false">L9*K9</f>
        <v>30</v>
      </c>
      <c r="N9" s="595" t="n">
        <f aca="false">ROUNDUP((E9/M9),0)</f>
        <v>26</v>
      </c>
      <c r="O9" s="595" t="n">
        <f aca="false">N9*L9</f>
        <v>1560</v>
      </c>
      <c r="P9" s="450" t="n">
        <f aca="false">O9-L9</f>
        <v>1500</v>
      </c>
      <c r="Q9" s="595" t="n">
        <f aca="false">O9+(L9*K9)</f>
        <v>1590</v>
      </c>
      <c r="R9" s="595" t="n">
        <f aca="false">ROUNDUP((P9-E9)/L9*100,0)</f>
        <v>1235</v>
      </c>
      <c r="S9" s="595" t="n">
        <f aca="false">ROUNDUP((Q9-E9)/(L9)*100,0)</f>
        <v>1385</v>
      </c>
    </row>
    <row r="10" customFormat="false" ht="10.15" hidden="false" customHeight="false" outlineLevel="0" collapsed="false">
      <c r="A10" s="0" t="str">
        <f aca="false">'Plant loading'!A10</f>
        <v>Basingstoke</v>
      </c>
      <c r="B10" s="595" t="str">
        <f aca="false">'Plant loading'!B10</f>
        <v>PEBBE</v>
      </c>
      <c r="C10" s="595" t="str">
        <f aca="false">'Plant loading'!C10</f>
        <v>eSure</v>
      </c>
      <c r="D10" s="595" t="n">
        <f aca="false">'Plant loading'!D10</f>
        <v>913</v>
      </c>
      <c r="E10" s="595" t="n">
        <f aca="false">'Plant loading'!E10</f>
        <v>902</v>
      </c>
      <c r="F10" s="595" t="n">
        <f aca="false">'Plant loading'!G10</f>
        <v>0</v>
      </c>
      <c r="G10" s="595" t="n">
        <f aca="false">'Plant loading'!H10</f>
        <v>36</v>
      </c>
      <c r="H10" s="595" t="n">
        <f aca="false">'Plant loading'!I10</f>
        <v>3.5</v>
      </c>
      <c r="I10" s="595" t="n">
        <f aca="false">'Plant loading'!J10</f>
        <v>126</v>
      </c>
      <c r="J10" s="872" t="n">
        <f aca="false">D10/(G10*((H10*1000)/58))</f>
        <v>0.420269841269841</v>
      </c>
      <c r="K10" s="872" t="n">
        <v>0.5</v>
      </c>
      <c r="L10" s="873" t="n">
        <f aca="false">ROUNDDOWN((H10*1000/58),0)</f>
        <v>60</v>
      </c>
      <c r="M10" s="595" t="n">
        <f aca="false">L10*K10</f>
        <v>30</v>
      </c>
      <c r="N10" s="595" t="n">
        <f aca="false">ROUNDUP((E10/M10),0)</f>
        <v>31</v>
      </c>
      <c r="O10" s="595" t="n">
        <f aca="false">N10*L10</f>
        <v>1860</v>
      </c>
      <c r="P10" s="450" t="n">
        <f aca="false">O10-L10</f>
        <v>1800</v>
      </c>
      <c r="Q10" s="595" t="n">
        <f aca="false">O10+(L10*K10)</f>
        <v>1890</v>
      </c>
      <c r="R10" s="595" t="n">
        <f aca="false">ROUNDUP((P10-E10)/L10*100,0)</f>
        <v>1497</v>
      </c>
      <c r="S10" s="595" t="n">
        <f aca="false">ROUNDUP((Q10-E10)/(L10)*100,0)</f>
        <v>1647</v>
      </c>
    </row>
    <row r="11" customFormat="false" ht="10.15" hidden="false" customHeight="false" outlineLevel="0" collapsed="false">
      <c r="A11" s="0" t="str">
        <f aca="false">'Plant loading'!A11</f>
        <v>Basingstoke</v>
      </c>
      <c r="B11" s="595" t="str">
        <f aca="false">'Plant loading'!B11</f>
        <v>PECBE</v>
      </c>
      <c r="C11" s="595" t="str">
        <f aca="false">'Plant loading'!C11</f>
        <v>eSure</v>
      </c>
      <c r="D11" s="595" t="n">
        <f aca="false">'Plant loading'!D11</f>
        <v>852</v>
      </c>
      <c r="E11" s="595" t="n">
        <f aca="false">'Plant loading'!E11</f>
        <v>849</v>
      </c>
      <c r="F11" s="595" t="n">
        <f aca="false">'Plant loading'!G11</f>
        <v>0</v>
      </c>
      <c r="G11" s="595" t="n">
        <f aca="false">'Plant loading'!H11</f>
        <v>36</v>
      </c>
      <c r="H11" s="595" t="n">
        <f aca="false">'Plant loading'!I11</f>
        <v>3.5</v>
      </c>
      <c r="I11" s="595" t="n">
        <f aca="false">'Plant loading'!J11</f>
        <v>126</v>
      </c>
      <c r="J11" s="872" t="n">
        <f aca="false">D11/(G11*((H11*1000)/58))</f>
        <v>0.392190476190476</v>
      </c>
      <c r="K11" s="872" t="n">
        <v>0.5</v>
      </c>
      <c r="L11" s="873" t="n">
        <f aca="false">ROUNDDOWN((H11*1000/58),0)</f>
        <v>60</v>
      </c>
      <c r="M11" s="595" t="n">
        <f aca="false">L11*K11</f>
        <v>30</v>
      </c>
      <c r="N11" s="595" t="n">
        <f aca="false">ROUNDUP((E11/M11),0)</f>
        <v>29</v>
      </c>
      <c r="O11" s="595" t="n">
        <f aca="false">N11*L11</f>
        <v>1740</v>
      </c>
      <c r="P11" s="450" t="n">
        <f aca="false">O11-L11</f>
        <v>1680</v>
      </c>
      <c r="Q11" s="595" t="n">
        <f aca="false">O11+(L11*K11)</f>
        <v>1770</v>
      </c>
      <c r="R11" s="595" t="n">
        <f aca="false">ROUNDUP((P11-E11)/L11*100,0)</f>
        <v>1385</v>
      </c>
      <c r="S11" s="595" t="n">
        <f aca="false">ROUNDUP((Q11-E11)/(L11)*100,0)</f>
        <v>1535</v>
      </c>
    </row>
    <row r="12" customFormat="false" ht="10.15" hidden="false" customHeight="false" outlineLevel="0" collapsed="false">
      <c r="A12" s="0" t="str">
        <f aca="false">'Plant loading'!A12</f>
        <v>Basingstoke</v>
      </c>
      <c r="B12" s="595" t="str">
        <f aca="false">'Plant loading'!B12</f>
        <v>PEEBE</v>
      </c>
      <c r="C12" s="595" t="str">
        <f aca="false">'Plant loading'!C12</f>
        <v>eSure</v>
      </c>
      <c r="D12" s="595" t="n">
        <f aca="false">'Plant loading'!D12</f>
        <v>898</v>
      </c>
      <c r="E12" s="595" t="n">
        <f aca="false">'Plant loading'!E12</f>
        <v>895</v>
      </c>
      <c r="F12" s="595" t="n">
        <f aca="false">'Plant loading'!G12</f>
        <v>0</v>
      </c>
      <c r="G12" s="595" t="n">
        <f aca="false">'Plant loading'!H12</f>
        <v>36</v>
      </c>
      <c r="H12" s="595" t="n">
        <f aca="false">'Plant loading'!I12</f>
        <v>3.5</v>
      </c>
      <c r="I12" s="595" t="n">
        <f aca="false">'Plant loading'!J12</f>
        <v>126</v>
      </c>
      <c r="J12" s="872" t="n">
        <f aca="false">D12/(G12*((H12*1000)/58))</f>
        <v>0.413365079365079</v>
      </c>
      <c r="K12" s="872" t="n">
        <v>0.5</v>
      </c>
      <c r="L12" s="873" t="n">
        <f aca="false">ROUNDDOWN((H12*1000/58),0)</f>
        <v>60</v>
      </c>
      <c r="M12" s="595" t="n">
        <f aca="false">L12*K12</f>
        <v>30</v>
      </c>
      <c r="N12" s="595" t="n">
        <f aca="false">ROUNDUP((E12/M12),0)</f>
        <v>30</v>
      </c>
      <c r="O12" s="595" t="n">
        <f aca="false">N12*L12</f>
        <v>1800</v>
      </c>
      <c r="P12" s="450" t="n">
        <f aca="false">O12-L12</f>
        <v>1740</v>
      </c>
      <c r="Q12" s="595" t="n">
        <f aca="false">O12+(L12*K12)</f>
        <v>1830</v>
      </c>
      <c r="R12" s="595" t="n">
        <f aca="false">ROUNDUP((P12-E12)/L12*100,0)</f>
        <v>1409</v>
      </c>
      <c r="S12" s="595" t="n">
        <f aca="false">ROUNDUP((Q12-E12)/(L12)*100,0)</f>
        <v>1559</v>
      </c>
    </row>
    <row r="13" customFormat="false" ht="10.15" hidden="false" customHeight="false" outlineLevel="0" collapsed="false">
      <c r="A13" s="0" t="str">
        <f aca="false">'Plant loading'!A13</f>
        <v>Basingstoke</v>
      </c>
      <c r="B13" s="595" t="str">
        <f aca="false">'Plant loading'!B13</f>
        <v>PEFBE</v>
      </c>
      <c r="C13" s="595" t="str">
        <f aca="false">'Plant loading'!C13</f>
        <v>eSure</v>
      </c>
      <c r="D13" s="595" t="n">
        <f aca="false">'Plant loading'!D13</f>
        <v>884</v>
      </c>
      <c r="E13" s="595" t="n">
        <f aca="false">'Plant loading'!E13</f>
        <v>856</v>
      </c>
      <c r="F13" s="595" t="n">
        <f aca="false">'Plant loading'!G13</f>
        <v>0.758674603174603</v>
      </c>
      <c r="G13" s="595" t="n">
        <f aca="false">'Plant loading'!H13</f>
        <v>36</v>
      </c>
      <c r="H13" s="595" t="n">
        <f aca="false">'Plant loading'!I13</f>
        <v>3.5</v>
      </c>
      <c r="I13" s="595" t="n">
        <f aca="false">'Plant loading'!J13</f>
        <v>126</v>
      </c>
      <c r="J13" s="872" t="n">
        <f aca="false">D13/(G13*((H13*1000)/58))</f>
        <v>0.406920634920635</v>
      </c>
      <c r="K13" s="872" t="n">
        <v>0.5</v>
      </c>
      <c r="L13" s="873" t="n">
        <f aca="false">ROUNDDOWN((H13*1000/58),0)</f>
        <v>60</v>
      </c>
      <c r="M13" s="595" t="n">
        <f aca="false">L13*K13</f>
        <v>30</v>
      </c>
      <c r="N13" s="595" t="n">
        <f aca="false">ROUNDUP((E13/M13),0)</f>
        <v>29</v>
      </c>
      <c r="O13" s="595" t="n">
        <f aca="false">N13*L13</f>
        <v>1740</v>
      </c>
      <c r="P13" s="450" t="n">
        <f aca="false">O13-L13</f>
        <v>1680</v>
      </c>
      <c r="Q13" s="595" t="n">
        <f aca="false">O13+(L13*K13)</f>
        <v>1770</v>
      </c>
      <c r="R13" s="595" t="n">
        <f aca="false">ROUNDUP((P13-E13)/L13*100,0)</f>
        <v>1374</v>
      </c>
      <c r="S13" s="595" t="n">
        <f aca="false">ROUNDUP((Q13-E13)/(L13)*100,0)</f>
        <v>1524</v>
      </c>
    </row>
    <row r="14" customFormat="false" ht="10.15" hidden="false" customHeight="false" outlineLevel="0" collapsed="false">
      <c r="A14" s="0" t="str">
        <f aca="false">'Plant loading'!A14</f>
        <v>Basingstoke</v>
      </c>
      <c r="B14" s="595" t="str">
        <f aca="false">'Plant loading'!B14</f>
        <v>PEGBE</v>
      </c>
      <c r="C14" s="595" t="str">
        <f aca="false">'Plant loading'!C14</f>
        <v>eSure</v>
      </c>
      <c r="D14" s="595" t="n">
        <f aca="false">'Plant loading'!D14</f>
        <v>938</v>
      </c>
      <c r="E14" s="595" t="n">
        <f aca="false">'Plant loading'!E14</f>
        <v>935</v>
      </c>
      <c r="F14" s="595" t="n">
        <f aca="false">'Plant loading'!G14</f>
        <v>0</v>
      </c>
      <c r="G14" s="595" t="n">
        <f aca="false">'Plant loading'!H14</f>
        <v>36</v>
      </c>
      <c r="H14" s="595" t="n">
        <f aca="false">'Plant loading'!I14</f>
        <v>3.5</v>
      </c>
      <c r="I14" s="595" t="n">
        <f aca="false">'Plant loading'!J14</f>
        <v>126</v>
      </c>
      <c r="J14" s="872" t="n">
        <f aca="false">D14/(G14*((H14*1000)/58))</f>
        <v>0.431777777777778</v>
      </c>
      <c r="K14" s="872" t="n">
        <v>0.5</v>
      </c>
      <c r="L14" s="873" t="n">
        <f aca="false">ROUNDDOWN((H14*1000/58),0)</f>
        <v>60</v>
      </c>
      <c r="M14" s="595" t="n">
        <f aca="false">L14*K14</f>
        <v>30</v>
      </c>
      <c r="N14" s="595" t="n">
        <f aca="false">ROUNDUP((E14/M14),0)</f>
        <v>32</v>
      </c>
      <c r="O14" s="595" t="n">
        <f aca="false">N14*L14</f>
        <v>1920</v>
      </c>
      <c r="P14" s="450" t="n">
        <f aca="false">O14-L14</f>
        <v>1860</v>
      </c>
      <c r="Q14" s="595" t="n">
        <f aca="false">O14+(L14*K14)</f>
        <v>1950</v>
      </c>
      <c r="R14" s="595" t="n">
        <f aca="false">ROUNDUP((P14-E14)/L14*100,0)</f>
        <v>1542</v>
      </c>
      <c r="S14" s="595" t="n">
        <f aca="false">ROUNDUP((Q14-E14)/(L14)*100,0)</f>
        <v>1692</v>
      </c>
    </row>
    <row r="15" customFormat="false" ht="10.15" hidden="false" customHeight="false" outlineLevel="0" collapsed="false">
      <c r="A15" s="0" t="str">
        <f aca="false">'Plant loading'!A15</f>
        <v>Basingstoke</v>
      </c>
      <c r="B15" s="595" t="str">
        <f aca="false">'Plant loading'!B15</f>
        <v>PEHBE</v>
      </c>
      <c r="C15" s="595" t="str">
        <f aca="false">'Plant loading'!C15</f>
        <v>eSure</v>
      </c>
      <c r="D15" s="595" t="n">
        <f aca="false">'Plant loading'!D15</f>
        <v>867</v>
      </c>
      <c r="E15" s="595" t="n">
        <f aca="false">'Plant loading'!E15</f>
        <v>886</v>
      </c>
      <c r="F15" s="595" t="n">
        <f aca="false">'Plant loading'!G15</f>
        <v>0</v>
      </c>
      <c r="G15" s="595" t="n">
        <f aca="false">'Plant loading'!H15</f>
        <v>36</v>
      </c>
      <c r="H15" s="595" t="n">
        <f aca="false">'Plant loading'!I15</f>
        <v>3.5</v>
      </c>
      <c r="I15" s="595" t="n">
        <f aca="false">'Plant loading'!J15</f>
        <v>126</v>
      </c>
      <c r="J15" s="872" t="n">
        <f aca="false">D15/(G15*((H15*1000)/58))</f>
        <v>0.399095238095238</v>
      </c>
      <c r="K15" s="872" t="n">
        <v>0.5</v>
      </c>
      <c r="L15" s="873" t="n">
        <f aca="false">ROUNDDOWN((H15*1000/58),0)</f>
        <v>60</v>
      </c>
      <c r="M15" s="595" t="n">
        <f aca="false">L15*K15</f>
        <v>30</v>
      </c>
      <c r="N15" s="595" t="n">
        <f aca="false">ROUNDUP((E15/M15),0)</f>
        <v>30</v>
      </c>
      <c r="O15" s="595" t="n">
        <f aca="false">N15*L15</f>
        <v>1800</v>
      </c>
      <c r="P15" s="450" t="n">
        <f aca="false">O15-L15</f>
        <v>1740</v>
      </c>
      <c r="Q15" s="595" t="n">
        <f aca="false">O15+(L15*K15)</f>
        <v>1830</v>
      </c>
      <c r="R15" s="595" t="n">
        <f aca="false">ROUNDUP((P15-E15)/L15*100,0)</f>
        <v>1424</v>
      </c>
      <c r="S15" s="595" t="n">
        <f aca="false">ROUNDUP((Q15-E15)/(L15)*100,0)</f>
        <v>1574</v>
      </c>
    </row>
    <row r="16" customFormat="false" ht="10.15" hidden="false" customHeight="false" outlineLevel="0" collapsed="false">
      <c r="A16" s="0" t="str">
        <f aca="false">'Plant loading'!A16</f>
        <v>Basingstoke</v>
      </c>
      <c r="B16" s="595" t="str">
        <f aca="false">'Plant loading'!B16</f>
        <v>PEIBE</v>
      </c>
      <c r="C16" s="595" t="str">
        <f aca="false">'Plant loading'!C16</f>
        <v>eSure</v>
      </c>
      <c r="D16" s="595" t="n">
        <f aca="false">'Plant loading'!D16</f>
        <v>934</v>
      </c>
      <c r="E16" s="595" t="n">
        <f aca="false">'Plant loading'!E16</f>
        <v>934</v>
      </c>
      <c r="F16" s="595" t="n">
        <f aca="false">'Plant loading'!G16</f>
        <v>0</v>
      </c>
      <c r="G16" s="595" t="n">
        <f aca="false">'Plant loading'!H16</f>
        <v>36</v>
      </c>
      <c r="H16" s="595" t="n">
        <f aca="false">'Plant loading'!I16</f>
        <v>3.5</v>
      </c>
      <c r="I16" s="595" t="n">
        <f aca="false">'Plant loading'!J16</f>
        <v>126</v>
      </c>
      <c r="J16" s="872" t="n">
        <f aca="false">D16/(G16*((H16*1000)/58))</f>
        <v>0.429936507936508</v>
      </c>
      <c r="K16" s="872" t="n">
        <v>0.5</v>
      </c>
      <c r="L16" s="873" t="n">
        <f aca="false">ROUNDDOWN((H16*1000/58),0)</f>
        <v>60</v>
      </c>
      <c r="M16" s="595" t="n">
        <f aca="false">L16*K16</f>
        <v>30</v>
      </c>
      <c r="N16" s="595" t="n">
        <f aca="false">ROUNDUP((E16/M16),0)</f>
        <v>32</v>
      </c>
      <c r="O16" s="595" t="n">
        <f aca="false">N16*L16</f>
        <v>1920</v>
      </c>
      <c r="P16" s="450" t="n">
        <f aca="false">O16-L16</f>
        <v>1860</v>
      </c>
      <c r="Q16" s="595" t="n">
        <f aca="false">O16+(L16*K16)</f>
        <v>1950</v>
      </c>
      <c r="R16" s="595" t="n">
        <f aca="false">ROUNDUP((P16-E16)/L16*100,0)</f>
        <v>1544</v>
      </c>
      <c r="S16" s="595" t="n">
        <f aca="false">ROUNDUP((Q16-E16)/(L16)*100,0)</f>
        <v>1694</v>
      </c>
    </row>
    <row r="17" customFormat="false" ht="10.15" hidden="false" customHeight="false" outlineLevel="0" collapsed="false">
      <c r="A17" s="0" t="str">
        <f aca="false">'Plant loading'!A17</f>
        <v>Crawley</v>
      </c>
      <c r="B17" s="595" t="str">
        <f aca="false">'Plant loading'!B17</f>
        <v>PEACY</v>
      </c>
      <c r="C17" s="595" t="str">
        <f aca="false">'Plant loading'!C17</f>
        <v>eSure</v>
      </c>
      <c r="D17" s="595" t="n">
        <f aca="false">'Plant loading'!D17</f>
        <v>328</v>
      </c>
      <c r="E17" s="595" t="n">
        <f aca="false">'Plant loading'!E17</f>
        <v>331</v>
      </c>
      <c r="F17" s="595" t="n">
        <f aca="false">'Plant loading'!G17</f>
        <v>114.123</v>
      </c>
      <c r="G17" s="595" t="n">
        <f aca="false">'Plant loading'!H17</f>
        <v>36</v>
      </c>
      <c r="H17" s="595" t="n">
        <f aca="false">'Plant loading'!I17</f>
        <v>3.5</v>
      </c>
      <c r="I17" s="595" t="n">
        <f aca="false">'Plant loading'!J17</f>
        <v>126</v>
      </c>
      <c r="J17" s="872" t="n">
        <f aca="false">D17/(G17*((H17*1000)/58))</f>
        <v>0.150984126984127</v>
      </c>
      <c r="K17" s="872" t="n">
        <v>0.5</v>
      </c>
      <c r="L17" s="873" t="n">
        <f aca="false">ROUNDDOWN((H17*1000/58),0)</f>
        <v>60</v>
      </c>
      <c r="M17" s="595" t="n">
        <f aca="false">L17*K17</f>
        <v>30</v>
      </c>
      <c r="N17" s="595" t="n">
        <f aca="false">ROUNDUP((E17/M17),0)</f>
        <v>12</v>
      </c>
      <c r="O17" s="595" t="n">
        <f aca="false">N17*L17</f>
        <v>720</v>
      </c>
      <c r="P17" s="450" t="n">
        <f aca="false">O17-L17</f>
        <v>660</v>
      </c>
      <c r="Q17" s="595" t="n">
        <f aca="false">O17+(L17*K17)</f>
        <v>750</v>
      </c>
      <c r="R17" s="595" t="n">
        <f aca="false">ROUNDUP((P17-E17)/L17*100,0)</f>
        <v>549</v>
      </c>
      <c r="S17" s="595" t="n">
        <f aca="false">ROUNDUP((Q17-E17)/(L17)*100,0)</f>
        <v>699</v>
      </c>
    </row>
    <row r="18" customFormat="false" ht="10.15" hidden="false" customHeight="false" outlineLevel="0" collapsed="false">
      <c r="A18" s="0" t="str">
        <f aca="false">'Plant loading'!A18</f>
        <v>Crawley</v>
      </c>
      <c r="B18" s="595" t="str">
        <f aca="false">'Plant loading'!B18</f>
        <v>PEBCY</v>
      </c>
      <c r="C18" s="595" t="str">
        <f aca="false">'Plant loading'!C18</f>
        <v>eSure</v>
      </c>
      <c r="D18" s="595" t="n">
        <f aca="false">'Plant loading'!D18</f>
        <v>378</v>
      </c>
      <c r="E18" s="595" t="n">
        <f aca="false">'Plant loading'!E18</f>
        <v>381</v>
      </c>
      <c r="F18" s="595" t="n">
        <f aca="false">'Plant loading'!G18</f>
        <v>0</v>
      </c>
      <c r="G18" s="595" t="n">
        <f aca="false">'Plant loading'!H18</f>
        <v>36</v>
      </c>
      <c r="H18" s="595" t="n">
        <f aca="false">'Plant loading'!I18</f>
        <v>3.5</v>
      </c>
      <c r="I18" s="595" t="n">
        <f aca="false">'Plant loading'!J18</f>
        <v>126</v>
      </c>
      <c r="J18" s="872" t="n">
        <f aca="false">D18/(G18*((H18*1000)/58))</f>
        <v>0.174</v>
      </c>
      <c r="K18" s="872" t="n">
        <v>0.5</v>
      </c>
      <c r="L18" s="873" t="n">
        <f aca="false">ROUNDDOWN((H18*1000/58),0)</f>
        <v>60</v>
      </c>
      <c r="M18" s="595" t="n">
        <f aca="false">L18*K18</f>
        <v>30</v>
      </c>
      <c r="N18" s="595" t="n">
        <f aca="false">ROUNDUP((E18/M18),0)</f>
        <v>13</v>
      </c>
      <c r="O18" s="595" t="n">
        <f aca="false">N18*L18</f>
        <v>780</v>
      </c>
      <c r="P18" s="450" t="n">
        <f aca="false">O18-L18</f>
        <v>720</v>
      </c>
      <c r="Q18" s="595" t="n">
        <f aca="false">O18+(L18*K18)</f>
        <v>810</v>
      </c>
      <c r="R18" s="595" t="n">
        <f aca="false">ROUNDUP((P18-E18)/L18*100,0)</f>
        <v>565</v>
      </c>
      <c r="S18" s="595" t="n">
        <f aca="false">ROUNDUP((Q18-E18)/(L18)*100,0)</f>
        <v>715</v>
      </c>
    </row>
    <row r="19" customFormat="false" ht="10.15" hidden="false" customHeight="false" outlineLevel="0" collapsed="false">
      <c r="A19" s="0" t="str">
        <f aca="false">'Plant loading'!A19</f>
        <v>Crawley</v>
      </c>
      <c r="B19" s="595" t="str">
        <f aca="false">'Plant loading'!B19</f>
        <v>PECCY</v>
      </c>
      <c r="C19" s="595" t="str">
        <f aca="false">'Plant loading'!C19</f>
        <v>eSure</v>
      </c>
      <c r="D19" s="595" t="n">
        <f aca="false">'Plant loading'!D19</f>
        <v>600</v>
      </c>
      <c r="E19" s="595" t="n">
        <f aca="false">'Plant loading'!E19</f>
        <v>606</v>
      </c>
      <c r="F19" s="595" t="n">
        <f aca="false">'Plant loading'!G19</f>
        <v>0</v>
      </c>
      <c r="G19" s="595" t="n">
        <f aca="false">'Plant loading'!H19</f>
        <v>36</v>
      </c>
      <c r="H19" s="595" t="n">
        <f aca="false">'Plant loading'!I19</f>
        <v>3.5</v>
      </c>
      <c r="I19" s="595" t="n">
        <f aca="false">'Plant loading'!J19</f>
        <v>126</v>
      </c>
      <c r="J19" s="872" t="n">
        <f aca="false">D19/(G19*((H19*1000)/58))</f>
        <v>0.276190476190476</v>
      </c>
      <c r="K19" s="872" t="n">
        <v>0.5</v>
      </c>
      <c r="L19" s="873" t="n">
        <f aca="false">ROUNDDOWN((H19*1000/58),0)</f>
        <v>60</v>
      </c>
      <c r="M19" s="595" t="n">
        <f aca="false">L19*K19</f>
        <v>30</v>
      </c>
      <c r="N19" s="595" t="n">
        <f aca="false">ROUNDUP((E19/M19),0)</f>
        <v>21</v>
      </c>
      <c r="O19" s="595" t="n">
        <f aca="false">N19*L19</f>
        <v>1260</v>
      </c>
      <c r="P19" s="450" t="n">
        <f aca="false">O19-L19</f>
        <v>1200</v>
      </c>
      <c r="Q19" s="595" t="n">
        <f aca="false">O19+(L19*K19)</f>
        <v>1290</v>
      </c>
      <c r="R19" s="595" t="n">
        <f aca="false">ROUNDUP((P19-E19)/L19*100,0)</f>
        <v>990</v>
      </c>
      <c r="S19" s="595" t="n">
        <f aca="false">ROUNDUP((Q19-E19)/(L19)*100,0)</f>
        <v>1140</v>
      </c>
    </row>
    <row r="20" customFormat="false" ht="10.15" hidden="false" customHeight="false" outlineLevel="0" collapsed="false">
      <c r="A20" s="0" t="str">
        <f aca="false">'Plant loading'!A20</f>
        <v>Crawley</v>
      </c>
      <c r="B20" s="595" t="str">
        <f aca="false">'Plant loading'!B20</f>
        <v>PEDCY</v>
      </c>
      <c r="C20" s="595" t="str">
        <f aca="false">'Plant loading'!C20</f>
        <v>eSure</v>
      </c>
      <c r="D20" s="595" t="n">
        <f aca="false">'Plant loading'!D20</f>
        <v>476</v>
      </c>
      <c r="E20" s="595" t="n">
        <f aca="false">'Plant loading'!E20</f>
        <v>485</v>
      </c>
      <c r="F20" s="595" t="n">
        <f aca="false">'Plant loading'!G20</f>
        <v>0.362295238095238</v>
      </c>
      <c r="G20" s="595" t="n">
        <f aca="false">'Plant loading'!H20</f>
        <v>36</v>
      </c>
      <c r="H20" s="595" t="n">
        <f aca="false">'Plant loading'!I20</f>
        <v>3.5</v>
      </c>
      <c r="I20" s="595" t="n">
        <f aca="false">'Plant loading'!J20</f>
        <v>126</v>
      </c>
      <c r="J20" s="872" t="n">
        <f aca="false">D20/(G20*((H20*1000)/58))</f>
        <v>0.219111111111111</v>
      </c>
      <c r="K20" s="872" t="n">
        <v>0.5</v>
      </c>
      <c r="L20" s="873" t="n">
        <f aca="false">ROUNDDOWN((H20*1000/58),0)</f>
        <v>60</v>
      </c>
      <c r="M20" s="595" t="n">
        <f aca="false">L20*K20</f>
        <v>30</v>
      </c>
      <c r="N20" s="595" t="n">
        <f aca="false">ROUNDUP((E20/M20),0)</f>
        <v>17</v>
      </c>
      <c r="O20" s="595" t="n">
        <f aca="false">N20*L20</f>
        <v>1020</v>
      </c>
      <c r="P20" s="450" t="n">
        <f aca="false">O20-L20</f>
        <v>960</v>
      </c>
      <c r="Q20" s="595" t="n">
        <f aca="false">O20+(L20*K20)</f>
        <v>1050</v>
      </c>
      <c r="R20" s="595" t="n">
        <f aca="false">ROUNDUP((P20-E20)/L20*100,0)</f>
        <v>792</v>
      </c>
      <c r="S20" s="595" t="n">
        <f aca="false">ROUNDUP((Q20-E20)/(L20)*100,0)</f>
        <v>942</v>
      </c>
    </row>
    <row r="21" customFormat="false" ht="10.15" hidden="false" customHeight="false" outlineLevel="0" collapsed="false">
      <c r="A21" s="0" t="str">
        <f aca="false">'Plant loading'!A21</f>
        <v>Crawley</v>
      </c>
      <c r="B21" s="595" t="str">
        <f aca="false">'Plant loading'!B21</f>
        <v>PEECY</v>
      </c>
      <c r="C21" s="595" t="str">
        <f aca="false">'Plant loading'!C21</f>
        <v>eSure</v>
      </c>
      <c r="D21" s="595" t="n">
        <f aca="false">'Plant loading'!D21</f>
        <v>293</v>
      </c>
      <c r="E21" s="595" t="n">
        <f aca="false">'Plant loading'!E21</f>
        <v>291</v>
      </c>
      <c r="F21" s="595" t="n">
        <f aca="false">'Plant loading'!G21</f>
        <v>0</v>
      </c>
      <c r="G21" s="595" t="n">
        <f aca="false">'Plant loading'!H21</f>
        <v>36</v>
      </c>
      <c r="H21" s="595" t="n">
        <f aca="false">'Plant loading'!I21</f>
        <v>3.5</v>
      </c>
      <c r="I21" s="595" t="n">
        <f aca="false">'Plant loading'!J21</f>
        <v>126</v>
      </c>
      <c r="J21" s="872" t="n">
        <f aca="false">D21/(G21*((H21*1000)/58))</f>
        <v>0.134873015873016</v>
      </c>
      <c r="K21" s="872" t="n">
        <v>0.5</v>
      </c>
      <c r="L21" s="873" t="n">
        <f aca="false">ROUNDDOWN((H21*1000/58),0)</f>
        <v>60</v>
      </c>
      <c r="M21" s="595" t="n">
        <f aca="false">L21*K21</f>
        <v>30</v>
      </c>
      <c r="N21" s="595" t="n">
        <f aca="false">ROUNDUP((E21/M21),0)</f>
        <v>10</v>
      </c>
      <c r="O21" s="595" t="n">
        <f aca="false">N21*L21</f>
        <v>600</v>
      </c>
      <c r="P21" s="450" t="n">
        <f aca="false">O21-L21</f>
        <v>540</v>
      </c>
      <c r="Q21" s="595" t="n">
        <f aca="false">O21+(L21*K21)</f>
        <v>630</v>
      </c>
      <c r="R21" s="595" t="n">
        <f aca="false">ROUNDUP((P21-E21)/L21*100,0)</f>
        <v>415</v>
      </c>
      <c r="S21" s="595" t="n">
        <f aca="false">ROUNDUP((Q21-E21)/(L21)*100,0)</f>
        <v>565</v>
      </c>
    </row>
    <row r="22" customFormat="false" ht="10.15" hidden="false" customHeight="false" outlineLevel="0" collapsed="false">
      <c r="A22" s="0" t="str">
        <f aca="false">'Plant loading'!A22</f>
        <v>Edinburgh</v>
      </c>
      <c r="B22" s="595" t="str">
        <f aca="false">'Plant loading'!B22</f>
        <v>PECEH</v>
      </c>
      <c r="C22" s="595" t="str">
        <f aca="false">'Plant loading'!C22</f>
        <v>eSure</v>
      </c>
      <c r="D22" s="595" t="n">
        <f aca="false">'Plant loading'!D22</f>
        <v>881</v>
      </c>
      <c r="E22" s="595" t="n">
        <f aca="false">'Plant loading'!E22</f>
        <v>881</v>
      </c>
      <c r="F22" s="595" t="n">
        <f aca="false">'Plant loading'!G22</f>
        <v>294.736</v>
      </c>
      <c r="G22" s="595" t="n">
        <f aca="false">'Plant loading'!H22</f>
        <v>36</v>
      </c>
      <c r="H22" s="595" t="n">
        <f aca="false">'Plant loading'!I22</f>
        <v>3.5</v>
      </c>
      <c r="I22" s="595" t="n">
        <f aca="false">'Plant loading'!J22</f>
        <v>126</v>
      </c>
      <c r="J22" s="872" t="n">
        <f aca="false">D22/(G22*((H22*1000)/58))</f>
        <v>0.405539682539682</v>
      </c>
      <c r="K22" s="872" t="n">
        <v>0.5</v>
      </c>
      <c r="L22" s="873" t="n">
        <f aca="false">ROUNDDOWN((H22*1000/58),0)</f>
        <v>60</v>
      </c>
      <c r="M22" s="595" t="n">
        <f aca="false">L22*K22</f>
        <v>30</v>
      </c>
      <c r="N22" s="595" t="n">
        <f aca="false">ROUNDUP((E22/M22),0)</f>
        <v>30</v>
      </c>
      <c r="O22" s="595" t="n">
        <f aca="false">N22*L22</f>
        <v>1800</v>
      </c>
      <c r="P22" s="450" t="n">
        <f aca="false">O22-L22</f>
        <v>1740</v>
      </c>
      <c r="Q22" s="595" t="n">
        <f aca="false">O22+(L22*K22)</f>
        <v>1830</v>
      </c>
      <c r="R22" s="595" t="n">
        <f aca="false">ROUNDUP((P22-E22)/L22*100,0)</f>
        <v>1432</v>
      </c>
      <c r="S22" s="595" t="n">
        <f aca="false">ROUNDUP((Q22-E22)/(L22)*100,0)</f>
        <v>1582</v>
      </c>
    </row>
    <row r="23" customFormat="false" ht="10.15" hidden="false" customHeight="false" outlineLevel="0" collapsed="false">
      <c r="A23" s="0" t="str">
        <f aca="false">'Plant loading'!A23</f>
        <v>Edinburgh</v>
      </c>
      <c r="B23" s="595" t="str">
        <f aca="false">'Plant loading'!B23</f>
        <v>PEDEH</v>
      </c>
      <c r="C23" s="595" t="str">
        <f aca="false">'Plant loading'!C23</f>
        <v>eSure</v>
      </c>
      <c r="D23" s="595" t="n">
        <f aca="false">'Plant loading'!D23</f>
        <v>953</v>
      </c>
      <c r="E23" s="595" t="n">
        <f aca="false">'Plant loading'!E23</f>
        <v>950</v>
      </c>
      <c r="F23" s="595" t="n">
        <f aca="false">'Plant loading'!G23</f>
        <v>0</v>
      </c>
      <c r="G23" s="595" t="n">
        <f aca="false">'Plant loading'!H23</f>
        <v>36</v>
      </c>
      <c r="H23" s="595" t="n">
        <f aca="false">'Plant loading'!I23</f>
        <v>3.5</v>
      </c>
      <c r="I23" s="595" t="n">
        <f aca="false">'Plant loading'!J23</f>
        <v>126</v>
      </c>
      <c r="J23" s="872" t="n">
        <f aca="false">D23/(G23*((H23*1000)/58))</f>
        <v>0.43868253968254</v>
      </c>
      <c r="K23" s="872" t="n">
        <v>0.5</v>
      </c>
      <c r="L23" s="873" t="n">
        <f aca="false">ROUNDDOWN((H23*1000/58),0)</f>
        <v>60</v>
      </c>
      <c r="M23" s="595" t="n">
        <f aca="false">L23*K23</f>
        <v>30</v>
      </c>
      <c r="N23" s="595" t="n">
        <f aca="false">ROUNDUP((E23/M23),0)</f>
        <v>32</v>
      </c>
      <c r="O23" s="595" t="n">
        <f aca="false">N23*L23</f>
        <v>1920</v>
      </c>
      <c r="P23" s="450" t="n">
        <f aca="false">O23-L23</f>
        <v>1860</v>
      </c>
      <c r="Q23" s="595" t="n">
        <f aca="false">O23+(L23*K23)</f>
        <v>1950</v>
      </c>
      <c r="R23" s="595" t="n">
        <f aca="false">ROUNDUP((P23-E23)/L23*100,0)</f>
        <v>1517</v>
      </c>
      <c r="S23" s="595" t="n">
        <f aca="false">ROUNDUP((Q23-E23)/(L23)*100,0)</f>
        <v>1667</v>
      </c>
    </row>
    <row r="24" customFormat="false" ht="10.15" hidden="false" customHeight="false" outlineLevel="0" collapsed="false">
      <c r="A24" s="0" t="str">
        <f aca="false">'Plant loading'!A24</f>
        <v>Edinburgh</v>
      </c>
      <c r="B24" s="595" t="str">
        <f aca="false">'Plant loading'!B24</f>
        <v>PEEEH</v>
      </c>
      <c r="C24" s="595" t="str">
        <f aca="false">'Plant loading'!C24</f>
        <v>eSure</v>
      </c>
      <c r="D24" s="595" t="n">
        <f aca="false">'Plant loading'!D24</f>
        <v>859</v>
      </c>
      <c r="E24" s="595" t="n">
        <f aca="false">'Plant loading'!E24</f>
        <v>857</v>
      </c>
      <c r="F24" s="595" t="n">
        <f aca="false">'Plant loading'!G24</f>
        <v>0</v>
      </c>
      <c r="G24" s="595" t="n">
        <f aca="false">'Plant loading'!H24</f>
        <v>36</v>
      </c>
      <c r="H24" s="595" t="n">
        <f aca="false">'Plant loading'!I24</f>
        <v>3.5</v>
      </c>
      <c r="I24" s="595" t="n">
        <f aca="false">'Plant loading'!J24</f>
        <v>126</v>
      </c>
      <c r="J24" s="872" t="n">
        <f aca="false">D24/(G24*((H24*1000)/58))</f>
        <v>0.395412698412698</v>
      </c>
      <c r="K24" s="872" t="n">
        <v>0.5</v>
      </c>
      <c r="L24" s="873" t="n">
        <f aca="false">ROUNDDOWN((H24*1000/58),0)</f>
        <v>60</v>
      </c>
      <c r="M24" s="595" t="n">
        <f aca="false">L24*K24</f>
        <v>30</v>
      </c>
      <c r="N24" s="595" t="n">
        <f aca="false">ROUNDUP((E24/M24),0)</f>
        <v>29</v>
      </c>
      <c r="O24" s="595" t="n">
        <f aca="false">N24*L24</f>
        <v>1740</v>
      </c>
      <c r="P24" s="450" t="n">
        <f aca="false">O24-L24</f>
        <v>1680</v>
      </c>
      <c r="Q24" s="595" t="n">
        <f aca="false">O24+(L24*K24)</f>
        <v>1770</v>
      </c>
      <c r="R24" s="595" t="n">
        <f aca="false">ROUNDUP((P24-E24)/L24*100,0)</f>
        <v>1372</v>
      </c>
      <c r="S24" s="595" t="n">
        <f aca="false">ROUNDUP((Q24-E24)/(L24)*100,0)</f>
        <v>1522</v>
      </c>
    </row>
    <row r="25" customFormat="false" ht="10.15" hidden="false" customHeight="false" outlineLevel="0" collapsed="false">
      <c r="A25" s="0" t="str">
        <f aca="false">'Plant loading'!A25</f>
        <v>Edinburgh</v>
      </c>
      <c r="B25" s="595" t="str">
        <f aca="false">'Plant loading'!B25</f>
        <v>PEFEH</v>
      </c>
      <c r="C25" s="595" t="str">
        <f aca="false">'Plant loading'!C25</f>
        <v>eSure</v>
      </c>
      <c r="D25" s="595" t="n">
        <f aca="false">'Plant loading'!D25</f>
        <v>871</v>
      </c>
      <c r="E25" s="595" t="n">
        <f aca="false">'Plant loading'!E25</f>
        <v>874</v>
      </c>
      <c r="F25" s="595" t="n">
        <f aca="false">'Plant loading'!G25</f>
        <v>0.779724867724868</v>
      </c>
      <c r="G25" s="595" t="n">
        <f aca="false">'Plant loading'!H25</f>
        <v>36</v>
      </c>
      <c r="H25" s="595" t="n">
        <f aca="false">'Plant loading'!I25</f>
        <v>3.5</v>
      </c>
      <c r="I25" s="595" t="n">
        <f aca="false">'Plant loading'!J25</f>
        <v>126</v>
      </c>
      <c r="J25" s="872" t="n">
        <f aca="false">D25/(G25*((H25*1000)/58))</f>
        <v>0.400936507936508</v>
      </c>
      <c r="K25" s="872" t="n">
        <v>0.5</v>
      </c>
      <c r="L25" s="873" t="n">
        <f aca="false">ROUNDDOWN((H25*1000/58),0)</f>
        <v>60</v>
      </c>
      <c r="M25" s="595" t="n">
        <f aca="false">L25*K25</f>
        <v>30</v>
      </c>
      <c r="N25" s="595" t="n">
        <f aca="false">ROUNDUP((E25/M25),0)</f>
        <v>30</v>
      </c>
      <c r="O25" s="595" t="n">
        <f aca="false">N25*L25</f>
        <v>1800</v>
      </c>
      <c r="P25" s="450" t="n">
        <f aca="false">O25-L25</f>
        <v>1740</v>
      </c>
      <c r="Q25" s="595" t="n">
        <f aca="false">O25+(L25*K25)</f>
        <v>1830</v>
      </c>
      <c r="R25" s="595" t="n">
        <f aca="false">ROUNDUP((P25-E25)/L25*100,0)</f>
        <v>1444</v>
      </c>
      <c r="S25" s="595" t="n">
        <f aca="false">ROUNDUP((Q25-E25)/(L25)*100,0)</f>
        <v>1594</v>
      </c>
    </row>
    <row r="26" customFormat="false" ht="10.15" hidden="false" customHeight="false" outlineLevel="0" collapsed="false">
      <c r="A26" s="0" t="str">
        <f aca="false">'Plant loading'!A26</f>
        <v>Edinburgh</v>
      </c>
      <c r="B26" s="595" t="str">
        <f aca="false">'Plant loading'!B26</f>
        <v>PEGEH</v>
      </c>
      <c r="C26" s="595" t="str">
        <f aca="false">'Plant loading'!C26</f>
        <v>eSure</v>
      </c>
      <c r="D26" s="595" t="n">
        <f aca="false">'Plant loading'!D26</f>
        <v>927</v>
      </c>
      <c r="E26" s="595" t="n">
        <f aca="false">'Plant loading'!E26</f>
        <v>928</v>
      </c>
      <c r="F26" s="595" t="n">
        <f aca="false">'Plant loading'!G26</f>
        <v>0</v>
      </c>
      <c r="G26" s="595" t="n">
        <f aca="false">'Plant loading'!H26</f>
        <v>36</v>
      </c>
      <c r="H26" s="595" t="n">
        <f aca="false">'Plant loading'!I26</f>
        <v>3.5</v>
      </c>
      <c r="I26" s="595" t="n">
        <f aca="false">'Plant loading'!J26</f>
        <v>126</v>
      </c>
      <c r="J26" s="872" t="n">
        <f aca="false">D26/(G26*((H26*1000)/58))</f>
        <v>0.426714285714286</v>
      </c>
      <c r="K26" s="872" t="n">
        <v>0.5</v>
      </c>
      <c r="L26" s="873" t="n">
        <f aca="false">ROUNDDOWN((H26*1000/58),0)</f>
        <v>60</v>
      </c>
      <c r="M26" s="595" t="n">
        <f aca="false">L26*K26</f>
        <v>30</v>
      </c>
      <c r="N26" s="595" t="n">
        <f aca="false">ROUNDUP((E26/M26),0)</f>
        <v>31</v>
      </c>
      <c r="O26" s="595" t="n">
        <f aca="false">N26*L26</f>
        <v>1860</v>
      </c>
      <c r="P26" s="450" t="n">
        <f aca="false">O26-L26</f>
        <v>1800</v>
      </c>
      <c r="Q26" s="595" t="n">
        <f aca="false">O26+(L26*K26)</f>
        <v>1890</v>
      </c>
      <c r="R26" s="595" t="n">
        <f aca="false">ROUNDUP((P26-E26)/L26*100,0)</f>
        <v>1454</v>
      </c>
      <c r="S26" s="595" t="n">
        <f aca="false">ROUNDUP((Q26-E26)/(L26)*100,0)</f>
        <v>1604</v>
      </c>
    </row>
    <row r="27" customFormat="false" ht="10.15" hidden="false" customHeight="false" outlineLevel="0" collapsed="false">
      <c r="A27" s="0" t="str">
        <f aca="false">'Plant loading'!A29</f>
        <v>Esher</v>
      </c>
      <c r="B27" s="595" t="str">
        <f aca="false">'Plant loading'!B29</f>
        <v>PEEER</v>
      </c>
      <c r="C27" s="595" t="str">
        <f aca="false">'Plant loading'!C29</f>
        <v>eSure</v>
      </c>
      <c r="D27" s="595" t="n">
        <f aca="false">'Plant loading'!D29</f>
        <v>299</v>
      </c>
      <c r="E27" s="595" t="n">
        <f aca="false">'Plant loading'!E29</f>
        <v>303</v>
      </c>
      <c r="F27" s="595" t="n">
        <f aca="false">'Plant loading'!G29</f>
        <v>0</v>
      </c>
      <c r="G27" s="595" t="n">
        <f aca="false">'Plant loading'!H29</f>
        <v>36</v>
      </c>
      <c r="H27" s="595" t="n">
        <f aca="false">'Plant loading'!I29</f>
        <v>3.5</v>
      </c>
      <c r="I27" s="595" t="n">
        <f aca="false">'Plant loading'!J29</f>
        <v>126</v>
      </c>
      <c r="J27" s="872" t="n">
        <f aca="false">D27/(G27*((H27*1000)/58))</f>
        <v>0.137634920634921</v>
      </c>
      <c r="K27" s="872" t="n">
        <v>0.5</v>
      </c>
      <c r="L27" s="873" t="n">
        <f aca="false">ROUNDDOWN((H27*1000/58),0)</f>
        <v>60</v>
      </c>
      <c r="M27" s="595" t="n">
        <f aca="false">L27*K27</f>
        <v>30</v>
      </c>
      <c r="N27" s="595" t="n">
        <f aca="false">ROUNDUP((E27/M27),0)</f>
        <v>11</v>
      </c>
      <c r="O27" s="595" t="n">
        <f aca="false">N27*L27</f>
        <v>660</v>
      </c>
      <c r="P27" s="450" t="n">
        <f aca="false">O27-L27</f>
        <v>600</v>
      </c>
      <c r="Q27" s="595" t="n">
        <f aca="false">O27+(L27*K27)</f>
        <v>690</v>
      </c>
      <c r="R27" s="595" t="n">
        <f aca="false">ROUNDUP((P27-E27)/L27*100,0)</f>
        <v>495</v>
      </c>
      <c r="S27" s="595" t="n">
        <f aca="false">ROUNDUP((Q27-E27)/(L27)*100,0)</f>
        <v>645</v>
      </c>
    </row>
    <row r="28" customFormat="false" ht="10.15" hidden="false" customHeight="false" outlineLevel="0" collapsed="false">
      <c r="A28" s="0" t="str">
        <f aca="false">'Plant loading'!A30</f>
        <v>Esher</v>
      </c>
      <c r="B28" s="595" t="str">
        <f aca="false">'Plant loading'!B30</f>
        <v>PEFER</v>
      </c>
      <c r="C28" s="595" t="str">
        <f aca="false">'Plant loading'!C30</f>
        <v>eSure</v>
      </c>
      <c r="D28" s="595" t="n">
        <f aca="false">'Plant loading'!D30</f>
        <v>361</v>
      </c>
      <c r="E28" s="595" t="n">
        <f aca="false">'Plant loading'!E30</f>
        <v>360</v>
      </c>
      <c r="F28" s="595" t="n">
        <f aca="false">'Plant loading'!G30</f>
        <v>0.27271626984127</v>
      </c>
      <c r="G28" s="595" t="n">
        <f aca="false">'Plant loading'!H30</f>
        <v>36</v>
      </c>
      <c r="H28" s="595" t="n">
        <f aca="false">'Plant loading'!I30</f>
        <v>3.5</v>
      </c>
      <c r="I28" s="595" t="n">
        <f aca="false">'Plant loading'!J30</f>
        <v>126</v>
      </c>
      <c r="J28" s="872" t="n">
        <f aca="false">D28/(G28*((H28*1000)/58))</f>
        <v>0.166174603174603</v>
      </c>
      <c r="K28" s="872" t="n">
        <v>0.5</v>
      </c>
      <c r="L28" s="873" t="n">
        <f aca="false">ROUNDDOWN((H28*1000/58),0)</f>
        <v>60</v>
      </c>
      <c r="M28" s="595" t="n">
        <f aca="false">L28*K28</f>
        <v>30</v>
      </c>
      <c r="N28" s="595" t="n">
        <f aca="false">ROUNDUP((E28/M28),0)</f>
        <v>12</v>
      </c>
      <c r="O28" s="595" t="n">
        <f aca="false">N28*L28</f>
        <v>720</v>
      </c>
      <c r="P28" s="450" t="n">
        <f aca="false">O28-L28</f>
        <v>660</v>
      </c>
      <c r="Q28" s="595" t="n">
        <f aca="false">O28+(L28*K28)</f>
        <v>750</v>
      </c>
      <c r="R28" s="595" t="n">
        <f aca="false">ROUNDUP((P28-E28)/L28*100,0)</f>
        <v>500</v>
      </c>
      <c r="S28" s="595" t="n">
        <f aca="false">ROUNDUP((Q28-E28)/(L28)*100,0)</f>
        <v>650</v>
      </c>
    </row>
    <row r="29" customFormat="false" ht="10.15" hidden="false" customHeight="false" outlineLevel="0" collapsed="false">
      <c r="A29" s="0" t="str">
        <f aca="false">'Plant loading'!A31</f>
        <v>Esher</v>
      </c>
      <c r="B29" s="595" t="str">
        <f aca="false">'Plant loading'!B31</f>
        <v>PEGER</v>
      </c>
      <c r="C29" s="595" t="str">
        <f aca="false">'Plant loading'!C31</f>
        <v>eSure</v>
      </c>
      <c r="D29" s="595" t="n">
        <f aca="false">'Plant loading'!D31</f>
        <v>223</v>
      </c>
      <c r="E29" s="595" t="n">
        <f aca="false">'Plant loading'!E31</f>
        <v>219</v>
      </c>
      <c r="F29" s="595" t="n">
        <f aca="false">'Plant loading'!G31</f>
        <v>0</v>
      </c>
      <c r="G29" s="595" t="n">
        <f aca="false">'Plant loading'!H31</f>
        <v>36</v>
      </c>
      <c r="H29" s="595" t="n">
        <f aca="false">'Plant loading'!I31</f>
        <v>3.5</v>
      </c>
      <c r="I29" s="595" t="n">
        <f aca="false">'Plant loading'!J31</f>
        <v>126</v>
      </c>
      <c r="J29" s="872" t="n">
        <f aca="false">D29/(G29*((H29*1000)/58))</f>
        <v>0.102650793650794</v>
      </c>
      <c r="K29" s="872" t="n">
        <v>0.5</v>
      </c>
      <c r="L29" s="873" t="n">
        <f aca="false">ROUNDDOWN((H29*1000/58),0)</f>
        <v>60</v>
      </c>
      <c r="M29" s="595" t="n">
        <f aca="false">L29*K29</f>
        <v>30</v>
      </c>
      <c r="N29" s="595" t="n">
        <f aca="false">ROUNDUP((E29/M29),0)</f>
        <v>8</v>
      </c>
      <c r="O29" s="595" t="n">
        <f aca="false">N29*L29</f>
        <v>480</v>
      </c>
      <c r="P29" s="450" t="n">
        <f aca="false">O29-L29</f>
        <v>420</v>
      </c>
      <c r="Q29" s="595" t="n">
        <f aca="false">O29+(L29*K29)</f>
        <v>510</v>
      </c>
      <c r="R29" s="595" t="n">
        <f aca="false">ROUNDUP((P29-E29)/L29*100,0)</f>
        <v>335</v>
      </c>
      <c r="S29" s="595" t="n">
        <f aca="false">ROUNDUP((Q29-E29)/(L29)*100,0)</f>
        <v>485</v>
      </c>
    </row>
    <row r="30" customFormat="false" ht="10.15" hidden="false" customHeight="false" outlineLevel="0" collapsed="false">
      <c r="A30" s="0" t="str">
        <f aca="false">'Plant loading'!A32</f>
        <v>Gloucester</v>
      </c>
      <c r="B30" s="595" t="str">
        <f aca="false">'Plant loading'!B32</f>
        <v>PEAGR</v>
      </c>
      <c r="C30" s="595" t="str">
        <f aca="false">'Plant loading'!C32</f>
        <v>eSure</v>
      </c>
      <c r="D30" s="595" t="n">
        <f aca="false">'Plant loading'!D32</f>
        <v>666</v>
      </c>
      <c r="E30" s="595" t="n">
        <f aca="false">'Plant loading'!E32</f>
        <v>665</v>
      </c>
      <c r="F30" s="595" t="n">
        <f aca="false">'Plant loading'!G32</f>
        <v>309.2875</v>
      </c>
      <c r="G30" s="595" t="n">
        <f aca="false">'Plant loading'!H32</f>
        <v>36</v>
      </c>
      <c r="H30" s="595" t="n">
        <f aca="false">'Plant loading'!I32</f>
        <v>3.5</v>
      </c>
      <c r="I30" s="595" t="n">
        <f aca="false">'Plant loading'!J32</f>
        <v>126</v>
      </c>
      <c r="J30" s="872" t="n">
        <f aca="false">D30/(G30*((H30*1000)/58))</f>
        <v>0.306571428571429</v>
      </c>
      <c r="K30" s="872" t="n">
        <v>0.5</v>
      </c>
      <c r="L30" s="873" t="n">
        <f aca="false">ROUNDDOWN((H30*1000/58),0)</f>
        <v>60</v>
      </c>
      <c r="M30" s="595" t="n">
        <f aca="false">L30*K30</f>
        <v>30</v>
      </c>
      <c r="N30" s="595" t="n">
        <f aca="false">ROUNDUP((E30/M30),0)</f>
        <v>23</v>
      </c>
      <c r="O30" s="595" t="n">
        <f aca="false">N30*L30</f>
        <v>1380</v>
      </c>
      <c r="P30" s="450" t="n">
        <f aca="false">O30-L30</f>
        <v>1320</v>
      </c>
      <c r="Q30" s="595" t="n">
        <f aca="false">O30+(L30*K30)</f>
        <v>1410</v>
      </c>
      <c r="R30" s="595" t="n">
        <f aca="false">ROUNDUP((P30-E30)/L30*100,0)</f>
        <v>1092</v>
      </c>
      <c r="S30" s="595" t="n">
        <f aca="false">ROUNDUP((Q30-E30)/(L30)*100,0)</f>
        <v>1242</v>
      </c>
    </row>
    <row r="31" customFormat="false" ht="10.15" hidden="false" customHeight="false" outlineLevel="0" collapsed="false">
      <c r="A31" s="0" t="str">
        <f aca="false">'Plant loading'!A33</f>
        <v>Gloucester</v>
      </c>
      <c r="B31" s="595" t="str">
        <f aca="false">'Plant loading'!B33</f>
        <v>PEBGR</v>
      </c>
      <c r="C31" s="595" t="str">
        <f aca="false">'Plant loading'!C33</f>
        <v>eSure</v>
      </c>
      <c r="D31" s="595" t="n">
        <f aca="false">'Plant loading'!D33</f>
        <v>829</v>
      </c>
      <c r="E31" s="595" t="n">
        <f aca="false">'Plant loading'!E33</f>
        <v>828</v>
      </c>
      <c r="F31" s="595" t="n">
        <f aca="false">'Plant loading'!G33</f>
        <v>0</v>
      </c>
      <c r="G31" s="595" t="n">
        <f aca="false">'Plant loading'!H33</f>
        <v>36</v>
      </c>
      <c r="H31" s="595" t="n">
        <f aca="false">'Plant loading'!I33</f>
        <v>3.5</v>
      </c>
      <c r="I31" s="595" t="n">
        <f aca="false">'Plant loading'!J33</f>
        <v>126</v>
      </c>
      <c r="J31" s="872" t="n">
        <f aca="false">D31/(G31*((H31*1000)/58))</f>
        <v>0.381603174603175</v>
      </c>
      <c r="K31" s="872" t="n">
        <v>0.5</v>
      </c>
      <c r="L31" s="873" t="n">
        <f aca="false">ROUNDDOWN((H31*1000/58),0)</f>
        <v>60</v>
      </c>
      <c r="M31" s="595" t="n">
        <f aca="false">L31*K31</f>
        <v>30</v>
      </c>
      <c r="N31" s="595" t="n">
        <f aca="false">ROUNDUP((E31/M31),0)</f>
        <v>28</v>
      </c>
      <c r="O31" s="595" t="n">
        <f aca="false">N31*L31</f>
        <v>1680</v>
      </c>
      <c r="P31" s="450" t="n">
        <f aca="false">O31-L31</f>
        <v>1620</v>
      </c>
      <c r="Q31" s="595" t="n">
        <f aca="false">O31+(L31*K31)</f>
        <v>1710</v>
      </c>
      <c r="R31" s="595" t="n">
        <f aca="false">ROUNDUP((P31-E31)/L31*100,0)</f>
        <v>1320</v>
      </c>
      <c r="S31" s="595" t="n">
        <f aca="false">ROUNDUP((Q31-E31)/(L31)*100,0)</f>
        <v>1470</v>
      </c>
    </row>
    <row r="32" customFormat="false" ht="10.15" hidden="false" customHeight="false" outlineLevel="0" collapsed="false">
      <c r="A32" s="0" t="str">
        <f aca="false">'Plant loading'!A34</f>
        <v>Gloucester</v>
      </c>
      <c r="B32" s="595" t="str">
        <f aca="false">'Plant loading'!B34</f>
        <v>PECGR</v>
      </c>
      <c r="C32" s="595" t="str">
        <f aca="false">'Plant loading'!C34</f>
        <v>eSure</v>
      </c>
      <c r="D32" s="595" t="n">
        <f aca="false">'Plant loading'!D34</f>
        <v>758</v>
      </c>
      <c r="E32" s="595" t="n">
        <f aca="false">'Plant loading'!E34</f>
        <v>758</v>
      </c>
      <c r="F32" s="595" t="n">
        <f aca="false">'Plant loading'!G34</f>
        <v>0</v>
      </c>
      <c r="G32" s="595" t="n">
        <f aca="false">'Plant loading'!H34</f>
        <v>36</v>
      </c>
      <c r="H32" s="595" t="n">
        <f aca="false">'Plant loading'!I34</f>
        <v>3.5</v>
      </c>
      <c r="I32" s="595" t="n">
        <f aca="false">'Plant loading'!J34</f>
        <v>126</v>
      </c>
      <c r="J32" s="872" t="n">
        <f aca="false">D32/(G32*((H32*1000)/58))</f>
        <v>0.348920634920635</v>
      </c>
      <c r="K32" s="872" t="n">
        <v>0.5</v>
      </c>
      <c r="L32" s="873" t="n">
        <f aca="false">ROUNDDOWN((H32*1000/58),0)</f>
        <v>60</v>
      </c>
      <c r="M32" s="595" t="n">
        <f aca="false">L32*K32</f>
        <v>30</v>
      </c>
      <c r="N32" s="595" t="n">
        <f aca="false">ROUNDUP((E32/M32),0)</f>
        <v>26</v>
      </c>
      <c r="O32" s="595" t="n">
        <f aca="false">N32*L32</f>
        <v>1560</v>
      </c>
      <c r="P32" s="450" t="n">
        <f aca="false">O32-L32</f>
        <v>1500</v>
      </c>
      <c r="Q32" s="595" t="n">
        <f aca="false">O32+(L32*K32)</f>
        <v>1590</v>
      </c>
      <c r="R32" s="595" t="n">
        <f aca="false">ROUNDUP((P32-E32)/L32*100,0)</f>
        <v>1237</v>
      </c>
      <c r="S32" s="595" t="n">
        <f aca="false">ROUNDUP((Q32-E32)/(L32)*100,0)</f>
        <v>1387</v>
      </c>
    </row>
    <row r="33" customFormat="false" ht="10.15" hidden="false" customHeight="false" outlineLevel="0" collapsed="false">
      <c r="A33" s="0" t="str">
        <f aca="false">'Plant loading'!A35</f>
        <v>Gloucester</v>
      </c>
      <c r="B33" s="595" t="str">
        <f aca="false">'Plant loading'!B35</f>
        <v>PEDGR</v>
      </c>
      <c r="C33" s="595" t="str">
        <f aca="false">'Plant loading'!C35</f>
        <v>eSure</v>
      </c>
      <c r="D33" s="595" t="n">
        <f aca="false">'Plant loading'!D35</f>
        <v>760</v>
      </c>
      <c r="E33" s="595" t="n">
        <f aca="false">'Plant loading'!E35</f>
        <v>758</v>
      </c>
      <c r="F33" s="595" t="n">
        <f aca="false">'Plant loading'!G35</f>
        <v>0.665134408602151</v>
      </c>
      <c r="G33" s="595" t="n">
        <f aca="false">'Plant loading'!H35</f>
        <v>36</v>
      </c>
      <c r="H33" s="595" t="n">
        <f aca="false">'Plant loading'!I35</f>
        <v>3.5</v>
      </c>
      <c r="I33" s="595" t="n">
        <f aca="false">'Plant loading'!J35</f>
        <v>126</v>
      </c>
      <c r="J33" s="872" t="n">
        <f aca="false">D33/(G33*((H33*1000)/58))</f>
        <v>0.34984126984127</v>
      </c>
      <c r="K33" s="872" t="n">
        <v>0.5</v>
      </c>
      <c r="L33" s="873" t="n">
        <f aca="false">ROUNDDOWN((H33*1000/58),0)</f>
        <v>60</v>
      </c>
      <c r="M33" s="595" t="n">
        <f aca="false">L33*K33</f>
        <v>30</v>
      </c>
      <c r="N33" s="595" t="n">
        <f aca="false">ROUNDUP((E33/M33),0)</f>
        <v>26</v>
      </c>
      <c r="O33" s="595" t="n">
        <f aca="false">N33*L33</f>
        <v>1560</v>
      </c>
      <c r="P33" s="450" t="n">
        <f aca="false">O33-L33</f>
        <v>1500</v>
      </c>
      <c r="Q33" s="595" t="n">
        <f aca="false">O33+(L33*K33)</f>
        <v>1590</v>
      </c>
      <c r="R33" s="595" t="n">
        <f aca="false">ROUNDUP((P33-E33)/L33*100,0)</f>
        <v>1237</v>
      </c>
      <c r="S33" s="595" t="n">
        <f aca="false">ROUNDUP((Q33-E33)/(L33)*100,0)</f>
        <v>1387</v>
      </c>
    </row>
    <row r="34" customFormat="false" ht="10.15" hidden="false" customHeight="false" outlineLevel="0" collapsed="false">
      <c r="A34" s="0" t="str">
        <f aca="false">'Plant loading'!A36</f>
        <v>Gloucester</v>
      </c>
      <c r="B34" s="595" t="str">
        <f aca="false">'Plant loading'!B36</f>
        <v>PEEGR</v>
      </c>
      <c r="C34" s="595" t="str">
        <f aca="false">'Plant loading'!C36</f>
        <v>eSure</v>
      </c>
      <c r="D34" s="595" t="n">
        <f aca="false">'Plant loading'!D36</f>
        <v>760</v>
      </c>
      <c r="E34" s="595" t="n">
        <f aca="false">'Plant loading'!E36</f>
        <v>761</v>
      </c>
      <c r="F34" s="595" t="n">
        <f aca="false">'Plant loading'!G36</f>
        <v>0</v>
      </c>
      <c r="G34" s="595" t="n">
        <f aca="false">'Plant loading'!H36</f>
        <v>36</v>
      </c>
      <c r="H34" s="595" t="n">
        <f aca="false">'Plant loading'!I36</f>
        <v>3.5</v>
      </c>
      <c r="I34" s="595" t="n">
        <f aca="false">'Plant loading'!J36</f>
        <v>126</v>
      </c>
      <c r="J34" s="872" t="n">
        <f aca="false">D34/(G34*((H34*1000)/58))</f>
        <v>0.34984126984127</v>
      </c>
      <c r="K34" s="872" t="n">
        <v>0.5</v>
      </c>
      <c r="L34" s="873" t="n">
        <f aca="false">ROUNDDOWN((H34*1000/58),0)</f>
        <v>60</v>
      </c>
      <c r="M34" s="595" t="n">
        <f aca="false">L34*K34</f>
        <v>30</v>
      </c>
      <c r="N34" s="595" t="n">
        <f aca="false">ROUNDUP((E34/M34),0)</f>
        <v>26</v>
      </c>
      <c r="O34" s="595" t="n">
        <f aca="false">N34*L34</f>
        <v>1560</v>
      </c>
      <c r="P34" s="450" t="n">
        <f aca="false">O34-L34</f>
        <v>1500</v>
      </c>
      <c r="Q34" s="595" t="n">
        <f aca="false">O34+(L34*K34)</f>
        <v>1590</v>
      </c>
      <c r="R34" s="595" t="n">
        <f aca="false">ROUNDUP((P34-E34)/L34*100,0)</f>
        <v>1232</v>
      </c>
      <c r="S34" s="595" t="n">
        <f aca="false">ROUNDUP((Q34-E34)/(L34)*100,0)</f>
        <v>1382</v>
      </c>
    </row>
    <row r="35" customFormat="false" ht="10.15" hidden="false" customHeight="false" outlineLevel="0" collapsed="false">
      <c r="A35" s="0" t="str">
        <f aca="false">'Plant loading'!A39</f>
        <v>Gravelly Hill</v>
      </c>
      <c r="B35" s="595" t="str">
        <f aca="false">'Plant loading'!B39</f>
        <v>BMGMTX-DCSYS01</v>
      </c>
      <c r="C35" s="595" t="str">
        <f aca="false">'Plant loading'!C39</f>
        <v>HDR48-ES</v>
      </c>
      <c r="D35" s="595" t="n">
        <f aca="false">'Plant loading'!D39</f>
        <v>726</v>
      </c>
      <c r="E35" s="595" t="n">
        <f aca="false">'Plant loading'!E39</f>
        <v>663</v>
      </c>
      <c r="F35" s="595" t="n">
        <f aca="false">'Plant loading'!G39</f>
        <v>282.5825</v>
      </c>
      <c r="G35" s="595" t="n">
        <f aca="false">'Plant loading'!H39</f>
        <v>44</v>
      </c>
      <c r="H35" s="595" t="n">
        <f aca="false">'Plant loading'!I39</f>
        <v>3</v>
      </c>
      <c r="I35" s="595" t="n">
        <f aca="false">'Plant loading'!J39</f>
        <v>132</v>
      </c>
      <c r="J35" s="872" t="n">
        <f aca="false">D35/(G35*((H35*1000)/58))</f>
        <v>0.319</v>
      </c>
      <c r="K35" s="872" t="n">
        <v>0.5</v>
      </c>
      <c r="L35" s="873" t="n">
        <f aca="false">ROUNDDOWN((H35*1000/58),0)</f>
        <v>51</v>
      </c>
      <c r="M35" s="595" t="n">
        <f aca="false">L35*K35</f>
        <v>25.5</v>
      </c>
      <c r="N35" s="595" t="n">
        <f aca="false">ROUNDUP((E35/M35),0)</f>
        <v>26</v>
      </c>
      <c r="O35" s="595" t="n">
        <f aca="false">N35*L35</f>
        <v>1326</v>
      </c>
      <c r="P35" s="450" t="n">
        <f aca="false">O35-L35</f>
        <v>1275</v>
      </c>
      <c r="Q35" s="595" t="n">
        <f aca="false">O35+(L35*K35)</f>
        <v>1351.5</v>
      </c>
      <c r="R35" s="595" t="n">
        <f aca="false">ROUNDUP((P35-E35)/L35*100,0)</f>
        <v>1200</v>
      </c>
      <c r="S35" s="595" t="n">
        <f aca="false">ROUNDUP((Q35-E35)/(L35)*100,0)</f>
        <v>1350</v>
      </c>
    </row>
    <row r="36" customFormat="false" ht="10.15" hidden="false" customHeight="false" outlineLevel="0" collapsed="false">
      <c r="A36" s="0" t="str">
        <f aca="false">'Plant loading'!A40</f>
        <v>Gravelly Hill</v>
      </c>
      <c r="B36" s="595" t="str">
        <f aca="false">'Plant loading'!B40</f>
        <v>BMGMTX-DCSYS02</v>
      </c>
      <c r="C36" s="595" t="str">
        <f aca="false">'Plant loading'!C40</f>
        <v>HDR48-ES</v>
      </c>
      <c r="D36" s="595" t="n">
        <f aca="false">'Plant loading'!D40</f>
        <v>737</v>
      </c>
      <c r="E36" s="595" t="n">
        <f aca="false">'Plant loading'!E40</f>
        <v>704</v>
      </c>
      <c r="F36" s="595" t="n">
        <f aca="false">'Plant loading'!G40</f>
        <v>0</v>
      </c>
      <c r="G36" s="595" t="n">
        <f aca="false">'Plant loading'!H40</f>
        <v>44</v>
      </c>
      <c r="H36" s="595" t="n">
        <f aca="false">'Plant loading'!I40</f>
        <v>3</v>
      </c>
      <c r="I36" s="595" t="n">
        <f aca="false">'Plant loading'!J40</f>
        <v>132</v>
      </c>
      <c r="J36" s="872" t="n">
        <f aca="false">D36/(G36*((H36*1000)/58))</f>
        <v>0.323833333333333</v>
      </c>
      <c r="K36" s="872" t="n">
        <v>0.5</v>
      </c>
      <c r="L36" s="873" t="n">
        <f aca="false">ROUNDDOWN((H36*1000/58),0)</f>
        <v>51</v>
      </c>
      <c r="M36" s="595" t="n">
        <f aca="false">L36*K36</f>
        <v>25.5</v>
      </c>
      <c r="N36" s="595" t="n">
        <f aca="false">ROUNDUP((E36/M36),0)</f>
        <v>28</v>
      </c>
      <c r="O36" s="595" t="n">
        <f aca="false">N36*L36</f>
        <v>1428</v>
      </c>
      <c r="P36" s="450" t="n">
        <f aca="false">O36-L36</f>
        <v>1377</v>
      </c>
      <c r="Q36" s="595" t="n">
        <f aca="false">O36+(L36*K36)</f>
        <v>1453.5</v>
      </c>
      <c r="R36" s="595" t="n">
        <f aca="false">ROUNDUP((P36-E36)/L36*100,0)</f>
        <v>1320</v>
      </c>
      <c r="S36" s="595" t="n">
        <f aca="false">ROUNDUP((Q36-E36)/(L36)*100,0)</f>
        <v>1470</v>
      </c>
    </row>
    <row r="37" customFormat="false" ht="10.15" hidden="false" customHeight="false" outlineLevel="0" collapsed="false">
      <c r="A37" s="0" t="str">
        <f aca="false">'Plant loading'!A41</f>
        <v>Gravelly Hill</v>
      </c>
      <c r="B37" s="595" t="str">
        <f aca="false">'Plant loading'!B41</f>
        <v>BMGMTX-DCSYS03</v>
      </c>
      <c r="C37" s="595" t="str">
        <f aca="false">'Plant loading'!C41</f>
        <v>HDR48-ES</v>
      </c>
      <c r="D37" s="595" t="n">
        <f aca="false">'Plant loading'!D41</f>
        <v>770</v>
      </c>
      <c r="E37" s="595" t="n">
        <f aca="false">'Plant loading'!E41</f>
        <v>751</v>
      </c>
      <c r="F37" s="595" t="n">
        <f aca="false">'Plant loading'!G41</f>
        <v>0</v>
      </c>
      <c r="G37" s="595" t="n">
        <f aca="false">'Plant loading'!H41</f>
        <v>44</v>
      </c>
      <c r="H37" s="595" t="n">
        <f aca="false">'Plant loading'!I41</f>
        <v>3</v>
      </c>
      <c r="I37" s="595" t="n">
        <f aca="false">'Plant loading'!J41</f>
        <v>132</v>
      </c>
      <c r="J37" s="872" t="n">
        <f aca="false">D37/(G37*((H37*1000)/58))</f>
        <v>0.338333333333333</v>
      </c>
      <c r="K37" s="872" t="n">
        <v>0.5</v>
      </c>
      <c r="L37" s="873" t="n">
        <f aca="false">ROUNDDOWN((H37*1000/58),0)</f>
        <v>51</v>
      </c>
      <c r="M37" s="595" t="n">
        <f aca="false">L37*K37</f>
        <v>25.5</v>
      </c>
      <c r="N37" s="595" t="n">
        <f aca="false">ROUNDUP((E37/M37),0)</f>
        <v>30</v>
      </c>
      <c r="O37" s="595" t="n">
        <f aca="false">N37*L37</f>
        <v>1530</v>
      </c>
      <c r="P37" s="450" t="n">
        <f aca="false">O37-L37</f>
        <v>1479</v>
      </c>
      <c r="Q37" s="595" t="n">
        <f aca="false">O37+(L37*K37)</f>
        <v>1555.5</v>
      </c>
      <c r="R37" s="595" t="n">
        <f aca="false">ROUNDUP((P37-E37)/L37*100,0)</f>
        <v>1428</v>
      </c>
      <c r="S37" s="595" t="n">
        <f aca="false">ROUNDUP((Q37-E37)/(L37)*100,0)</f>
        <v>1578</v>
      </c>
    </row>
    <row r="38" customFormat="false" ht="10.15" hidden="false" customHeight="false" outlineLevel="0" collapsed="false">
      <c r="A38" s="0" t="str">
        <f aca="false">'Plant loading'!A42</f>
        <v>Gravelly Hill</v>
      </c>
      <c r="B38" s="595" t="str">
        <f aca="false">'Plant loading'!B42</f>
        <v>BMGMTX-DCSYS04</v>
      </c>
      <c r="C38" s="595" t="str">
        <f aca="false">'Plant loading'!C42</f>
        <v>HDR48-ES</v>
      </c>
      <c r="D38" s="595" t="n">
        <f aca="false">'Plant loading'!D42</f>
        <v>761</v>
      </c>
      <c r="E38" s="595" t="n">
        <f aca="false">'Plant loading'!E42</f>
        <v>740</v>
      </c>
      <c r="F38" s="595" t="n">
        <f aca="false">'Plant loading'!G42</f>
        <v>0.611650432900433</v>
      </c>
      <c r="G38" s="595" t="n">
        <f aca="false">'Plant loading'!H42</f>
        <v>44</v>
      </c>
      <c r="H38" s="595" t="n">
        <v>3.5</v>
      </c>
      <c r="I38" s="595" t="n">
        <f aca="false">'Plant loading'!J42</f>
        <v>132</v>
      </c>
      <c r="J38" s="872" t="n">
        <f aca="false">D38/(G38*((H38*1000)/58))</f>
        <v>0.28661038961039</v>
      </c>
      <c r="K38" s="872" t="n">
        <v>0.5</v>
      </c>
      <c r="L38" s="873" t="n">
        <f aca="false">ROUNDDOWN((H38*1000/58),0)</f>
        <v>60</v>
      </c>
      <c r="M38" s="595" t="n">
        <f aca="false">L38*K38</f>
        <v>30</v>
      </c>
      <c r="N38" s="595" t="n">
        <f aca="false">ROUNDUP((E38/M38),0)</f>
        <v>25</v>
      </c>
      <c r="O38" s="595" t="n">
        <f aca="false">N38*L38</f>
        <v>1500</v>
      </c>
      <c r="P38" s="450" t="n">
        <f aca="false">O38-L38</f>
        <v>1440</v>
      </c>
      <c r="Q38" s="595" t="n">
        <f aca="false">O38+(L38*K38)</f>
        <v>1530</v>
      </c>
      <c r="R38" s="595" t="n">
        <f aca="false">ROUNDUP((P38-E38)/L38*100,0)</f>
        <v>1167</v>
      </c>
      <c r="S38" s="595" t="n">
        <f aca="false">ROUNDUP((Q38-E38)/(L38)*100,0)</f>
        <v>1317</v>
      </c>
    </row>
    <row r="39" customFormat="false" ht="10.15" hidden="false" customHeight="false" outlineLevel="0" collapsed="false">
      <c r="A39" s="0" t="str">
        <f aca="false">'Plant loading'!A43</f>
        <v>Gravelly Hill</v>
      </c>
      <c r="B39" s="595" t="str">
        <f aca="false">'Plant loading'!B43</f>
        <v>BMGMTX-DCSYS05</v>
      </c>
      <c r="C39" s="595" t="str">
        <f aca="false">'Plant loading'!C43</f>
        <v>HDR48-ES</v>
      </c>
      <c r="D39" s="595" t="n">
        <f aca="false">'Plant loading'!D43</f>
        <v>800</v>
      </c>
      <c r="E39" s="595" t="n">
        <f aca="false">'Plant loading'!E43</f>
        <v>774</v>
      </c>
      <c r="F39" s="595" t="n">
        <f aca="false">'Plant loading'!G43</f>
        <v>0</v>
      </c>
      <c r="G39" s="595" t="n">
        <f aca="false">'Plant loading'!H43</f>
        <v>44</v>
      </c>
      <c r="H39" s="595" t="n">
        <f aca="false">'Plant loading'!I43</f>
        <v>3</v>
      </c>
      <c r="I39" s="595" t="n">
        <f aca="false">'Plant loading'!J43</f>
        <v>132</v>
      </c>
      <c r="J39" s="872" t="n">
        <f aca="false">D39/(G39*((H39*1000)/58))</f>
        <v>0.351515151515151</v>
      </c>
      <c r="K39" s="872" t="n">
        <v>0.5</v>
      </c>
      <c r="L39" s="873" t="n">
        <f aca="false">ROUNDDOWN((H39*1000/58),0)</f>
        <v>51</v>
      </c>
      <c r="M39" s="595" t="n">
        <f aca="false">L39*K39</f>
        <v>25.5</v>
      </c>
      <c r="N39" s="595" t="n">
        <f aca="false">ROUNDUP((E39/M39),0)</f>
        <v>31</v>
      </c>
      <c r="O39" s="595" t="n">
        <f aca="false">N39*L39</f>
        <v>1581</v>
      </c>
      <c r="P39" s="450" t="n">
        <f aca="false">O39-L39</f>
        <v>1530</v>
      </c>
      <c r="Q39" s="595" t="n">
        <f aca="false">O39+(L39*K39)</f>
        <v>1606.5</v>
      </c>
      <c r="R39" s="595" t="n">
        <f aca="false">ROUNDUP((P39-E39)/L39*100,0)</f>
        <v>1483</v>
      </c>
      <c r="S39" s="595" t="n">
        <f aca="false">ROUNDUP((Q39-E39)/(L39)*100,0)</f>
        <v>1633</v>
      </c>
    </row>
    <row r="40" customFormat="false" ht="10.15" hidden="false" customHeight="false" outlineLevel="0" collapsed="false">
      <c r="A40" s="0" t="str">
        <f aca="false">'Plant loading'!A44</f>
        <v>Gravelly Hill</v>
      </c>
      <c r="B40" s="595" t="str">
        <f aca="false">'Plant loading'!B44</f>
        <v>BMGMTX-DCSYS06</v>
      </c>
      <c r="C40" s="595" t="str">
        <f aca="false">'Plant loading'!C44</f>
        <v>HDR48-ES</v>
      </c>
      <c r="D40" s="595" t="n">
        <f aca="false">'Plant loading'!D44</f>
        <v>847</v>
      </c>
      <c r="E40" s="595" t="n">
        <f aca="false">'Plant loading'!E44</f>
        <v>790</v>
      </c>
      <c r="F40" s="595" t="n">
        <f aca="false">'Plant loading'!G44</f>
        <v>0</v>
      </c>
      <c r="G40" s="595" t="n">
        <f aca="false">'Plant loading'!H44</f>
        <v>44</v>
      </c>
      <c r="H40" s="595" t="n">
        <f aca="false">'Plant loading'!I44</f>
        <v>3</v>
      </c>
      <c r="I40" s="595" t="n">
        <f aca="false">'Plant loading'!J44</f>
        <v>132</v>
      </c>
      <c r="J40" s="872" t="n">
        <f aca="false">D40/(G40*((H40*1000)/58))</f>
        <v>0.372166666666667</v>
      </c>
      <c r="K40" s="872" t="n">
        <v>0.5</v>
      </c>
      <c r="L40" s="873" t="n">
        <f aca="false">ROUNDDOWN((H40*1000/58),0)</f>
        <v>51</v>
      </c>
      <c r="M40" s="595" t="n">
        <f aca="false">L40*K40</f>
        <v>25.5</v>
      </c>
      <c r="N40" s="595" t="n">
        <f aca="false">ROUNDUP((E40/M40),0)</f>
        <v>31</v>
      </c>
      <c r="O40" s="595" t="n">
        <f aca="false">N40*L40</f>
        <v>1581</v>
      </c>
      <c r="P40" s="450" t="n">
        <f aca="false">O40-L40</f>
        <v>1530</v>
      </c>
      <c r="Q40" s="595" t="n">
        <f aca="false">O40+(L40*K40)</f>
        <v>1606.5</v>
      </c>
      <c r="R40" s="595" t="n">
        <f aca="false">ROUNDUP((P40-E40)/L40*100,0)</f>
        <v>1451</v>
      </c>
      <c r="S40" s="595" t="n">
        <f aca="false">ROUNDUP((Q40-E40)/(L40)*100,0)</f>
        <v>1601</v>
      </c>
    </row>
    <row r="41" customFormat="false" ht="10.15" hidden="false" customHeight="false" outlineLevel="0" collapsed="false">
      <c r="A41" s="0" t="str">
        <f aca="false">'Plant loading'!A47</f>
        <v>Kings Cross</v>
      </c>
      <c r="B41" s="595" t="str">
        <f aca="false">'Plant loading'!B47</f>
        <v>PEAKS</v>
      </c>
      <c r="C41" s="595" t="str">
        <f aca="false">'Plant loading'!C47</f>
        <v>eSure</v>
      </c>
      <c r="D41" s="595" t="n">
        <f aca="false">'Plant loading'!D47</f>
        <v>243</v>
      </c>
      <c r="E41" s="595" t="n">
        <f aca="false">'Plant loading'!E47</f>
        <v>239</v>
      </c>
      <c r="F41" s="595" t="n">
        <f aca="false">'Plant loading'!G47</f>
        <v>120.663</v>
      </c>
      <c r="G41" s="595" t="n">
        <f aca="false">'Plant loading'!H47</f>
        <v>24</v>
      </c>
      <c r="H41" s="595" t="n">
        <f aca="false">'Plant loading'!I47</f>
        <v>3.5</v>
      </c>
      <c r="I41" s="595" t="n">
        <f aca="false">'Plant loading'!J47</f>
        <v>84</v>
      </c>
      <c r="J41" s="872" t="n">
        <f aca="false">D41/(G41*((H41*1000)/58))</f>
        <v>0.167785714285714</v>
      </c>
      <c r="K41" s="872" t="n">
        <v>0.5</v>
      </c>
      <c r="L41" s="873" t="n">
        <f aca="false">ROUNDDOWN((H41*1000/58),0)</f>
        <v>60</v>
      </c>
      <c r="M41" s="595" t="n">
        <f aca="false">L41*K41</f>
        <v>30</v>
      </c>
      <c r="N41" s="595" t="n">
        <f aca="false">ROUNDUP((E41/M41),0)</f>
        <v>8</v>
      </c>
      <c r="O41" s="595" t="n">
        <f aca="false">N41*L41</f>
        <v>480</v>
      </c>
      <c r="P41" s="450" t="n">
        <f aca="false">O41-L41</f>
        <v>420</v>
      </c>
      <c r="Q41" s="595" t="n">
        <f aca="false">O41+(L41*K41)</f>
        <v>510</v>
      </c>
      <c r="R41" s="595" t="n">
        <f aca="false">ROUNDUP((P41-E41)/L41*100,0)</f>
        <v>302</v>
      </c>
      <c r="S41" s="595" t="n">
        <f aca="false">ROUNDUP((Q41-E41)/(L41)*100,0)</f>
        <v>452</v>
      </c>
    </row>
    <row r="42" customFormat="false" ht="10.15" hidden="false" customHeight="false" outlineLevel="0" collapsed="false">
      <c r="A42" s="0" t="str">
        <f aca="false">'Plant loading'!A48</f>
        <v>Kings Cross</v>
      </c>
      <c r="B42" s="595" t="str">
        <f aca="false">'Plant loading'!B48</f>
        <v>PEBKS</v>
      </c>
      <c r="C42" s="595" t="str">
        <f aca="false">'Plant loading'!C48</f>
        <v>eSure</v>
      </c>
      <c r="D42" s="595" t="n">
        <f aca="false">'Plant loading'!D48</f>
        <v>351</v>
      </c>
      <c r="E42" s="595" t="n">
        <f aca="false">'Plant loading'!E48</f>
        <v>331</v>
      </c>
      <c r="F42" s="595" t="n">
        <f aca="false">'Plant loading'!G48</f>
        <v>0</v>
      </c>
      <c r="G42" s="595" t="n">
        <f aca="false">'Plant loading'!H48</f>
        <v>30</v>
      </c>
      <c r="H42" s="595" t="n">
        <f aca="false">'Plant loading'!I48</f>
        <v>3.5</v>
      </c>
      <c r="I42" s="595" t="n">
        <f aca="false">'Plant loading'!J48</f>
        <v>105</v>
      </c>
      <c r="J42" s="872" t="n">
        <f aca="false">D42/(G42*((H42*1000)/58))</f>
        <v>0.193885714285714</v>
      </c>
      <c r="K42" s="872" t="n">
        <v>0.5</v>
      </c>
      <c r="L42" s="873" t="n">
        <f aca="false">ROUNDDOWN((H42*1000/58),0)</f>
        <v>60</v>
      </c>
      <c r="M42" s="595" t="n">
        <f aca="false">L42*K42</f>
        <v>30</v>
      </c>
      <c r="N42" s="595" t="n">
        <f aca="false">ROUNDUP((E42/M42),0)</f>
        <v>12</v>
      </c>
      <c r="O42" s="595" t="n">
        <f aca="false">N42*L42</f>
        <v>720</v>
      </c>
      <c r="P42" s="450" t="n">
        <f aca="false">O42-L42</f>
        <v>660</v>
      </c>
      <c r="Q42" s="595" t="n">
        <f aca="false">O42+(L42*K42)</f>
        <v>750</v>
      </c>
      <c r="R42" s="595" t="n">
        <f aca="false">ROUNDUP((P42-E42)/L42*100,0)</f>
        <v>549</v>
      </c>
      <c r="S42" s="595" t="n">
        <f aca="false">ROUNDUP((Q42-E42)/(L42)*100,0)</f>
        <v>699</v>
      </c>
    </row>
    <row r="43" customFormat="false" ht="10.15" hidden="false" customHeight="false" outlineLevel="0" collapsed="false">
      <c r="A43" s="0" t="e">
        <f aca="false">'plant loading'!#ref!</f>
        <v>#VALUE!</v>
      </c>
      <c r="B43" s="595" t="e">
        <f aca="false">'plant loading'!#ref!</f>
        <v>#VALUE!</v>
      </c>
      <c r="C43" s="595" t="e">
        <f aca="false">'plant loading'!#ref!</f>
        <v>#VALUE!</v>
      </c>
      <c r="D43" s="595" t="e">
        <f aca="false">'plant loading'!#ref!</f>
        <v>#VALUE!</v>
      </c>
      <c r="E43" s="595" t="e">
        <f aca="false">'plant loading'!#ref!</f>
        <v>#VALUE!</v>
      </c>
      <c r="F43" s="595" t="e">
        <f aca="false">'plant loading'!#ref!</f>
        <v>#VALUE!</v>
      </c>
      <c r="G43" s="595" t="e">
        <f aca="false">'plant loading'!#ref!</f>
        <v>#VALUE!</v>
      </c>
      <c r="H43" s="595" t="e">
        <f aca="false">'plant loading'!#ref!</f>
        <v>#VALUE!</v>
      </c>
      <c r="I43" s="595" t="e">
        <f aca="false">'plant loading'!#ref!</f>
        <v>#VALUE!</v>
      </c>
      <c r="J43" s="872" t="e">
        <f aca="false">D43/(G43*((H43*1000)/58))</f>
        <v>#VALUE!</v>
      </c>
      <c r="K43" s="872" t="n">
        <v>0.5</v>
      </c>
      <c r="L43" s="873" t="e">
        <f aca="false">ROUNDDOWN((H43*1000/58),0)</f>
        <v>#VALUE!</v>
      </c>
      <c r="M43" s="595" t="e">
        <f aca="false">L43*K43</f>
        <v>#VALUE!</v>
      </c>
      <c r="N43" s="595" t="e">
        <f aca="false">ROUNDUP((E43/M43),0)</f>
        <v>#VALUE!</v>
      </c>
      <c r="O43" s="595" t="e">
        <f aca="false">N43*L43</f>
        <v>#VALUE!</v>
      </c>
      <c r="P43" s="450" t="e">
        <f aca="false">O43-L43</f>
        <v>#VALUE!</v>
      </c>
      <c r="Q43" s="595" t="e">
        <f aca="false">O43+(L43*K43)</f>
        <v>#VALUE!</v>
      </c>
      <c r="R43" s="595" t="e">
        <f aca="false">ROUNDUP((P43-E43)/L43*100,0)</f>
        <v>#VALUE!</v>
      </c>
      <c r="S43" s="595" t="e">
        <f aca="false">ROUNDUP((Q43-E43)/(L43)*100,0)</f>
        <v>#VALUE!</v>
      </c>
    </row>
    <row r="44" customFormat="false" ht="10.15" hidden="false" customHeight="false" outlineLevel="0" collapsed="false">
      <c r="A44" s="0" t="e">
        <f aca="false">'plant loading'!#ref!</f>
        <v>#VALUE!</v>
      </c>
      <c r="B44" s="595" t="e">
        <f aca="false">'plant loading'!#ref!</f>
        <v>#VALUE!</v>
      </c>
      <c r="C44" s="595" t="e">
        <f aca="false">'plant loading'!#ref!</f>
        <v>#VALUE!</v>
      </c>
      <c r="D44" s="595" t="e">
        <f aca="false">'plant loading'!#ref!</f>
        <v>#VALUE!</v>
      </c>
      <c r="E44" s="595" t="e">
        <f aca="false">'plant loading'!#ref!</f>
        <v>#VALUE!</v>
      </c>
      <c r="F44" s="595" t="e">
        <f aca="false">'plant loading'!#ref!</f>
        <v>#VALUE!</v>
      </c>
      <c r="G44" s="595" t="e">
        <f aca="false">'plant loading'!#ref!</f>
        <v>#VALUE!</v>
      </c>
      <c r="H44" s="595" t="e">
        <f aca="false">'plant loading'!#ref!</f>
        <v>#VALUE!</v>
      </c>
      <c r="I44" s="595" t="e">
        <f aca="false">'plant loading'!#ref!</f>
        <v>#VALUE!</v>
      </c>
      <c r="J44" s="872" t="e">
        <f aca="false">D44/(G44*((H44*1000)/58))</f>
        <v>#VALUE!</v>
      </c>
      <c r="K44" s="872" t="n">
        <v>0.5</v>
      </c>
      <c r="L44" s="873" t="e">
        <f aca="false">ROUNDDOWN((H44*1000/58),0)</f>
        <v>#VALUE!</v>
      </c>
      <c r="M44" s="595" t="e">
        <f aca="false">L44*K44</f>
        <v>#VALUE!</v>
      </c>
      <c r="N44" s="595" t="e">
        <f aca="false">ROUNDUP((E44/M44),0)</f>
        <v>#VALUE!</v>
      </c>
      <c r="O44" s="595" t="e">
        <f aca="false">N44*L44</f>
        <v>#VALUE!</v>
      </c>
      <c r="P44" s="450" t="e">
        <f aca="false">O44-L44</f>
        <v>#VALUE!</v>
      </c>
      <c r="Q44" s="595" t="e">
        <f aca="false">O44+(L44*K44)</f>
        <v>#VALUE!</v>
      </c>
      <c r="R44" s="595" t="e">
        <f aca="false">ROUNDUP((P44-E44)/L44*100,0)</f>
        <v>#VALUE!</v>
      </c>
      <c r="S44" s="595" t="e">
        <f aca="false">ROUNDUP((Q44-E44)/(L44)*100,0)</f>
        <v>#VALUE!</v>
      </c>
    </row>
    <row r="45" customFormat="false" ht="10.15" hidden="false" customHeight="false" outlineLevel="0" collapsed="false">
      <c r="A45" s="0" t="str">
        <f aca="false">'Plant loading'!A49</f>
        <v>Kings Cross</v>
      </c>
      <c r="B45" s="595" t="str">
        <f aca="false">'Plant loading'!B49</f>
        <v>PEEKS</v>
      </c>
      <c r="C45" s="595" t="str">
        <f aca="false">'Plant loading'!C49</f>
        <v>eSure</v>
      </c>
      <c r="D45" s="595" t="n">
        <f aca="false">'Plant loading'!D49</f>
        <v>101</v>
      </c>
      <c r="E45" s="595" t="n">
        <f aca="false">'Plant loading'!E49</f>
        <v>100</v>
      </c>
      <c r="F45" s="595" t="n">
        <f aca="false">'Plant loading'!G49</f>
        <v>0</v>
      </c>
      <c r="G45" s="595" t="n">
        <f aca="false">'Plant loading'!H49</f>
        <v>12</v>
      </c>
      <c r="H45" s="595" t="n">
        <f aca="false">'Plant loading'!I49</f>
        <v>3.5</v>
      </c>
      <c r="I45" s="595" t="n">
        <f aca="false">'Plant loading'!J49</f>
        <v>42</v>
      </c>
      <c r="J45" s="872" t="n">
        <f aca="false">D45/(G45*((H45*1000)/58))</f>
        <v>0.13947619047619</v>
      </c>
      <c r="K45" s="872" t="n">
        <v>0.5</v>
      </c>
      <c r="L45" s="873" t="n">
        <f aca="false">ROUNDDOWN((H45*1000/58),0)</f>
        <v>60</v>
      </c>
      <c r="M45" s="595" t="n">
        <f aca="false">L45*K45</f>
        <v>30</v>
      </c>
      <c r="N45" s="595" t="n">
        <f aca="false">ROUNDUP((E45/M45),0)</f>
        <v>4</v>
      </c>
      <c r="O45" s="595" t="n">
        <f aca="false">N45*L45</f>
        <v>240</v>
      </c>
      <c r="P45" s="450" t="n">
        <f aca="false">O45-L45</f>
        <v>180</v>
      </c>
      <c r="Q45" s="595" t="n">
        <f aca="false">O45+(L45*K45)</f>
        <v>270</v>
      </c>
      <c r="R45" s="595" t="n">
        <f aca="false">ROUNDUP((P45-E45)/L45*100,0)</f>
        <v>134</v>
      </c>
      <c r="S45" s="595" t="n">
        <f aca="false">ROUNDUP((Q45-E45)/(L45)*100,0)</f>
        <v>284</v>
      </c>
    </row>
    <row r="46" customFormat="false" ht="10.15" hidden="false" customHeight="false" outlineLevel="0" collapsed="false">
      <c r="A46" s="0" t="str">
        <f aca="false">'Plant loading'!A50</f>
        <v>Kings Cross</v>
      </c>
      <c r="B46" s="595" t="str">
        <f aca="false">'Plant loading'!B50</f>
        <v>PEIKS</v>
      </c>
      <c r="C46" s="595" t="str">
        <f aca="false">'Plant loading'!C50</f>
        <v>eSure</v>
      </c>
      <c r="D46" s="595" t="n">
        <f aca="false">'Plant loading'!D50</f>
        <v>485</v>
      </c>
      <c r="E46" s="595" t="n">
        <f aca="false">'Plant loading'!E50</f>
        <v>485</v>
      </c>
      <c r="F46" s="595" t="n">
        <f aca="false">'Plant loading'!G50</f>
        <v>0</v>
      </c>
      <c r="G46" s="595" t="n">
        <f aca="false">'Plant loading'!H50</f>
        <v>36</v>
      </c>
      <c r="H46" s="595" t="n">
        <f aca="false">'Plant loading'!I50</f>
        <v>3.5</v>
      </c>
      <c r="I46" s="595" t="n">
        <f aca="false">'Plant loading'!J50</f>
        <v>126</v>
      </c>
      <c r="J46" s="872" t="n">
        <f aca="false">D46/(G46*((H46*1000)/58))</f>
        <v>0.223253968253968</v>
      </c>
      <c r="K46" s="872" t="n">
        <v>0.5</v>
      </c>
      <c r="L46" s="873" t="n">
        <f aca="false">ROUNDDOWN((H46*1000/58),0)</f>
        <v>60</v>
      </c>
      <c r="M46" s="595" t="n">
        <f aca="false">L46*K46</f>
        <v>30</v>
      </c>
      <c r="N46" s="595" t="n">
        <f aca="false">ROUNDUP((E46/M46),0)</f>
        <v>17</v>
      </c>
      <c r="O46" s="595" t="n">
        <f aca="false">N46*L46</f>
        <v>1020</v>
      </c>
      <c r="P46" s="450" t="n">
        <f aca="false">O46-L46</f>
        <v>960</v>
      </c>
      <c r="Q46" s="595" t="n">
        <f aca="false">O46+(L46*K46)</f>
        <v>1050</v>
      </c>
      <c r="R46" s="595" t="n">
        <f aca="false">ROUNDUP((P46-E46)/L46*100,0)</f>
        <v>792</v>
      </c>
      <c r="S46" s="595" t="n">
        <f aca="false">ROUNDUP((Q46-E46)/(L46)*100,0)</f>
        <v>942</v>
      </c>
    </row>
    <row r="47" customFormat="false" ht="10.15" hidden="false" customHeight="false" outlineLevel="0" collapsed="false">
      <c r="A47" s="0" t="str">
        <f aca="false">'Plant loading'!A51</f>
        <v>Kings Cross</v>
      </c>
      <c r="B47" s="595" t="str">
        <f aca="false">'Plant loading'!B51</f>
        <v>PEJKS</v>
      </c>
      <c r="C47" s="595" t="str">
        <f aca="false">'Plant loading'!C51</f>
        <v>eSure</v>
      </c>
      <c r="D47" s="595" t="n">
        <f aca="false">'Plant loading'!D51</f>
        <v>244</v>
      </c>
      <c r="E47" s="595" t="n">
        <f aca="false">'Plant loading'!E51</f>
        <v>238</v>
      </c>
      <c r="F47" s="595" t="n">
        <f aca="false">'Plant loading'!G51</f>
        <v>0</v>
      </c>
      <c r="G47" s="595" t="n">
        <f aca="false">'Plant loading'!H51</f>
        <v>36</v>
      </c>
      <c r="H47" s="595" t="n">
        <f aca="false">'Plant loading'!I51</f>
        <v>3.5</v>
      </c>
      <c r="I47" s="595" t="n">
        <f aca="false">'Plant loading'!J51</f>
        <v>126</v>
      </c>
      <c r="J47" s="872" t="n">
        <f aca="false">D47/(G47*((H47*1000)/58))</f>
        <v>0.11231746031746</v>
      </c>
      <c r="K47" s="872" t="n">
        <v>0.5</v>
      </c>
      <c r="L47" s="873" t="n">
        <f aca="false">ROUNDDOWN((H47*1000/58),0)</f>
        <v>60</v>
      </c>
      <c r="M47" s="595" t="n">
        <f aca="false">L47*K47</f>
        <v>30</v>
      </c>
      <c r="N47" s="595" t="n">
        <f aca="false">ROUNDUP((E47/M47),0)</f>
        <v>8</v>
      </c>
      <c r="O47" s="595" t="n">
        <f aca="false">N47*L47</f>
        <v>480</v>
      </c>
      <c r="P47" s="450" t="n">
        <f aca="false">O47-L47</f>
        <v>420</v>
      </c>
      <c r="Q47" s="595" t="n">
        <f aca="false">O47+(L47*K47)</f>
        <v>510</v>
      </c>
      <c r="R47" s="595" t="n">
        <f aca="false">ROUNDUP((P47-E47)/L47*100,0)</f>
        <v>304</v>
      </c>
      <c r="S47" s="595" t="n">
        <f aca="false">ROUNDUP((Q47-E47)/(L47)*100,0)</f>
        <v>454</v>
      </c>
    </row>
    <row r="48" customFormat="false" ht="10.15" hidden="false" customHeight="false" outlineLevel="0" collapsed="false">
      <c r="A48" s="0" t="str">
        <f aca="false">'Plant loading'!A52</f>
        <v>Kings Cross</v>
      </c>
      <c r="B48" s="595" t="str">
        <f aca="false">'Plant loading'!B52</f>
        <v>PEKKS</v>
      </c>
      <c r="C48" s="595" t="str">
        <f aca="false">'Plant loading'!C52</f>
        <v>eSure</v>
      </c>
      <c r="D48" s="595" t="n">
        <f aca="false">'Plant loading'!D52</f>
        <v>416</v>
      </c>
      <c r="E48" s="595" t="n">
        <f aca="false">'Plant loading'!E52</f>
        <v>428</v>
      </c>
      <c r="F48" s="595" t="n">
        <f aca="false">'Plant loading'!G52</f>
        <v>0.303173366834171</v>
      </c>
      <c r="G48" s="595" t="n">
        <f aca="false">'Plant loading'!H52</f>
        <v>30</v>
      </c>
      <c r="H48" s="595" t="n">
        <f aca="false">'Plant loading'!I52</f>
        <v>3.5</v>
      </c>
      <c r="I48" s="595" t="n">
        <f aca="false">'Plant loading'!J52</f>
        <v>105</v>
      </c>
      <c r="J48" s="872" t="n">
        <f aca="false">D48/(G48*((H48*1000)/58))</f>
        <v>0.229790476190476</v>
      </c>
      <c r="K48" s="872" t="n">
        <v>0.5</v>
      </c>
      <c r="L48" s="873" t="n">
        <f aca="false">ROUNDDOWN((H48*1000/58),0)</f>
        <v>60</v>
      </c>
      <c r="M48" s="595" t="n">
        <f aca="false">L48*K48</f>
        <v>30</v>
      </c>
      <c r="N48" s="595" t="n">
        <f aca="false">ROUNDUP((E48/M48),0)</f>
        <v>15</v>
      </c>
      <c r="O48" s="595" t="n">
        <f aca="false">N48*L48</f>
        <v>900</v>
      </c>
      <c r="P48" s="450" t="n">
        <f aca="false">O48-L48</f>
        <v>840</v>
      </c>
      <c r="Q48" s="595" t="n">
        <f aca="false">O48+(L48*K48)</f>
        <v>930</v>
      </c>
      <c r="R48" s="595" t="n">
        <f aca="false">ROUNDUP((P48-E48)/L48*100,0)</f>
        <v>687</v>
      </c>
      <c r="S48" s="595" t="n">
        <f aca="false">ROUNDUP((Q48-E48)/(L48)*100,0)</f>
        <v>837</v>
      </c>
    </row>
    <row r="49" customFormat="false" ht="10.15" hidden="false" customHeight="false" outlineLevel="0" collapsed="false">
      <c r="A49" s="0" t="str">
        <f aca="false">'Plant loading'!A53</f>
        <v>Kings Cross</v>
      </c>
      <c r="B49" s="595" t="str">
        <f aca="false">'Plant loading'!B53</f>
        <v>PELKS</v>
      </c>
      <c r="C49" s="595" t="str">
        <f aca="false">'Plant loading'!C53</f>
        <v>eSure</v>
      </c>
      <c r="D49" s="595" t="n">
        <f aca="false">'Plant loading'!D53</f>
        <v>155</v>
      </c>
      <c r="E49" s="595" t="n">
        <f aca="false">'Plant loading'!E53</f>
        <v>155</v>
      </c>
      <c r="F49" s="595" t="n">
        <f aca="false">'Plant loading'!G53</f>
        <v>0</v>
      </c>
      <c r="G49" s="595" t="n">
        <f aca="false">'Plant loading'!H53</f>
        <v>24</v>
      </c>
      <c r="H49" s="595" t="n">
        <f aca="false">'Plant loading'!I53</f>
        <v>3.5</v>
      </c>
      <c r="I49" s="595" t="n">
        <f aca="false">'Plant loading'!J53</f>
        <v>84</v>
      </c>
      <c r="J49" s="872" t="n">
        <f aca="false">D49/(G49*((H49*1000)/58))</f>
        <v>0.10702380952381</v>
      </c>
      <c r="K49" s="872" t="n">
        <v>0.5</v>
      </c>
      <c r="L49" s="873" t="n">
        <f aca="false">ROUNDDOWN((H49*1000/58),0)</f>
        <v>60</v>
      </c>
      <c r="M49" s="595" t="n">
        <f aca="false">L49*K49</f>
        <v>30</v>
      </c>
      <c r="N49" s="595" t="n">
        <f aca="false">ROUNDUP((E49/M49),0)</f>
        <v>6</v>
      </c>
      <c r="O49" s="595" t="n">
        <f aca="false">N49*L49</f>
        <v>360</v>
      </c>
      <c r="P49" s="450" t="n">
        <f aca="false">O49-L49</f>
        <v>300</v>
      </c>
      <c r="Q49" s="595" t="n">
        <f aca="false">O49+(L49*K49)</f>
        <v>390</v>
      </c>
      <c r="R49" s="595" t="n">
        <f aca="false">ROUNDUP((P49-E49)/L49*100,0)</f>
        <v>242</v>
      </c>
      <c r="S49" s="595" t="n">
        <f aca="false">ROUNDUP((Q49-E49)/(L49)*100,0)</f>
        <v>392</v>
      </c>
    </row>
    <row r="50" customFormat="false" ht="10.15" hidden="false" customHeight="false" outlineLevel="0" collapsed="false">
      <c r="A50" s="0" t="str">
        <f aca="false">'Plant loading'!A54</f>
        <v>Kings Cross</v>
      </c>
      <c r="B50" s="595" t="str">
        <f aca="false">'Plant loading'!B54</f>
        <v>PEMKS</v>
      </c>
      <c r="C50" s="595" t="str">
        <f aca="false">'Plant loading'!C54</f>
        <v>eSure</v>
      </c>
      <c r="D50" s="595" t="n">
        <f aca="false">'Plant loading'!D54</f>
        <v>138</v>
      </c>
      <c r="E50" s="595" t="n">
        <f aca="false">'Plant loading'!E54</f>
        <v>137</v>
      </c>
      <c r="F50" s="595" t="n">
        <f aca="false">'Plant loading'!G54</f>
        <v>0</v>
      </c>
      <c r="G50" s="595" t="n">
        <f aca="false">'Plant loading'!H54</f>
        <v>24</v>
      </c>
      <c r="H50" s="595" t="n">
        <f aca="false">'Plant loading'!I54</f>
        <v>3.5</v>
      </c>
      <c r="I50" s="595" t="n">
        <f aca="false">'Plant loading'!J54</f>
        <v>84</v>
      </c>
      <c r="J50" s="872" t="n">
        <f aca="false">D50/(G50*((H50*1000)/58))</f>
        <v>0.0952857142857143</v>
      </c>
      <c r="K50" s="872" t="n">
        <v>0.5</v>
      </c>
      <c r="L50" s="873" t="n">
        <f aca="false">ROUNDDOWN((H50*1000/58),0)</f>
        <v>60</v>
      </c>
      <c r="M50" s="595" t="n">
        <f aca="false">L50*K50</f>
        <v>30</v>
      </c>
      <c r="N50" s="595" t="n">
        <f aca="false">ROUNDUP((E50/M50),0)</f>
        <v>5</v>
      </c>
      <c r="O50" s="595" t="n">
        <f aca="false">N50*L50</f>
        <v>300</v>
      </c>
      <c r="P50" s="450" t="n">
        <f aca="false">O50-L50</f>
        <v>240</v>
      </c>
      <c r="Q50" s="595" t="n">
        <f aca="false">O50+(L50*K50)</f>
        <v>330</v>
      </c>
      <c r="R50" s="595" t="n">
        <f aca="false">ROUNDUP((P50-E50)/L50*100,0)</f>
        <v>172</v>
      </c>
      <c r="S50" s="595" t="n">
        <f aca="false">ROUNDUP((Q50-E50)/(L50)*100,0)</f>
        <v>322</v>
      </c>
    </row>
    <row r="51" customFormat="false" ht="10.15" hidden="false" customHeight="false" outlineLevel="0" collapsed="false">
      <c r="A51" s="0" t="str">
        <f aca="false">'Plant loading'!A55</f>
        <v>Kings Cross</v>
      </c>
      <c r="B51" s="595" t="str">
        <f aca="false">'Plant loading'!B55</f>
        <v>PENKS</v>
      </c>
      <c r="C51" s="595" t="str">
        <f aca="false">'Plant loading'!C55</f>
        <v>eSure</v>
      </c>
      <c r="D51" s="595" t="n">
        <f aca="false">'Plant loading'!D55</f>
        <v>102</v>
      </c>
      <c r="E51" s="595" t="n">
        <f aca="false">'Plant loading'!E55</f>
        <v>101</v>
      </c>
      <c r="F51" s="595" t="n">
        <f aca="false">'Plant loading'!G55</f>
        <v>0</v>
      </c>
      <c r="G51" s="595" t="n">
        <f aca="false">'Plant loading'!H55</f>
        <v>12</v>
      </c>
      <c r="H51" s="595" t="n">
        <f aca="false">'Plant loading'!I55</f>
        <v>3.5</v>
      </c>
      <c r="I51" s="595" t="n">
        <f aca="false">'Plant loading'!J55</f>
        <v>42</v>
      </c>
      <c r="J51" s="872" t="n">
        <f aca="false">D51/(G51*((H51*1000)/58))</f>
        <v>0.140857142857143</v>
      </c>
      <c r="K51" s="872" t="n">
        <v>0.5</v>
      </c>
      <c r="L51" s="873" t="n">
        <f aca="false">ROUNDDOWN((H51*1000/58),0)</f>
        <v>60</v>
      </c>
      <c r="M51" s="595" t="n">
        <f aca="false">L51*K51</f>
        <v>30</v>
      </c>
      <c r="N51" s="595" t="n">
        <f aca="false">ROUNDUP((E51/M51),0)</f>
        <v>4</v>
      </c>
      <c r="O51" s="595" t="n">
        <f aca="false">N51*L51</f>
        <v>240</v>
      </c>
      <c r="P51" s="450" t="n">
        <f aca="false">O51-L51</f>
        <v>180</v>
      </c>
      <c r="Q51" s="595" t="n">
        <f aca="false">O51+(L51*K51)</f>
        <v>270</v>
      </c>
      <c r="R51" s="595" t="n">
        <f aca="false">ROUNDUP((P51-E51)/L51*100,0)</f>
        <v>132</v>
      </c>
      <c r="S51" s="595" t="n">
        <f aca="false">ROUNDUP((Q51-E51)/(L51)*100,0)</f>
        <v>282</v>
      </c>
    </row>
    <row r="52" customFormat="false" ht="10.15" hidden="false" customHeight="false" outlineLevel="0" collapsed="false">
      <c r="A52" s="0" t="str">
        <f aca="false">'Plant loading'!A56</f>
        <v>Leyland</v>
      </c>
      <c r="B52" s="595" t="str">
        <f aca="false">'Plant loading'!B56</f>
        <v>LLDMTX-DCSYS01</v>
      </c>
      <c r="C52" s="595" t="str">
        <f aca="false">'Plant loading'!C56</f>
        <v>HDR48-ES</v>
      </c>
      <c r="D52" s="595" t="n">
        <f aca="false">'Plant loading'!D56</f>
        <v>860</v>
      </c>
      <c r="E52" s="595" t="n">
        <f aca="false">'Plant loading'!E56</f>
        <v>863</v>
      </c>
      <c r="F52" s="595" t="n">
        <f aca="false">'Plant loading'!G56</f>
        <v>330.3245</v>
      </c>
      <c r="G52" s="595" t="n">
        <f aca="false">'Plant loading'!H56</f>
        <v>44</v>
      </c>
      <c r="H52" s="595" t="n">
        <f aca="false">'Plant loading'!I56</f>
        <v>3</v>
      </c>
      <c r="I52" s="595" t="n">
        <f aca="false">'Plant loading'!J56</f>
        <v>132</v>
      </c>
      <c r="J52" s="872" t="n">
        <f aca="false">D52/(G52*((H52*1000)/58))</f>
        <v>0.377878787878788</v>
      </c>
      <c r="K52" s="872" t="n">
        <v>0.5</v>
      </c>
      <c r="L52" s="873" t="n">
        <f aca="false">ROUNDDOWN((H52*1000/58),0)</f>
        <v>51</v>
      </c>
      <c r="M52" s="595" t="n">
        <f aca="false">L52*K52</f>
        <v>25.5</v>
      </c>
      <c r="N52" s="595" t="n">
        <f aca="false">ROUNDUP((E52/M52),0)</f>
        <v>34</v>
      </c>
      <c r="O52" s="595" t="n">
        <f aca="false">N52*L52</f>
        <v>1734</v>
      </c>
      <c r="P52" s="450" t="n">
        <f aca="false">O52-L52</f>
        <v>1683</v>
      </c>
      <c r="Q52" s="595" t="n">
        <f aca="false">O52+(L52*K52)</f>
        <v>1759.5</v>
      </c>
      <c r="R52" s="595" t="n">
        <f aca="false">ROUNDUP((P52-E52)/L52*100,0)</f>
        <v>1608</v>
      </c>
      <c r="S52" s="595" t="n">
        <f aca="false">ROUNDUP((Q52-E52)/(L52)*100,0)</f>
        <v>1758</v>
      </c>
    </row>
    <row r="53" customFormat="false" ht="10.15" hidden="false" customHeight="false" outlineLevel="0" collapsed="false">
      <c r="A53" s="0" t="str">
        <f aca="false">'Plant loading'!A57</f>
        <v>Leyland</v>
      </c>
      <c r="B53" s="595" t="str">
        <f aca="false">'Plant loading'!B57</f>
        <v>LLDMTX-DCSYS02</v>
      </c>
      <c r="C53" s="595" t="str">
        <f aca="false">'Plant loading'!C57</f>
        <v>HDR48-ES</v>
      </c>
      <c r="D53" s="595" t="n">
        <f aca="false">'Plant loading'!D57</f>
        <v>789</v>
      </c>
      <c r="E53" s="595" t="n">
        <f aca="false">'Plant loading'!E57</f>
        <v>784</v>
      </c>
      <c r="F53" s="595" t="n">
        <f aca="false">'Plant loading'!G57</f>
        <v>0</v>
      </c>
      <c r="G53" s="595" t="n">
        <f aca="false">'Plant loading'!H57</f>
        <v>44</v>
      </c>
      <c r="H53" s="595" t="n">
        <f aca="false">'Plant loading'!I57</f>
        <v>3</v>
      </c>
      <c r="I53" s="595" t="n">
        <f aca="false">'Plant loading'!J57</f>
        <v>132</v>
      </c>
      <c r="J53" s="872" t="n">
        <f aca="false">D53/(G53*((H53*1000)/58))</f>
        <v>0.346681818181818</v>
      </c>
      <c r="K53" s="872" t="n">
        <v>0.5</v>
      </c>
      <c r="L53" s="873" t="n">
        <f aca="false">ROUNDDOWN((H53*1000/58),0)</f>
        <v>51</v>
      </c>
      <c r="M53" s="595" t="n">
        <f aca="false">L53*K53</f>
        <v>25.5</v>
      </c>
      <c r="N53" s="595" t="n">
        <f aca="false">ROUNDUP((E53/M53),0)</f>
        <v>31</v>
      </c>
      <c r="O53" s="595" t="n">
        <f aca="false">N53*L53</f>
        <v>1581</v>
      </c>
      <c r="P53" s="450" t="n">
        <f aca="false">O53-L53</f>
        <v>1530</v>
      </c>
      <c r="Q53" s="595" t="n">
        <f aca="false">O53+(L53*K53)</f>
        <v>1606.5</v>
      </c>
      <c r="R53" s="595" t="n">
        <f aca="false">ROUNDUP((P53-E53)/L53*100,0)</f>
        <v>1463</v>
      </c>
      <c r="S53" s="595" t="n">
        <f aca="false">ROUNDUP((Q53-E53)/(L53)*100,0)</f>
        <v>1613</v>
      </c>
    </row>
    <row r="54" customFormat="false" ht="10.15" hidden="false" customHeight="false" outlineLevel="0" collapsed="false">
      <c r="A54" s="0" t="str">
        <f aca="false">'Plant loading'!A58</f>
        <v>Leyland</v>
      </c>
      <c r="B54" s="595" t="str">
        <f aca="false">'Plant loading'!B58</f>
        <v>LLDMTX-DCSYS03</v>
      </c>
      <c r="C54" s="595" t="str">
        <f aca="false">'Plant loading'!C58</f>
        <v>HDR48-ES</v>
      </c>
      <c r="D54" s="595" t="n">
        <f aca="false">'Plant loading'!D58</f>
        <v>949</v>
      </c>
      <c r="E54" s="595" t="n">
        <f aca="false">'Plant loading'!E58</f>
        <v>943</v>
      </c>
      <c r="F54" s="595" t="n">
        <f aca="false">'Plant loading'!G58</f>
        <v>0</v>
      </c>
      <c r="G54" s="595" t="n">
        <f aca="false">'Plant loading'!H58</f>
        <v>44</v>
      </c>
      <c r="H54" s="595" t="n">
        <f aca="false">'Plant loading'!I58</f>
        <v>3</v>
      </c>
      <c r="I54" s="595" t="n">
        <f aca="false">'Plant loading'!J58</f>
        <v>132</v>
      </c>
      <c r="J54" s="872" t="n">
        <f aca="false">D54/(G54*((H54*1000)/58))</f>
        <v>0.416984848484849</v>
      </c>
      <c r="K54" s="872" t="n">
        <v>0.5</v>
      </c>
      <c r="L54" s="873" t="n">
        <f aca="false">ROUNDDOWN((H54*1000/58),0)</f>
        <v>51</v>
      </c>
      <c r="M54" s="595" t="n">
        <f aca="false">L54*K54</f>
        <v>25.5</v>
      </c>
      <c r="N54" s="595" t="n">
        <f aca="false">ROUNDUP((E54/M54),0)</f>
        <v>37</v>
      </c>
      <c r="O54" s="595" t="n">
        <f aca="false">N54*L54</f>
        <v>1887</v>
      </c>
      <c r="P54" s="450" t="n">
        <f aca="false">O54-L54</f>
        <v>1836</v>
      </c>
      <c r="Q54" s="595" t="n">
        <f aca="false">O54+(L54*K54)</f>
        <v>1912.5</v>
      </c>
      <c r="R54" s="595" t="n">
        <f aca="false">ROUNDUP((P54-E54)/L54*100,0)</f>
        <v>1751</v>
      </c>
      <c r="S54" s="595" t="n">
        <f aca="false">ROUNDUP((Q54-E54)/(L54)*100,0)</f>
        <v>1901</v>
      </c>
    </row>
    <row r="55" customFormat="false" ht="10.15" hidden="false" customHeight="false" outlineLevel="0" collapsed="false">
      <c r="A55" s="0" t="str">
        <f aca="false">'Plant loading'!A59</f>
        <v>Leyland</v>
      </c>
      <c r="B55" s="595" t="str">
        <f aca="false">'Plant loading'!B59</f>
        <v>LLDMTX-DCSYS04</v>
      </c>
      <c r="C55" s="595" t="str">
        <f aca="false">'Plant loading'!C59</f>
        <v>HDR48-ES</v>
      </c>
      <c r="D55" s="595" t="n">
        <f aca="false">'Plant loading'!D59</f>
        <v>858</v>
      </c>
      <c r="E55" s="595" t="n">
        <f aca="false">'Plant loading'!E59</f>
        <v>855</v>
      </c>
      <c r="F55" s="595" t="n">
        <f aca="false">'Plant loading'!G59</f>
        <v>0.718096739130435</v>
      </c>
      <c r="G55" s="595" t="n">
        <f aca="false">'Plant loading'!H59</f>
        <v>44</v>
      </c>
      <c r="H55" s="595" t="n">
        <f aca="false">'Plant loading'!I59</f>
        <v>3</v>
      </c>
      <c r="I55" s="595" t="n">
        <f aca="false">'Plant loading'!J59</f>
        <v>132</v>
      </c>
      <c r="J55" s="872" t="n">
        <f aca="false">D55/(G55*((H55*1000)/58))</f>
        <v>0.377</v>
      </c>
      <c r="K55" s="872" t="n">
        <v>0.5</v>
      </c>
      <c r="L55" s="873" t="n">
        <f aca="false">ROUNDDOWN((H55*1000/58),0)</f>
        <v>51</v>
      </c>
      <c r="M55" s="595" t="n">
        <f aca="false">L55*K55</f>
        <v>25.5</v>
      </c>
      <c r="N55" s="595" t="n">
        <f aca="false">ROUNDUP((E55/M55),0)</f>
        <v>34</v>
      </c>
      <c r="O55" s="595" t="n">
        <f aca="false">N55*L55</f>
        <v>1734</v>
      </c>
      <c r="P55" s="450" t="n">
        <f aca="false">O55-L55</f>
        <v>1683</v>
      </c>
      <c r="Q55" s="595" t="n">
        <f aca="false">O55+(L55*K55)</f>
        <v>1759.5</v>
      </c>
      <c r="R55" s="595" t="n">
        <f aca="false">ROUNDUP((P55-E55)/L55*100,0)</f>
        <v>1624</v>
      </c>
      <c r="S55" s="595" t="n">
        <f aca="false">ROUNDUP((Q55-E55)/(L55)*100,0)</f>
        <v>1774</v>
      </c>
    </row>
    <row r="56" customFormat="false" ht="10.15" hidden="false" customHeight="false" outlineLevel="0" collapsed="false">
      <c r="A56" s="0" t="str">
        <f aca="false">'Plant loading'!A60</f>
        <v>Leyland</v>
      </c>
      <c r="B56" s="595" t="str">
        <f aca="false">'Plant loading'!B60</f>
        <v>LLDMTX-DCSYS05</v>
      </c>
      <c r="C56" s="595" t="str">
        <f aca="false">'Plant loading'!C60</f>
        <v>HDR48-ES</v>
      </c>
      <c r="D56" s="595" t="n">
        <f aca="false">'Plant loading'!D60</f>
        <v>918</v>
      </c>
      <c r="E56" s="595" t="n">
        <f aca="false">'Plant loading'!E60</f>
        <v>917</v>
      </c>
      <c r="F56" s="595" t="n">
        <f aca="false">'Plant loading'!G60</f>
        <v>0</v>
      </c>
      <c r="G56" s="595" t="n">
        <f aca="false">'Plant loading'!H60</f>
        <v>44</v>
      </c>
      <c r="H56" s="595" t="n">
        <f aca="false">'Plant loading'!I60</f>
        <v>3</v>
      </c>
      <c r="I56" s="595" t="n">
        <f aca="false">'Plant loading'!J60</f>
        <v>132</v>
      </c>
      <c r="J56" s="872" t="n">
        <f aca="false">D56/(G56*((H56*1000)/58))</f>
        <v>0.403363636363636</v>
      </c>
      <c r="K56" s="872" t="n">
        <v>0.5</v>
      </c>
      <c r="L56" s="873" t="n">
        <f aca="false">ROUNDDOWN((H56*1000/58),0)</f>
        <v>51</v>
      </c>
      <c r="M56" s="595" t="n">
        <f aca="false">L56*K56</f>
        <v>25.5</v>
      </c>
      <c r="N56" s="595" t="n">
        <f aca="false">ROUNDUP((E56/M56),0)</f>
        <v>36</v>
      </c>
      <c r="O56" s="595" t="n">
        <f aca="false">N56*L56</f>
        <v>1836</v>
      </c>
      <c r="P56" s="450" t="n">
        <f aca="false">O56-L56</f>
        <v>1785</v>
      </c>
      <c r="Q56" s="595" t="n">
        <f aca="false">O56+(L56*K56)</f>
        <v>1861.5</v>
      </c>
      <c r="R56" s="595" t="n">
        <f aca="false">ROUNDUP((P56-E56)/L56*100,0)</f>
        <v>1702</v>
      </c>
      <c r="S56" s="595" t="n">
        <f aca="false">ROUNDUP((Q56-E56)/(L56)*100,0)</f>
        <v>1852</v>
      </c>
    </row>
    <row r="57" customFormat="false" ht="10.15" hidden="false" customHeight="false" outlineLevel="0" collapsed="false">
      <c r="A57" s="0" t="str">
        <f aca="false">'Plant loading'!A61</f>
        <v>Leyland</v>
      </c>
      <c r="B57" s="595" t="str">
        <f aca="false">'Plant loading'!B61</f>
        <v>LLDMTX-DCSYS06</v>
      </c>
      <c r="C57" s="595" t="str">
        <f aca="false">'Plant loading'!C61</f>
        <v>HDR48-ES</v>
      </c>
      <c r="D57" s="595" t="n">
        <f aca="false">'Plant loading'!D61</f>
        <v>887</v>
      </c>
      <c r="E57" s="595" t="n">
        <f aca="false">'Plant loading'!E61</f>
        <v>890</v>
      </c>
      <c r="F57" s="595" t="n">
        <f aca="false">'Plant loading'!G61</f>
        <v>0</v>
      </c>
      <c r="G57" s="595" t="n">
        <f aca="false">'Plant loading'!H61</f>
        <v>44</v>
      </c>
      <c r="H57" s="595" t="n">
        <f aca="false">'Plant loading'!I61</f>
        <v>3</v>
      </c>
      <c r="I57" s="595" t="n">
        <f aca="false">'Plant loading'!J61</f>
        <v>132</v>
      </c>
      <c r="J57" s="872" t="n">
        <f aca="false">D57/(G57*((H57*1000)/58))</f>
        <v>0.389742424242424</v>
      </c>
      <c r="K57" s="872" t="n">
        <v>0.5</v>
      </c>
      <c r="L57" s="873" t="n">
        <f aca="false">ROUNDDOWN((H57*1000/58),0)</f>
        <v>51</v>
      </c>
      <c r="M57" s="595" t="n">
        <f aca="false">L57*K57</f>
        <v>25.5</v>
      </c>
      <c r="N57" s="595" t="n">
        <f aca="false">ROUNDUP((E57/M57),0)</f>
        <v>35</v>
      </c>
      <c r="O57" s="595" t="n">
        <f aca="false">N57*L57</f>
        <v>1785</v>
      </c>
      <c r="P57" s="450" t="n">
        <f aca="false">O57-L57</f>
        <v>1734</v>
      </c>
      <c r="Q57" s="595" t="n">
        <f aca="false">O57+(L57*K57)</f>
        <v>1810.5</v>
      </c>
      <c r="R57" s="595" t="n">
        <f aca="false">ROUNDUP((P57-E57)/L57*100,0)</f>
        <v>1655</v>
      </c>
      <c r="S57" s="595" t="n">
        <f aca="false">ROUNDUP((Q57-E57)/(L57)*100,0)</f>
        <v>1805</v>
      </c>
    </row>
    <row r="58" customFormat="false" ht="10.15" hidden="false" customHeight="false" outlineLevel="0" collapsed="false">
      <c r="A58" s="0" t="str">
        <f aca="false">'Plant loading'!A64</f>
        <v>Milton Keynes</v>
      </c>
      <c r="B58" s="595" t="str">
        <f aca="false">'Plant loading'!B64</f>
        <v>PEAMS</v>
      </c>
      <c r="C58" s="595" t="str">
        <f aca="false">'Plant loading'!C64</f>
        <v>eSure</v>
      </c>
      <c r="D58" s="595" t="n">
        <f aca="false">'Plant loading'!D64</f>
        <v>1123</v>
      </c>
      <c r="E58" s="595" t="n">
        <f aca="false">'Plant loading'!E64</f>
        <v>1109</v>
      </c>
      <c r="F58" s="595" t="n">
        <f aca="false">'Plant loading'!G64</f>
        <v>384.661</v>
      </c>
      <c r="G58" s="595" t="n">
        <f aca="false">'Plant loading'!H64</f>
        <v>42</v>
      </c>
      <c r="H58" s="595" t="n">
        <f aca="false">'Plant loading'!I64</f>
        <v>3.5</v>
      </c>
      <c r="I58" s="595" t="n">
        <f aca="false">'Plant loading'!J64</f>
        <v>147</v>
      </c>
      <c r="J58" s="872" t="n">
        <f aca="false">D58/(G58*((H58*1000)/58))</f>
        <v>0.44308843537415</v>
      </c>
      <c r="K58" s="872" t="n">
        <v>0.5</v>
      </c>
      <c r="L58" s="873" t="n">
        <f aca="false">ROUNDDOWN((H58*1000/58),0)</f>
        <v>60</v>
      </c>
      <c r="M58" s="595" t="n">
        <f aca="false">L58*K58</f>
        <v>30</v>
      </c>
      <c r="N58" s="595" t="n">
        <f aca="false">ROUNDUP((E58/M58),0)</f>
        <v>37</v>
      </c>
      <c r="O58" s="595" t="n">
        <f aca="false">N58*L58</f>
        <v>2220</v>
      </c>
      <c r="P58" s="450" t="n">
        <f aca="false">O58-L58</f>
        <v>2160</v>
      </c>
      <c r="Q58" s="595" t="n">
        <f aca="false">O58+(L58*K58)</f>
        <v>2250</v>
      </c>
      <c r="R58" s="595" t="n">
        <f aca="false">ROUNDUP((P58-E58)/L58*100,0)</f>
        <v>1752</v>
      </c>
      <c r="S58" s="595" t="n">
        <f aca="false">ROUNDUP((Q58-E58)/(L58)*100,0)</f>
        <v>1902</v>
      </c>
    </row>
    <row r="59" customFormat="false" ht="10.15" hidden="false" customHeight="false" outlineLevel="0" collapsed="false">
      <c r="A59" s="0" t="str">
        <f aca="false">'Plant loading'!A65</f>
        <v>Milton Keynes</v>
      </c>
      <c r="B59" s="595" t="str">
        <f aca="false">'Plant loading'!B65</f>
        <v>PEBMS</v>
      </c>
      <c r="C59" s="595" t="str">
        <f aca="false">'Plant loading'!C65</f>
        <v>eSure</v>
      </c>
      <c r="D59" s="595" t="n">
        <f aca="false">'Plant loading'!D65</f>
        <v>1043</v>
      </c>
      <c r="E59" s="595" t="n">
        <f aca="false">'Plant loading'!E65</f>
        <v>1027</v>
      </c>
      <c r="F59" s="595" t="n">
        <f aca="false">'Plant loading'!G65</f>
        <v>0</v>
      </c>
      <c r="G59" s="595" t="n">
        <f aca="false">'Plant loading'!H65</f>
        <v>42</v>
      </c>
      <c r="H59" s="595" t="n">
        <f aca="false">'Plant loading'!I65</f>
        <v>3.5</v>
      </c>
      <c r="I59" s="595" t="n">
        <f aca="false">'Plant loading'!J65</f>
        <v>147</v>
      </c>
      <c r="J59" s="872" t="n">
        <f aca="false">D59/(G59*((H59*1000)/58))</f>
        <v>0.411523809523809</v>
      </c>
      <c r="K59" s="872" t="n">
        <v>0.5</v>
      </c>
      <c r="L59" s="873" t="n">
        <f aca="false">ROUNDDOWN((H59*1000/58),0)</f>
        <v>60</v>
      </c>
      <c r="M59" s="595" t="n">
        <f aca="false">L59*K59</f>
        <v>30</v>
      </c>
      <c r="N59" s="595" t="n">
        <f aca="false">ROUNDUP((E59/M59),0)</f>
        <v>35</v>
      </c>
      <c r="O59" s="595" t="n">
        <f aca="false">N59*L59</f>
        <v>2100</v>
      </c>
      <c r="P59" s="450" t="n">
        <f aca="false">O59-L59</f>
        <v>2040</v>
      </c>
      <c r="Q59" s="595" t="n">
        <f aca="false">O59+(L59*K59)</f>
        <v>2130</v>
      </c>
      <c r="R59" s="595" t="n">
        <f aca="false">ROUNDUP((P59-E59)/L59*100,0)</f>
        <v>1689</v>
      </c>
      <c r="S59" s="595" t="n">
        <f aca="false">ROUNDUP((Q59-E59)/(L59)*100,0)</f>
        <v>1839</v>
      </c>
    </row>
    <row r="60" customFormat="false" ht="10.15" hidden="false" customHeight="false" outlineLevel="0" collapsed="false">
      <c r="A60" s="0" t="str">
        <f aca="false">'Plant loading'!A66</f>
        <v>Milton Keynes</v>
      </c>
      <c r="B60" s="595" t="str">
        <f aca="false">'Plant loading'!B66</f>
        <v>PECMS</v>
      </c>
      <c r="C60" s="595" t="str">
        <f aca="false">'Plant loading'!C66</f>
        <v>eSure</v>
      </c>
      <c r="D60" s="595" t="n">
        <f aca="false">'Plant loading'!D66</f>
        <v>1085</v>
      </c>
      <c r="E60" s="595" t="n">
        <f aca="false">'Plant loading'!E66</f>
        <v>1082</v>
      </c>
      <c r="F60" s="595" t="n">
        <f aca="false">'Plant loading'!G66</f>
        <v>0</v>
      </c>
      <c r="G60" s="595" t="n">
        <f aca="false">'Plant loading'!H66</f>
        <v>42</v>
      </c>
      <c r="H60" s="595" t="n">
        <f aca="false">'Plant loading'!I66</f>
        <v>3.5</v>
      </c>
      <c r="I60" s="595" t="n">
        <f aca="false">'Plant loading'!J66</f>
        <v>147</v>
      </c>
      <c r="J60" s="872" t="n">
        <f aca="false">D60/(G60*((H60*1000)/58))</f>
        <v>0.428095238095238</v>
      </c>
      <c r="K60" s="872" t="n">
        <v>0.5</v>
      </c>
      <c r="L60" s="873" t="n">
        <f aca="false">ROUNDDOWN((H60*1000/58),0)</f>
        <v>60</v>
      </c>
      <c r="M60" s="595" t="n">
        <f aca="false">L60*K60</f>
        <v>30</v>
      </c>
      <c r="N60" s="595" t="n">
        <f aca="false">ROUNDUP((E60/M60),0)</f>
        <v>37</v>
      </c>
      <c r="O60" s="595" t="n">
        <f aca="false">N60*L60</f>
        <v>2220</v>
      </c>
      <c r="P60" s="450" t="n">
        <f aca="false">O60-L60</f>
        <v>2160</v>
      </c>
      <c r="Q60" s="595" t="n">
        <f aca="false">O60+(L60*K60)</f>
        <v>2250</v>
      </c>
      <c r="R60" s="595" t="n">
        <f aca="false">ROUNDUP((P60-E60)/L60*100,0)</f>
        <v>1797</v>
      </c>
      <c r="S60" s="595" t="n">
        <f aca="false">ROUNDUP((Q60-E60)/(L60)*100,0)</f>
        <v>1947</v>
      </c>
    </row>
    <row r="61" customFormat="false" ht="10.15" hidden="false" customHeight="false" outlineLevel="0" collapsed="false">
      <c r="A61" s="0" t="str">
        <f aca="false">'Plant loading'!A67</f>
        <v>Milton Keynes</v>
      </c>
      <c r="B61" s="595" t="str">
        <f aca="false">'Plant loading'!B67</f>
        <v>PEDMS</v>
      </c>
      <c r="C61" s="595" t="str">
        <f aca="false">'Plant loading'!C67</f>
        <v>eSure</v>
      </c>
      <c r="D61" s="595" t="n">
        <f aca="false">'Plant loading'!D67</f>
        <v>1160</v>
      </c>
      <c r="E61" s="595" t="n">
        <f aca="false">'Plant loading'!E67</f>
        <v>1133</v>
      </c>
      <c r="F61" s="595" t="n">
        <f aca="false">'Plant loading'!G67</f>
        <v>0.801377083333333</v>
      </c>
      <c r="G61" s="595" t="n">
        <f aca="false">'Plant loading'!H67</f>
        <v>42</v>
      </c>
      <c r="H61" s="595" t="n">
        <f aca="false">'Plant loading'!I67</f>
        <v>3.5</v>
      </c>
      <c r="I61" s="595" t="n">
        <f aca="false">'Plant loading'!J67</f>
        <v>147</v>
      </c>
      <c r="J61" s="872" t="n">
        <f aca="false">D61/(G61*((H61*1000)/58))</f>
        <v>0.457687074829932</v>
      </c>
      <c r="K61" s="872" t="n">
        <v>0.5</v>
      </c>
      <c r="L61" s="873" t="n">
        <f aca="false">ROUNDDOWN((H61*1000/58),0)</f>
        <v>60</v>
      </c>
      <c r="M61" s="595" t="n">
        <f aca="false">L61*K61</f>
        <v>30</v>
      </c>
      <c r="N61" s="595" t="n">
        <f aca="false">ROUNDUP((E61/M61),0)</f>
        <v>38</v>
      </c>
      <c r="O61" s="595" t="n">
        <f aca="false">N61*L61</f>
        <v>2280</v>
      </c>
      <c r="P61" s="450" t="n">
        <f aca="false">O61-L61</f>
        <v>2220</v>
      </c>
      <c r="Q61" s="595" t="n">
        <f aca="false">O61+(L61*K61)</f>
        <v>2310</v>
      </c>
      <c r="R61" s="595" t="n">
        <f aca="false">ROUNDUP((P61-E61)/L61*100,0)</f>
        <v>1812</v>
      </c>
      <c r="S61" s="595" t="n">
        <f aca="false">ROUNDUP((Q61-E61)/(L61)*100,0)</f>
        <v>1962</v>
      </c>
    </row>
    <row r="62" customFormat="false" ht="10.15" hidden="false" customHeight="false" outlineLevel="0" collapsed="false">
      <c r="A62" s="0" t="str">
        <f aca="false">'Plant loading'!A68</f>
        <v>Milton Keynes</v>
      </c>
      <c r="B62" s="595" t="str">
        <f aca="false">'Plant loading'!B68</f>
        <v>PEEMS</v>
      </c>
      <c r="C62" s="595" t="str">
        <f aca="false">'Plant loading'!C68</f>
        <v>eSure</v>
      </c>
      <c r="D62" s="595" t="n">
        <f aca="false">'Plant loading'!D68</f>
        <v>1085</v>
      </c>
      <c r="E62" s="595" t="n">
        <f aca="false">'Plant loading'!E68</f>
        <v>1069</v>
      </c>
      <c r="F62" s="595" t="n">
        <f aca="false">'Plant loading'!G68</f>
        <v>0</v>
      </c>
      <c r="G62" s="595" t="n">
        <f aca="false">'Plant loading'!H68</f>
        <v>42</v>
      </c>
      <c r="H62" s="595" t="n">
        <f aca="false">'Plant loading'!I68</f>
        <v>3.5</v>
      </c>
      <c r="I62" s="595" t="n">
        <f aca="false">'Plant loading'!J68</f>
        <v>147</v>
      </c>
      <c r="J62" s="872" t="n">
        <f aca="false">D62/(G62*((H62*1000)/58))</f>
        <v>0.428095238095238</v>
      </c>
      <c r="K62" s="872" t="n">
        <v>0.5</v>
      </c>
      <c r="L62" s="873" t="n">
        <f aca="false">ROUNDDOWN((H62*1000/58),0)</f>
        <v>60</v>
      </c>
      <c r="M62" s="595" t="n">
        <f aca="false">L62*K62</f>
        <v>30</v>
      </c>
      <c r="N62" s="595" t="n">
        <f aca="false">ROUNDUP((E62/M62),0)</f>
        <v>36</v>
      </c>
      <c r="O62" s="595" t="n">
        <f aca="false">N62*L62</f>
        <v>2160</v>
      </c>
      <c r="P62" s="450" t="n">
        <f aca="false">O62-L62</f>
        <v>2100</v>
      </c>
      <c r="Q62" s="595" t="n">
        <f aca="false">O62+(L62*K62)</f>
        <v>2190</v>
      </c>
      <c r="R62" s="595" t="n">
        <f aca="false">ROUNDUP((P62-E62)/L62*100,0)</f>
        <v>1719</v>
      </c>
      <c r="S62" s="595" t="n">
        <f aca="false">ROUNDUP((Q62-E62)/(L62)*100,0)</f>
        <v>1869</v>
      </c>
    </row>
    <row r="63" customFormat="false" ht="10.15" hidden="false" customHeight="false" outlineLevel="0" collapsed="false">
      <c r="A63" s="0" t="str">
        <f aca="false">'Plant loading'!A69</f>
        <v>Milton Keynes</v>
      </c>
      <c r="B63" s="595" t="str">
        <f aca="false">'Plant loading'!B69</f>
        <v>PEFMS</v>
      </c>
      <c r="C63" s="595" t="str">
        <f aca="false">'Plant loading'!C69</f>
        <v>eSure</v>
      </c>
      <c r="D63" s="595" t="n">
        <f aca="false">'Plant loading'!D69</f>
        <v>1082</v>
      </c>
      <c r="E63" s="595" t="n">
        <f aca="false">'Plant loading'!E69</f>
        <v>1053</v>
      </c>
      <c r="F63" s="595" t="n">
        <f aca="false">'Plant loading'!G69</f>
        <v>0</v>
      </c>
      <c r="G63" s="595" t="n">
        <f aca="false">'Plant loading'!H69</f>
        <v>42</v>
      </c>
      <c r="H63" s="595" t="n">
        <f aca="false">'Plant loading'!I69</f>
        <v>3.5</v>
      </c>
      <c r="I63" s="595" t="n">
        <f aca="false">'Plant loading'!J69</f>
        <v>147</v>
      </c>
      <c r="J63" s="872" t="n">
        <f aca="false">D63/(G63*((H63*1000)/58))</f>
        <v>0.42691156462585</v>
      </c>
      <c r="K63" s="872" t="n">
        <v>0.5</v>
      </c>
      <c r="L63" s="873" t="n">
        <f aca="false">ROUNDDOWN((H63*1000/58),0)</f>
        <v>60</v>
      </c>
      <c r="M63" s="595" t="n">
        <f aca="false">L63*K63</f>
        <v>30</v>
      </c>
      <c r="N63" s="595" t="n">
        <f aca="false">ROUNDUP((E63/M63),0)</f>
        <v>36</v>
      </c>
      <c r="O63" s="595" t="n">
        <f aca="false">N63*L63</f>
        <v>2160</v>
      </c>
      <c r="P63" s="450" t="n">
        <f aca="false">O63-L63</f>
        <v>2100</v>
      </c>
      <c r="Q63" s="595" t="n">
        <f aca="false">O63+(L63*K63)</f>
        <v>2190</v>
      </c>
      <c r="R63" s="595" t="n">
        <f aca="false">ROUNDUP((P63-E63)/L63*100,0)</f>
        <v>1745</v>
      </c>
      <c r="S63" s="595" t="n">
        <f aca="false">ROUNDUP((Q63-E63)/(L63)*100,0)</f>
        <v>1895</v>
      </c>
    </row>
    <row r="64" customFormat="false" ht="10.15" hidden="false" customHeight="false" outlineLevel="0" collapsed="false">
      <c r="A64" s="0" t="str">
        <f aca="false">'Plant loading'!A72</f>
        <v>Oldham</v>
      </c>
      <c r="B64" s="595" t="str">
        <f aca="false">'Plant loading'!B72</f>
        <v>OLDMTX-DCSYS01</v>
      </c>
      <c r="C64" s="595" t="str">
        <f aca="false">'Plant loading'!C72</f>
        <v>HDR48-ES</v>
      </c>
      <c r="D64" s="595" t="n">
        <f aca="false">'Plant loading'!D72</f>
        <v>786</v>
      </c>
      <c r="E64" s="595" t="n">
        <f aca="false">'Plant loading'!E72</f>
        <v>786</v>
      </c>
      <c r="F64" s="595" t="n">
        <f aca="false">'Plant loading'!G72</f>
        <v>271.737</v>
      </c>
      <c r="G64" s="595" t="n">
        <f aca="false">'Plant loading'!H72</f>
        <v>44</v>
      </c>
      <c r="H64" s="595" t="n">
        <f aca="false">'Plant loading'!I72</f>
        <v>3</v>
      </c>
      <c r="I64" s="595" t="n">
        <f aca="false">'Plant loading'!J72</f>
        <v>132</v>
      </c>
      <c r="J64" s="872" t="n">
        <f aca="false">D64/(G64*((H64*1000)/58))</f>
        <v>0.345363636363636</v>
      </c>
      <c r="K64" s="872" t="n">
        <v>0.5</v>
      </c>
      <c r="L64" s="873" t="n">
        <f aca="false">ROUNDDOWN((H64*1000/58),0)</f>
        <v>51</v>
      </c>
      <c r="M64" s="595" t="n">
        <f aca="false">L64*K64</f>
        <v>25.5</v>
      </c>
      <c r="N64" s="595" t="n">
        <f aca="false">ROUNDUP((E64/M64),0)</f>
        <v>31</v>
      </c>
      <c r="O64" s="595" t="n">
        <f aca="false">N64*L64</f>
        <v>1581</v>
      </c>
      <c r="P64" s="450" t="n">
        <f aca="false">O64-L64</f>
        <v>1530</v>
      </c>
      <c r="Q64" s="595" t="n">
        <f aca="false">O64+(L64*K64)</f>
        <v>1606.5</v>
      </c>
      <c r="R64" s="595" t="n">
        <f aca="false">ROUNDUP((P64-E64)/L64*100,0)</f>
        <v>1459</v>
      </c>
      <c r="S64" s="595" t="n">
        <f aca="false">ROUNDUP((Q64-E64)/(L64)*100,0)</f>
        <v>1609</v>
      </c>
    </row>
    <row r="65" customFormat="false" ht="10.15" hidden="false" customHeight="false" outlineLevel="0" collapsed="false">
      <c r="A65" s="0" t="str">
        <f aca="false">'Plant loading'!A73</f>
        <v>Oldham</v>
      </c>
      <c r="B65" s="595" t="str">
        <f aca="false">'Plant loading'!B73</f>
        <v>OLDMTX-DCSYS02</v>
      </c>
      <c r="C65" s="595" t="str">
        <f aca="false">'Plant loading'!C73</f>
        <v>HDR48-ES</v>
      </c>
      <c r="D65" s="595" t="n">
        <f aca="false">'Plant loading'!D73</f>
        <v>728</v>
      </c>
      <c r="E65" s="595" t="n">
        <f aca="false">'Plant loading'!E73</f>
        <v>727</v>
      </c>
      <c r="F65" s="595" t="n">
        <f aca="false">'Plant loading'!G73</f>
        <v>0</v>
      </c>
      <c r="G65" s="595" t="n">
        <f aca="false">'Plant loading'!H73</f>
        <v>44</v>
      </c>
      <c r="H65" s="595" t="n">
        <f aca="false">'Plant loading'!I73</f>
        <v>3</v>
      </c>
      <c r="I65" s="595" t="n">
        <f aca="false">'Plant loading'!J73</f>
        <v>132</v>
      </c>
      <c r="J65" s="872" t="n">
        <f aca="false">D65/(G65*((H65*1000)/58))</f>
        <v>0.319878787878788</v>
      </c>
      <c r="K65" s="872" t="n">
        <v>0.5</v>
      </c>
      <c r="L65" s="873" t="n">
        <f aca="false">ROUNDDOWN((H65*1000/58),0)</f>
        <v>51</v>
      </c>
      <c r="M65" s="595" t="n">
        <f aca="false">L65*K65</f>
        <v>25.5</v>
      </c>
      <c r="N65" s="595" t="n">
        <f aca="false">ROUNDUP((E65/M65),0)</f>
        <v>29</v>
      </c>
      <c r="O65" s="595" t="n">
        <f aca="false">N65*L65</f>
        <v>1479</v>
      </c>
      <c r="P65" s="450" t="n">
        <f aca="false">O65-L65</f>
        <v>1428</v>
      </c>
      <c r="Q65" s="595" t="n">
        <f aca="false">O65+(L65*K65)</f>
        <v>1504.5</v>
      </c>
      <c r="R65" s="595" t="n">
        <f aca="false">ROUNDUP((P65-E65)/L65*100,0)</f>
        <v>1375</v>
      </c>
      <c r="S65" s="595" t="n">
        <f aca="false">ROUNDUP((Q65-E65)/(L65)*100,0)</f>
        <v>1525</v>
      </c>
    </row>
    <row r="66" customFormat="false" ht="10.15" hidden="false" customHeight="false" outlineLevel="0" collapsed="false">
      <c r="A66" s="0" t="str">
        <f aca="false">'Plant loading'!A74</f>
        <v>Oldham</v>
      </c>
      <c r="B66" s="595" t="str">
        <f aca="false">'Plant loading'!B74</f>
        <v>OLDMTX-DCSYS03</v>
      </c>
      <c r="C66" s="595" t="str">
        <f aca="false">'Plant loading'!C74</f>
        <v>HDR48-ES</v>
      </c>
      <c r="D66" s="595" t="n">
        <f aca="false">'Plant loading'!D74</f>
        <v>801</v>
      </c>
      <c r="E66" s="595" t="n">
        <f aca="false">'Plant loading'!E74</f>
        <v>798</v>
      </c>
      <c r="F66" s="595" t="n">
        <f aca="false">'Plant loading'!G74</f>
        <v>0</v>
      </c>
      <c r="G66" s="595" t="n">
        <f aca="false">'Plant loading'!H74</f>
        <v>44</v>
      </c>
      <c r="H66" s="595" t="n">
        <f aca="false">'Plant loading'!I74</f>
        <v>3</v>
      </c>
      <c r="I66" s="595" t="n">
        <f aca="false">'Plant loading'!J74</f>
        <v>132</v>
      </c>
      <c r="J66" s="872" t="n">
        <f aca="false">D66/(G66*((H66*1000)/58))</f>
        <v>0.351954545454545</v>
      </c>
      <c r="K66" s="872" t="n">
        <v>0.5</v>
      </c>
      <c r="L66" s="873" t="n">
        <f aca="false">ROUNDDOWN((H66*1000/58),0)</f>
        <v>51</v>
      </c>
      <c r="M66" s="595" t="n">
        <f aca="false">L66*K66</f>
        <v>25.5</v>
      </c>
      <c r="N66" s="595" t="n">
        <f aca="false">ROUNDUP((E66/M66),0)</f>
        <v>32</v>
      </c>
      <c r="O66" s="595" t="n">
        <f aca="false">N66*L66</f>
        <v>1632</v>
      </c>
      <c r="P66" s="450" t="n">
        <f aca="false">O66-L66</f>
        <v>1581</v>
      </c>
      <c r="Q66" s="595" t="n">
        <f aca="false">O66+(L66*K66)</f>
        <v>1657.5</v>
      </c>
      <c r="R66" s="595" t="n">
        <f aca="false">ROUNDUP((P66-E66)/L66*100,0)</f>
        <v>1536</v>
      </c>
      <c r="S66" s="595" t="n">
        <f aca="false">ROUNDUP((Q66-E66)/(L66)*100,0)</f>
        <v>1686</v>
      </c>
    </row>
    <row r="67" customFormat="false" ht="10.15" hidden="false" customHeight="false" outlineLevel="0" collapsed="false">
      <c r="A67" s="0" t="str">
        <f aca="false">'Plant loading'!A75</f>
        <v>Oldham</v>
      </c>
      <c r="B67" s="595" t="str">
        <f aca="false">'Plant loading'!B75</f>
        <v>OLDMTX-DCSYS04</v>
      </c>
      <c r="C67" s="595" t="str">
        <f aca="false">'Plant loading'!C75</f>
        <v>HDR48-ES</v>
      </c>
      <c r="D67" s="595" t="n">
        <f aca="false">'Plant loading'!D75</f>
        <v>578</v>
      </c>
      <c r="E67" s="595" t="n">
        <f aca="false">'Plant loading'!E75</f>
        <v>572</v>
      </c>
      <c r="F67" s="595" t="n">
        <f aca="false">'Plant loading'!G75</f>
        <v>0.58438064516129</v>
      </c>
      <c r="G67" s="595" t="n">
        <f aca="false">'Plant loading'!H75</f>
        <v>34</v>
      </c>
      <c r="H67" s="595" t="n">
        <f aca="false">'Plant loading'!I75</f>
        <v>3</v>
      </c>
      <c r="I67" s="595" t="n">
        <f aca="false">'Plant loading'!J75</f>
        <v>102</v>
      </c>
      <c r="J67" s="872" t="n">
        <f aca="false">D67/(G67*((H67*1000)/58))</f>
        <v>0.328666666666667</v>
      </c>
      <c r="K67" s="872" t="n">
        <v>0.5</v>
      </c>
      <c r="L67" s="873" t="n">
        <f aca="false">ROUNDDOWN((H67*1000/58),0)</f>
        <v>51</v>
      </c>
      <c r="M67" s="595" t="n">
        <f aca="false">L67*K67</f>
        <v>25.5</v>
      </c>
      <c r="N67" s="595" t="n">
        <f aca="false">ROUNDUP((E67/M67),0)</f>
        <v>23</v>
      </c>
      <c r="O67" s="595" t="n">
        <f aca="false">N67*L67</f>
        <v>1173</v>
      </c>
      <c r="P67" s="450" t="n">
        <f aca="false">O67-L67</f>
        <v>1122</v>
      </c>
      <c r="Q67" s="595" t="n">
        <f aca="false">O67+(L67*K67)</f>
        <v>1198.5</v>
      </c>
      <c r="R67" s="595" t="n">
        <f aca="false">ROUNDUP((P67-E67)/L67*100,0)</f>
        <v>1079</v>
      </c>
      <c r="S67" s="595" t="n">
        <f aca="false">ROUNDUP((Q67-E67)/(L67)*100,0)</f>
        <v>1229</v>
      </c>
    </row>
    <row r="68" customFormat="false" ht="10.15" hidden="false" customHeight="false" outlineLevel="0" collapsed="false">
      <c r="A68" s="0" t="str">
        <f aca="false">'Plant loading'!A76</f>
        <v>Oldham</v>
      </c>
      <c r="B68" s="595" t="str">
        <f aca="false">'Plant loading'!B76</f>
        <v>OLDMTX-DCSYS05</v>
      </c>
      <c r="C68" s="595" t="str">
        <f aca="false">'Plant loading'!C76</f>
        <v>HDR48-ES</v>
      </c>
      <c r="D68" s="595" t="n">
        <f aca="false">'Plant loading'!D76</f>
        <v>521</v>
      </c>
      <c r="E68" s="595" t="n">
        <f aca="false">'Plant loading'!E76</f>
        <v>522</v>
      </c>
      <c r="F68" s="595" t="n">
        <f aca="false">'Plant loading'!G76</f>
        <v>0</v>
      </c>
      <c r="G68" s="595" t="n">
        <f aca="false">'Plant loading'!H76</f>
        <v>44</v>
      </c>
      <c r="H68" s="595" t="n">
        <f aca="false">'Plant loading'!I76</f>
        <v>3</v>
      </c>
      <c r="I68" s="595" t="n">
        <f aca="false">'Plant loading'!J76</f>
        <v>132</v>
      </c>
      <c r="J68" s="872" t="n">
        <f aca="false">D68/(G68*((H68*1000)/58))</f>
        <v>0.228924242424242</v>
      </c>
      <c r="K68" s="872" t="n">
        <v>0.5</v>
      </c>
      <c r="L68" s="873" t="n">
        <f aca="false">ROUNDDOWN((H68*1000/58),0)</f>
        <v>51</v>
      </c>
      <c r="M68" s="595" t="n">
        <f aca="false">L68*K68</f>
        <v>25.5</v>
      </c>
      <c r="N68" s="595" t="n">
        <f aca="false">ROUNDUP((E68/M68),0)</f>
        <v>21</v>
      </c>
      <c r="O68" s="595" t="n">
        <f aca="false">N68*L68</f>
        <v>1071</v>
      </c>
      <c r="P68" s="450" t="n">
        <f aca="false">O68-L68</f>
        <v>1020</v>
      </c>
      <c r="Q68" s="595" t="n">
        <f aca="false">O68+(L68*K68)</f>
        <v>1096.5</v>
      </c>
      <c r="R68" s="595" t="n">
        <f aca="false">ROUNDUP((P68-E68)/L68*100,0)</f>
        <v>977</v>
      </c>
      <c r="S68" s="595" t="n">
        <f aca="false">ROUNDUP((Q68-E68)/(L68)*100,0)</f>
        <v>1127</v>
      </c>
    </row>
    <row r="69" customFormat="false" ht="10.15" hidden="false" customHeight="false" outlineLevel="0" collapsed="false">
      <c r="A69" s="0" t="str">
        <f aca="false">'Plant loading'!A77</f>
        <v>Oldham</v>
      </c>
      <c r="B69" s="595" t="str">
        <f aca="false">'Plant loading'!B77</f>
        <v>OLDMTX-DCSYS06</v>
      </c>
      <c r="C69" s="595" t="str">
        <f aca="false">'Plant loading'!C77</f>
        <v>HDR48-ES</v>
      </c>
      <c r="D69" s="595" t="n">
        <f aca="false">'Plant loading'!D77</f>
        <v>630</v>
      </c>
      <c r="E69" s="595" t="n">
        <f aca="false">'Plant loading'!E77</f>
        <v>629</v>
      </c>
      <c r="F69" s="595" t="n">
        <f aca="false">'Plant loading'!G77</f>
        <v>0</v>
      </c>
      <c r="G69" s="595" t="n">
        <f aca="false">'Plant loading'!H77</f>
        <v>44</v>
      </c>
      <c r="H69" s="595" t="n">
        <f aca="false">'Plant loading'!I77</f>
        <v>3</v>
      </c>
      <c r="I69" s="595" t="n">
        <f aca="false">'Plant loading'!J77</f>
        <v>132</v>
      </c>
      <c r="J69" s="872" t="n">
        <f aca="false">D69/(G69*((H69*1000)/58))</f>
        <v>0.276818181818182</v>
      </c>
      <c r="K69" s="872" t="n">
        <v>0.5</v>
      </c>
      <c r="L69" s="873" t="n">
        <f aca="false">ROUNDDOWN((H69*1000/58),0)</f>
        <v>51</v>
      </c>
      <c r="M69" s="595" t="n">
        <f aca="false">L69*K69</f>
        <v>25.5</v>
      </c>
      <c r="N69" s="595" t="n">
        <f aca="false">ROUNDUP((E69/M69),0)</f>
        <v>25</v>
      </c>
      <c r="O69" s="595" t="n">
        <f aca="false">N69*L69</f>
        <v>1275</v>
      </c>
      <c r="P69" s="450" t="n">
        <f aca="false">O69-L69</f>
        <v>1224</v>
      </c>
      <c r="Q69" s="595" t="n">
        <f aca="false">O69+(L69*K69)</f>
        <v>1300.5</v>
      </c>
      <c r="R69" s="595" t="n">
        <f aca="false">ROUNDUP((P69-E69)/L69*100,0)</f>
        <v>1167</v>
      </c>
      <c r="S69" s="595" t="n">
        <f aca="false">ROUNDUP((Q69-E69)/(L69)*100,0)</f>
        <v>1317</v>
      </c>
    </row>
    <row r="70" s="874" customFormat="true" ht="10.15" hidden="false" customHeight="false" outlineLevel="0" collapsed="false">
      <c r="A70" s="874" t="str">
        <f aca="false">'Plant loading'!A80</f>
        <v>Rotherham</v>
      </c>
      <c r="B70" s="875" t="str">
        <f aca="false">'Plant loading'!B80</f>
        <v>PEARM</v>
      </c>
      <c r="C70" s="875" t="str">
        <f aca="false">'Plant loading'!C80</f>
        <v>eSure</v>
      </c>
      <c r="D70" s="875" t="n">
        <f aca="false">'Plant loading'!D80</f>
        <v>420</v>
      </c>
      <c r="E70" s="875" t="n">
        <f aca="false">'Plant loading'!E80</f>
        <v>376</v>
      </c>
      <c r="F70" s="875" t="n">
        <f aca="false">'Plant loading'!G80</f>
        <v>100.389</v>
      </c>
      <c r="G70" s="875" t="n">
        <f aca="false">'Plant loading'!H80</f>
        <v>36</v>
      </c>
      <c r="H70" s="875" t="n">
        <f aca="false">'Plant loading'!I80</f>
        <v>3.5</v>
      </c>
      <c r="I70" s="875" t="n">
        <f aca="false">'Plant loading'!J80</f>
        <v>126</v>
      </c>
      <c r="J70" s="876" t="n">
        <f aca="false">D70/(G70*((H70*1000)/58))</f>
        <v>0.193333333333333</v>
      </c>
      <c r="K70" s="876" t="n">
        <v>0.5</v>
      </c>
      <c r="L70" s="877" t="n">
        <f aca="false">ROUNDDOWN((H70*1000/58),0)</f>
        <v>60</v>
      </c>
      <c r="M70" s="875" t="n">
        <f aca="false">L70*K70</f>
        <v>30</v>
      </c>
      <c r="N70" s="875" t="n">
        <f aca="false">ROUNDUP((E70/M70),0)</f>
        <v>13</v>
      </c>
      <c r="O70" s="875" t="n">
        <f aca="false">N70*L70</f>
        <v>780</v>
      </c>
      <c r="P70" s="878" t="n">
        <f aca="false">O70-L70</f>
        <v>720</v>
      </c>
      <c r="Q70" s="875" t="n">
        <f aca="false">O70+(L70*K70)</f>
        <v>810</v>
      </c>
      <c r="R70" s="875" t="n">
        <f aca="false">ROUNDUP((P70-E70)/L70*100,0)</f>
        <v>574</v>
      </c>
      <c r="S70" s="875" t="n">
        <f aca="false">ROUNDUP((Q70-E70)/(L70)*100,0)</f>
        <v>724</v>
      </c>
    </row>
    <row r="71" s="874" customFormat="true" ht="10.15" hidden="false" customHeight="false" outlineLevel="0" collapsed="false">
      <c r="A71" s="874" t="str">
        <f aca="false">'Plant loading'!A81</f>
        <v>Rotherham</v>
      </c>
      <c r="B71" s="875" t="str">
        <f aca="false">'Plant loading'!B81</f>
        <v>PEBRM</v>
      </c>
      <c r="C71" s="875" t="str">
        <f aca="false">'Plant loading'!C81</f>
        <v>eSure</v>
      </c>
      <c r="D71" s="875" t="n">
        <f aca="false">'Plant loading'!D81</f>
        <v>506</v>
      </c>
      <c r="E71" s="875" t="n">
        <f aca="false">'Plant loading'!E81</f>
        <v>469</v>
      </c>
      <c r="F71" s="875" t="n">
        <f aca="false">'Plant loading'!G81</f>
        <v>0</v>
      </c>
      <c r="G71" s="875" t="n">
        <f aca="false">'Plant loading'!H81</f>
        <v>36</v>
      </c>
      <c r="H71" s="875" t="n">
        <f aca="false">'Plant loading'!I81</f>
        <v>3.5</v>
      </c>
      <c r="I71" s="875" t="n">
        <f aca="false">'Plant loading'!J81</f>
        <v>126</v>
      </c>
      <c r="J71" s="876" t="n">
        <f aca="false">D71/(G71*((H71*1000)/58))</f>
        <v>0.232920634920635</v>
      </c>
      <c r="K71" s="876" t="n">
        <v>0.5</v>
      </c>
      <c r="L71" s="877" t="n">
        <f aca="false">ROUNDDOWN((H71*1000/58),0)</f>
        <v>60</v>
      </c>
      <c r="M71" s="875" t="n">
        <f aca="false">L71*K71</f>
        <v>30</v>
      </c>
      <c r="N71" s="875" t="n">
        <f aca="false">ROUNDUP((E71/M71),0)</f>
        <v>16</v>
      </c>
      <c r="O71" s="875" t="n">
        <f aca="false">N71*L71</f>
        <v>960</v>
      </c>
      <c r="P71" s="878" t="n">
        <f aca="false">O71-L71</f>
        <v>900</v>
      </c>
      <c r="Q71" s="875" t="n">
        <f aca="false">O71+(L71*K71)</f>
        <v>990</v>
      </c>
      <c r="R71" s="875" t="n">
        <f aca="false">ROUNDUP((P71-E71)/L71*100,0)</f>
        <v>719</v>
      </c>
      <c r="S71" s="875" t="n">
        <f aca="false">ROUNDUP((Q71-E71)/(L71)*100,0)</f>
        <v>869</v>
      </c>
    </row>
    <row r="72" s="874" customFormat="true" ht="10.15" hidden="false" customHeight="false" outlineLevel="0" collapsed="false">
      <c r="A72" s="874" t="str">
        <f aca="false">'Plant loading'!A82</f>
        <v>Rotherham</v>
      </c>
      <c r="B72" s="875" t="str">
        <f aca="false">'Plant loading'!B82</f>
        <v>PECRM</v>
      </c>
      <c r="C72" s="875" t="str">
        <f aca="false">'Plant loading'!C82</f>
        <v>eSure</v>
      </c>
      <c r="D72" s="875" t="n">
        <f aca="false">'Plant loading'!D82</f>
        <v>531</v>
      </c>
      <c r="E72" s="875" t="n">
        <f aca="false">'Plant loading'!E82</f>
        <v>532</v>
      </c>
      <c r="F72" s="875" t="n">
        <f aca="false">'Plant loading'!G82</f>
        <v>0</v>
      </c>
      <c r="G72" s="875" t="n">
        <f aca="false">'Plant loading'!H82</f>
        <v>36</v>
      </c>
      <c r="H72" s="875" t="n">
        <f aca="false">'Plant loading'!I82</f>
        <v>3.5</v>
      </c>
      <c r="I72" s="875" t="n">
        <f aca="false">'Plant loading'!J82</f>
        <v>126</v>
      </c>
      <c r="J72" s="876" t="n">
        <f aca="false">D72/(G72*((H72*1000)/58))</f>
        <v>0.244428571428571</v>
      </c>
      <c r="K72" s="876" t="n">
        <v>0.5</v>
      </c>
      <c r="L72" s="877" t="n">
        <f aca="false">ROUNDDOWN((H72*1000/58),0)</f>
        <v>60</v>
      </c>
      <c r="M72" s="875" t="n">
        <f aca="false">L72*K72</f>
        <v>30</v>
      </c>
      <c r="N72" s="875" t="n">
        <f aca="false">ROUNDUP((E72/M72),0)</f>
        <v>18</v>
      </c>
      <c r="O72" s="875" t="n">
        <f aca="false">N72*L72</f>
        <v>1080</v>
      </c>
      <c r="P72" s="878" t="n">
        <f aca="false">O72-L72</f>
        <v>1020</v>
      </c>
      <c r="Q72" s="875" t="n">
        <f aca="false">O72+(L72*K72)</f>
        <v>1110</v>
      </c>
      <c r="R72" s="875" t="n">
        <f aca="false">ROUNDUP((P72-E72)/L72*100,0)</f>
        <v>814</v>
      </c>
      <c r="S72" s="875" t="n">
        <f aca="false">ROUNDUP((Q72-E72)/(L72)*100,0)</f>
        <v>964</v>
      </c>
    </row>
    <row r="73" s="874" customFormat="true" ht="10.15" hidden="false" customHeight="false" outlineLevel="0" collapsed="false">
      <c r="A73" s="874" t="str">
        <f aca="false">'Plant loading'!A83</f>
        <v>Rotherham</v>
      </c>
      <c r="B73" s="875" t="str">
        <f aca="false">'Plant loading'!B83</f>
        <v>PEDRM</v>
      </c>
      <c r="C73" s="875" t="str">
        <f aca="false">'Plant loading'!C83</f>
        <v>eSure</v>
      </c>
      <c r="D73" s="875" t="n">
        <f aca="false">'Plant loading'!D83</f>
        <v>260</v>
      </c>
      <c r="E73" s="875" t="n">
        <f aca="false">'Plant loading'!E83</f>
        <v>253</v>
      </c>
      <c r="F73" s="875" t="n">
        <f aca="false">'Plant loading'!G83</f>
        <v>0.318695238095238</v>
      </c>
      <c r="G73" s="875" t="n">
        <f aca="false">'Plant loading'!H83</f>
        <v>36</v>
      </c>
      <c r="H73" s="875" t="n">
        <f aca="false">'Plant loading'!I83</f>
        <v>3.5</v>
      </c>
      <c r="I73" s="875" t="n">
        <f aca="false">'Plant loading'!J83</f>
        <v>126</v>
      </c>
      <c r="J73" s="876" t="n">
        <f aca="false">D73/(G73*((H73*1000)/58))</f>
        <v>0.11968253968254</v>
      </c>
      <c r="K73" s="876" t="n">
        <v>0.5</v>
      </c>
      <c r="L73" s="877" t="n">
        <f aca="false">ROUNDDOWN((H73*1000/58),0)</f>
        <v>60</v>
      </c>
      <c r="M73" s="875" t="n">
        <f aca="false">L73*K73</f>
        <v>30</v>
      </c>
      <c r="N73" s="875" t="n">
        <f aca="false">ROUNDUP((E73/M73),0)</f>
        <v>9</v>
      </c>
      <c r="O73" s="875" t="n">
        <f aca="false">N73*L73</f>
        <v>540</v>
      </c>
      <c r="P73" s="878" t="n">
        <f aca="false">O73-L73</f>
        <v>480</v>
      </c>
      <c r="Q73" s="875" t="n">
        <f aca="false">O73+(L73*K73)</f>
        <v>570</v>
      </c>
      <c r="R73" s="875" t="n">
        <f aca="false">ROUNDUP((P73-E73)/L73*100,0)</f>
        <v>379</v>
      </c>
      <c r="S73" s="875" t="n">
        <f aca="false">ROUNDUP((Q73-E73)/(L73)*100,0)</f>
        <v>529</v>
      </c>
    </row>
    <row r="74" s="874" customFormat="true" ht="10.15" hidden="false" customHeight="false" outlineLevel="0" collapsed="false">
      <c r="A74" s="874" t="str">
        <f aca="false">'Plant loading'!A84</f>
        <v>Rotherham</v>
      </c>
      <c r="B74" s="875" t="str">
        <f aca="false">'Plant loading'!B84</f>
        <v>PEERM</v>
      </c>
      <c r="C74" s="875" t="str">
        <f aca="false">'Plant loading'!C84</f>
        <v>eSure</v>
      </c>
      <c r="D74" s="875" t="n">
        <f aca="false">'Plant loading'!D84</f>
        <v>212</v>
      </c>
      <c r="E74" s="875" t="n">
        <f aca="false">'Plant loading'!E84</f>
        <v>212</v>
      </c>
      <c r="F74" s="875" t="n">
        <f aca="false">'Plant loading'!G84</f>
        <v>0</v>
      </c>
      <c r="G74" s="875" t="n">
        <f aca="false">'Plant loading'!H84</f>
        <v>36</v>
      </c>
      <c r="H74" s="875" t="n">
        <f aca="false">'Plant loading'!I84</f>
        <v>3.5</v>
      </c>
      <c r="I74" s="875" t="n">
        <f aca="false">'Plant loading'!J84</f>
        <v>126</v>
      </c>
      <c r="J74" s="876" t="n">
        <f aca="false">D74/(G74*((H74*1000)/58))</f>
        <v>0.0975873015873016</v>
      </c>
      <c r="K74" s="876" t="n">
        <v>0.5</v>
      </c>
      <c r="L74" s="877" t="n">
        <f aca="false">ROUNDDOWN((H74*1000/58),0)</f>
        <v>60</v>
      </c>
      <c r="M74" s="875" t="n">
        <f aca="false">L74*K74</f>
        <v>30</v>
      </c>
      <c r="N74" s="875" t="n">
        <f aca="false">ROUNDUP((E74/M74),0)</f>
        <v>8</v>
      </c>
      <c r="O74" s="875" t="n">
        <f aca="false">N74*L74</f>
        <v>480</v>
      </c>
      <c r="P74" s="878" t="n">
        <f aca="false">O74-L74</f>
        <v>420</v>
      </c>
      <c r="Q74" s="875" t="n">
        <f aca="false">O74+(L74*K74)</f>
        <v>510</v>
      </c>
      <c r="R74" s="875" t="n">
        <f aca="false">ROUNDUP((P74-E74)/L74*100,0)</f>
        <v>347</v>
      </c>
      <c r="S74" s="875" t="n">
        <f aca="false">ROUNDUP((Q74-E74)/(L74)*100,0)</f>
        <v>497</v>
      </c>
    </row>
    <row r="75" customFormat="false" ht="10.15" hidden="false" customHeight="false" outlineLevel="0" collapsed="false">
      <c r="A75" s="0" t="str">
        <f aca="false">'Plant loading'!A85</f>
        <v>Southampton</v>
      </c>
      <c r="B75" s="595" t="str">
        <f aca="false">'Plant loading'!B85</f>
        <v>PEASN</v>
      </c>
      <c r="C75" s="595" t="str">
        <f aca="false">'Plant loading'!C85</f>
        <v>eSure</v>
      </c>
      <c r="D75" s="595" t="n">
        <f aca="false">'Plant loading'!D85</f>
        <v>357</v>
      </c>
      <c r="E75" s="595" t="n">
        <f aca="false">'Plant loading'!E85</f>
        <v>357</v>
      </c>
      <c r="F75" s="595" t="n">
        <f aca="false">'Plant loading'!G85</f>
        <v>87.6905</v>
      </c>
      <c r="G75" s="595" t="n">
        <f aca="false">'Plant loading'!H85</f>
        <v>36</v>
      </c>
      <c r="H75" s="595" t="n">
        <f aca="false">'Plant loading'!I85</f>
        <v>3.5</v>
      </c>
      <c r="I75" s="595" t="n">
        <f aca="false">'Plant loading'!J85</f>
        <v>126</v>
      </c>
      <c r="J75" s="872" t="n">
        <f aca="false">D75/(G75*((H75*1000)/58))</f>
        <v>0.164333333333333</v>
      </c>
      <c r="K75" s="872" t="n">
        <v>0.5</v>
      </c>
      <c r="L75" s="873" t="n">
        <f aca="false">ROUNDDOWN((H75*1000/58),0)</f>
        <v>60</v>
      </c>
      <c r="M75" s="595" t="n">
        <f aca="false">L75*K75</f>
        <v>30</v>
      </c>
      <c r="N75" s="595" t="n">
        <f aca="false">ROUNDUP((E75/M75),0)</f>
        <v>12</v>
      </c>
      <c r="O75" s="595" t="n">
        <f aca="false">N75*L75</f>
        <v>720</v>
      </c>
      <c r="P75" s="450" t="n">
        <f aca="false">O75-L75</f>
        <v>660</v>
      </c>
      <c r="Q75" s="595" t="n">
        <f aca="false">O75+(L75*K75)</f>
        <v>750</v>
      </c>
      <c r="R75" s="595" t="n">
        <f aca="false">ROUNDUP((P75-E75)/L75*100,0)</f>
        <v>505</v>
      </c>
      <c r="S75" s="595" t="n">
        <f aca="false">ROUNDUP((Q75-E75)/(L75)*100,0)</f>
        <v>655</v>
      </c>
    </row>
    <row r="76" customFormat="false" ht="10.15" hidden="false" customHeight="false" outlineLevel="0" collapsed="false">
      <c r="A76" s="0" t="str">
        <f aca="false">'Plant loading'!A86</f>
        <v>Southampton</v>
      </c>
      <c r="B76" s="595" t="str">
        <f aca="false">'Plant loading'!B86</f>
        <v>PEBSN</v>
      </c>
      <c r="C76" s="595" t="str">
        <f aca="false">'Plant loading'!C86</f>
        <v>eSure</v>
      </c>
      <c r="D76" s="595" t="n">
        <f aca="false">'Plant loading'!D86</f>
        <v>507</v>
      </c>
      <c r="E76" s="595" t="n">
        <f aca="false">'Plant loading'!E86</f>
        <v>488</v>
      </c>
      <c r="F76" s="595" t="n">
        <f aca="false">'Plant loading'!G86</f>
        <v>0</v>
      </c>
      <c r="G76" s="595" t="n">
        <f aca="false">'Plant loading'!H86</f>
        <v>36</v>
      </c>
      <c r="H76" s="595" t="n">
        <f aca="false">'Plant loading'!I86</f>
        <v>3.5</v>
      </c>
      <c r="I76" s="595" t="n">
        <f aca="false">'Plant loading'!J86</f>
        <v>126</v>
      </c>
      <c r="J76" s="872" t="n">
        <f aca="false">D76/(G76*((H76*1000)/58))</f>
        <v>0.233380952380952</v>
      </c>
      <c r="K76" s="872" t="n">
        <v>0.5</v>
      </c>
      <c r="L76" s="873" t="n">
        <f aca="false">ROUNDDOWN((H76*1000/58),0)</f>
        <v>60</v>
      </c>
      <c r="M76" s="595" t="n">
        <f aca="false">L76*K76</f>
        <v>30</v>
      </c>
      <c r="N76" s="595" t="n">
        <f aca="false">ROUNDUP((E76/M76),0)</f>
        <v>17</v>
      </c>
      <c r="O76" s="595" t="n">
        <f aca="false">N76*L76</f>
        <v>1020</v>
      </c>
      <c r="P76" s="450" t="n">
        <f aca="false">O76-L76</f>
        <v>960</v>
      </c>
      <c r="Q76" s="595" t="n">
        <f aca="false">O76+(L76*K76)</f>
        <v>1050</v>
      </c>
      <c r="R76" s="595" t="n">
        <f aca="false">ROUNDUP((P76-E76)/L76*100,0)</f>
        <v>787</v>
      </c>
      <c r="S76" s="595" t="n">
        <f aca="false">ROUNDUP((Q76-E76)/(L76)*100,0)</f>
        <v>937</v>
      </c>
    </row>
    <row r="77" customFormat="false" ht="10.15" hidden="false" customHeight="false" outlineLevel="0" collapsed="false">
      <c r="A77" s="0" t="str">
        <f aca="false">'Plant loading'!A87</f>
        <v>Southampton</v>
      </c>
      <c r="B77" s="595" t="str">
        <f aca="false">'Plant loading'!B87</f>
        <v>PECSN</v>
      </c>
      <c r="C77" s="595" t="str">
        <f aca="false">'Plant loading'!C87</f>
        <v>eSure</v>
      </c>
      <c r="D77" s="595" t="n">
        <f aca="false">'Plant loading'!D87</f>
        <v>436</v>
      </c>
      <c r="E77" s="595" t="n">
        <f aca="false">'Plant loading'!E87</f>
        <v>449</v>
      </c>
      <c r="F77" s="595" t="n">
        <f aca="false">'Plant loading'!G87</f>
        <v>0.347978174603175</v>
      </c>
      <c r="G77" s="595" t="n">
        <f aca="false">'Plant loading'!H87</f>
        <v>36</v>
      </c>
      <c r="H77" s="595" t="n">
        <f aca="false">'Plant loading'!I87</f>
        <v>3.5</v>
      </c>
      <c r="I77" s="595" t="n">
        <f aca="false">'Plant loading'!J87</f>
        <v>126</v>
      </c>
      <c r="J77" s="872" t="n">
        <f aca="false">D77/(G77*((H77*1000)/58))</f>
        <v>0.200698412698413</v>
      </c>
      <c r="K77" s="872" t="n">
        <v>0.5</v>
      </c>
      <c r="L77" s="873" t="n">
        <f aca="false">ROUNDDOWN((H77*1000/58),0)</f>
        <v>60</v>
      </c>
      <c r="M77" s="595" t="n">
        <f aca="false">L77*K77</f>
        <v>30</v>
      </c>
      <c r="N77" s="595" t="n">
        <f aca="false">ROUNDUP((E77/M77),0)</f>
        <v>15</v>
      </c>
      <c r="O77" s="595" t="n">
        <f aca="false">N77*L77</f>
        <v>900</v>
      </c>
      <c r="P77" s="450" t="n">
        <f aca="false">O77-L77</f>
        <v>840</v>
      </c>
      <c r="Q77" s="595" t="n">
        <f aca="false">O77+(L77*K77)</f>
        <v>930</v>
      </c>
      <c r="R77" s="595" t="n">
        <f aca="false">ROUNDUP((P77-E77)/L77*100,0)</f>
        <v>652</v>
      </c>
      <c r="S77" s="595" t="n">
        <f aca="false">ROUNDUP((Q77-E77)/(L77)*100,0)</f>
        <v>802</v>
      </c>
    </row>
    <row r="78" customFormat="false" ht="10.15" hidden="false" customHeight="false" outlineLevel="0" collapsed="false">
      <c r="A78" s="0" t="str">
        <f aca="false">'Plant loading'!A88</f>
        <v>Southampton</v>
      </c>
      <c r="B78" s="595" t="str">
        <f aca="false">'Plant loading'!B88</f>
        <v>PEESN</v>
      </c>
      <c r="C78" s="595" t="str">
        <f aca="false">'Plant loading'!C88</f>
        <v>eSure</v>
      </c>
      <c r="D78" s="595" t="n">
        <f aca="false">'Plant loading'!D88</f>
        <v>318</v>
      </c>
      <c r="E78" s="595" t="n">
        <f aca="false">'Plant loading'!E88</f>
        <v>315</v>
      </c>
      <c r="F78" s="595" t="n">
        <f aca="false">'Plant loading'!G88</f>
        <v>0</v>
      </c>
      <c r="G78" s="595" t="n">
        <f aca="false">'Plant loading'!H88</f>
        <v>36</v>
      </c>
      <c r="H78" s="595" t="n">
        <f aca="false">'Plant loading'!I88</f>
        <v>3.5</v>
      </c>
      <c r="I78" s="595" t="n">
        <f aca="false">'Plant loading'!J88</f>
        <v>126</v>
      </c>
      <c r="J78" s="872" t="n">
        <f aca="false">D78/(G78*((H78*1000)/58))</f>
        <v>0.146380952380952</v>
      </c>
      <c r="K78" s="872" t="n">
        <v>0.5</v>
      </c>
      <c r="L78" s="873" t="n">
        <f aca="false">ROUNDDOWN((H78*1000/58),0)</f>
        <v>60</v>
      </c>
      <c r="M78" s="595" t="n">
        <f aca="false">L78*K78</f>
        <v>30</v>
      </c>
      <c r="N78" s="595" t="n">
        <f aca="false">ROUNDUP((E78/M78),0)</f>
        <v>11</v>
      </c>
      <c r="O78" s="595" t="n">
        <f aca="false">N78*L78</f>
        <v>660</v>
      </c>
      <c r="P78" s="450" t="n">
        <f aca="false">O78-L78</f>
        <v>600</v>
      </c>
      <c r="Q78" s="595" t="n">
        <f aca="false">O78+(L78*K78)</f>
        <v>690</v>
      </c>
      <c r="R78" s="595" t="n">
        <f aca="false">ROUNDUP((P78-E78)/L78*100,0)</f>
        <v>475</v>
      </c>
      <c r="S78" s="595" t="n">
        <f aca="false">ROUNDUP((Q78-E78)/(L78)*100,0)</f>
        <v>625</v>
      </c>
    </row>
    <row r="79" customFormat="false" ht="10.15" hidden="false" customHeight="false" outlineLevel="0" collapsed="false">
      <c r="A79" s="0" t="str">
        <f aca="false">'Plant loading'!A89</f>
        <v>Swanley</v>
      </c>
      <c r="B79" s="595" t="str">
        <f aca="false">'Plant loading'!B89</f>
        <v>PEASY</v>
      </c>
      <c r="C79" s="595" t="str">
        <f aca="false">'Plant loading'!C89</f>
        <v>eSure</v>
      </c>
      <c r="D79" s="595" t="n">
        <f aca="false">'Plant loading'!D89</f>
        <v>539</v>
      </c>
      <c r="E79" s="595" t="n">
        <f aca="false">'Plant loading'!E89</f>
        <v>539</v>
      </c>
      <c r="F79" s="595" t="n">
        <f aca="false">'Plant loading'!G89</f>
        <v>108.8365</v>
      </c>
      <c r="G79" s="595" t="n">
        <f aca="false">'Plant loading'!H89</f>
        <v>36</v>
      </c>
      <c r="H79" s="595" t="n">
        <f aca="false">'Plant loading'!I89</f>
        <v>3.5</v>
      </c>
      <c r="I79" s="595" t="n">
        <f aca="false">'Plant loading'!J89</f>
        <v>126</v>
      </c>
      <c r="J79" s="872" t="n">
        <f aca="false">D79/(G79*((H79*1000)/58))</f>
        <v>0.248111111111111</v>
      </c>
      <c r="K79" s="872" t="n">
        <v>0.5</v>
      </c>
      <c r="L79" s="873" t="n">
        <f aca="false">ROUNDDOWN((H79*1000/58),0)</f>
        <v>60</v>
      </c>
      <c r="M79" s="595" t="n">
        <f aca="false">L79*K79</f>
        <v>30</v>
      </c>
      <c r="N79" s="595" t="n">
        <f aca="false">ROUNDUP((E79/M79),0)</f>
        <v>18</v>
      </c>
      <c r="O79" s="595" t="n">
        <f aca="false">N79*L79</f>
        <v>1080</v>
      </c>
      <c r="P79" s="450" t="n">
        <f aca="false">O79-L79</f>
        <v>1020</v>
      </c>
      <c r="Q79" s="595" t="n">
        <f aca="false">O79+(L79*K79)</f>
        <v>1110</v>
      </c>
      <c r="R79" s="595" t="n">
        <f aca="false">ROUNDUP((P79-E79)/L79*100,0)</f>
        <v>802</v>
      </c>
      <c r="S79" s="595" t="n">
        <f aca="false">ROUNDUP((Q79-E79)/(L79)*100,0)</f>
        <v>952</v>
      </c>
    </row>
    <row r="80" customFormat="false" ht="10.15" hidden="false" customHeight="false" outlineLevel="0" collapsed="false">
      <c r="A80" s="0" t="str">
        <f aca="false">'Plant loading'!A90</f>
        <v>Swanley</v>
      </c>
      <c r="B80" s="595" t="str">
        <f aca="false">'Plant loading'!B90</f>
        <v>PEBSY</v>
      </c>
      <c r="C80" s="595" t="str">
        <f aca="false">'Plant loading'!C90</f>
        <v>eSure</v>
      </c>
      <c r="D80" s="595" t="n">
        <f aca="false">'Plant loading'!D90</f>
        <v>463</v>
      </c>
      <c r="E80" s="595" t="n">
        <f aca="false">'Plant loading'!E90</f>
        <v>462</v>
      </c>
      <c r="F80" s="595" t="n">
        <f aca="false">'Plant loading'!G90</f>
        <v>0</v>
      </c>
      <c r="G80" s="595" t="n">
        <f aca="false">'Plant loading'!H90</f>
        <v>36</v>
      </c>
      <c r="H80" s="595" t="n">
        <f aca="false">'Plant loading'!I90</f>
        <v>3.5</v>
      </c>
      <c r="I80" s="595" t="n">
        <f aca="false">'Plant loading'!J90</f>
        <v>126</v>
      </c>
      <c r="J80" s="872" t="n">
        <f aca="false">D80/(G80*((H80*1000)/58))</f>
        <v>0.213126984126984</v>
      </c>
      <c r="K80" s="872" t="n">
        <v>0.5</v>
      </c>
      <c r="L80" s="873" t="n">
        <f aca="false">ROUNDDOWN((H80*1000/58),0)</f>
        <v>60</v>
      </c>
      <c r="M80" s="595" t="n">
        <f aca="false">L80*K80</f>
        <v>30</v>
      </c>
      <c r="N80" s="595" t="n">
        <f aca="false">ROUNDUP((E80/M80),0)</f>
        <v>16</v>
      </c>
      <c r="O80" s="595" t="n">
        <f aca="false">N80*L80</f>
        <v>960</v>
      </c>
      <c r="P80" s="450" t="n">
        <f aca="false">O80-L80</f>
        <v>900</v>
      </c>
      <c r="Q80" s="595" t="n">
        <f aca="false">O80+(L80*K80)</f>
        <v>990</v>
      </c>
      <c r="R80" s="595" t="n">
        <f aca="false">ROUNDUP((P80-E80)/L80*100,0)</f>
        <v>730</v>
      </c>
      <c r="S80" s="595" t="n">
        <f aca="false">ROUNDUP((Q80-E80)/(L80)*100,0)</f>
        <v>880</v>
      </c>
    </row>
    <row r="81" customFormat="false" ht="10.15" hidden="false" customHeight="false" outlineLevel="0" collapsed="false">
      <c r="A81" s="0" t="str">
        <f aca="false">'Plant loading'!A91</f>
        <v>Swanley</v>
      </c>
      <c r="B81" s="595" t="str">
        <f aca="false">'Plant loading'!B91</f>
        <v>PECSY</v>
      </c>
      <c r="C81" s="595" t="str">
        <f aca="false">'Plant loading'!C91</f>
        <v>eSure</v>
      </c>
      <c r="D81" s="595" t="n">
        <f aca="false">'Plant loading'!D91</f>
        <v>398</v>
      </c>
      <c r="E81" s="595" t="n">
        <f aca="false">'Plant loading'!E91</f>
        <v>397</v>
      </c>
      <c r="F81" s="595" t="n">
        <f aca="false">'Plant loading'!G91</f>
        <v>0</v>
      </c>
      <c r="G81" s="595" t="n">
        <f aca="false">'Plant loading'!H91</f>
        <v>36</v>
      </c>
      <c r="H81" s="595" t="n">
        <f aca="false">'Plant loading'!I91</f>
        <v>3.5</v>
      </c>
      <c r="I81" s="595" t="n">
        <f aca="false">'Plant loading'!J91</f>
        <v>126</v>
      </c>
      <c r="J81" s="872" t="n">
        <f aca="false">D81/(G81*((H81*1000)/58))</f>
        <v>0.183206349206349</v>
      </c>
      <c r="K81" s="872" t="n">
        <v>0.5</v>
      </c>
      <c r="L81" s="873" t="n">
        <f aca="false">ROUNDDOWN((H81*1000/58),0)</f>
        <v>60</v>
      </c>
      <c r="M81" s="595" t="n">
        <f aca="false">L81*K81</f>
        <v>30</v>
      </c>
      <c r="N81" s="595" t="n">
        <f aca="false">ROUNDUP((E81/M81),0)</f>
        <v>14</v>
      </c>
      <c r="O81" s="595" t="n">
        <f aca="false">N81*L81</f>
        <v>840</v>
      </c>
      <c r="P81" s="450" t="n">
        <f aca="false">O81-L81</f>
        <v>780</v>
      </c>
      <c r="Q81" s="595" t="n">
        <f aca="false">O81+(L81*K81)</f>
        <v>870</v>
      </c>
      <c r="R81" s="595" t="n">
        <f aca="false">ROUNDUP((P81-E81)/L81*100,0)</f>
        <v>639</v>
      </c>
      <c r="S81" s="595" t="n">
        <f aca="false">ROUNDUP((Q81-E81)/(L81)*100,0)</f>
        <v>789</v>
      </c>
    </row>
    <row r="82" customFormat="false" ht="10.15" hidden="false" customHeight="false" outlineLevel="0" collapsed="false">
      <c r="A82" s="0" t="str">
        <f aca="false">'Plant loading'!A92</f>
        <v>Swanley</v>
      </c>
      <c r="B82" s="595" t="str">
        <f aca="false">'Plant loading'!B92</f>
        <v>PEDSY</v>
      </c>
      <c r="C82" s="595" t="str">
        <f aca="false">'Plant loading'!C92</f>
        <v>eSure</v>
      </c>
      <c r="D82" s="595" t="n">
        <f aca="false">'Plant loading'!D92</f>
        <v>285</v>
      </c>
      <c r="E82" s="595" t="n">
        <f aca="false">'Plant loading'!E92</f>
        <v>282</v>
      </c>
      <c r="F82" s="595" t="n">
        <f aca="false">'Plant loading'!G92</f>
        <v>0.358014802631579</v>
      </c>
      <c r="G82" s="595" t="n">
        <f aca="false">'Plant loading'!H92</f>
        <v>36</v>
      </c>
      <c r="H82" s="595" t="n">
        <f aca="false">'Plant loading'!I92</f>
        <v>3.5</v>
      </c>
      <c r="I82" s="595" t="n">
        <f aca="false">'Plant loading'!J92</f>
        <v>126</v>
      </c>
      <c r="J82" s="872" t="n">
        <f aca="false">D82/(G82*((H82*1000)/58))</f>
        <v>0.131190476190476</v>
      </c>
      <c r="K82" s="872" t="n">
        <v>0.5</v>
      </c>
      <c r="L82" s="873" t="n">
        <f aca="false">ROUNDDOWN((H82*1000/58),0)</f>
        <v>60</v>
      </c>
      <c r="M82" s="595" t="n">
        <f aca="false">L82*K82</f>
        <v>30</v>
      </c>
      <c r="N82" s="595" t="n">
        <f aca="false">ROUNDUP((E82/M82),0)</f>
        <v>10</v>
      </c>
      <c r="O82" s="595" t="n">
        <f aca="false">N82*L82</f>
        <v>600</v>
      </c>
      <c r="P82" s="450" t="n">
        <f aca="false">O82-L82</f>
        <v>540</v>
      </c>
      <c r="Q82" s="595" t="n">
        <f aca="false">O82+(L82*K82)</f>
        <v>630</v>
      </c>
      <c r="R82" s="595" t="n">
        <f aca="false">ROUNDUP((P82-E82)/L82*100,0)</f>
        <v>430</v>
      </c>
      <c r="S82" s="595" t="n">
        <f aca="false">ROUNDUP((Q82-E82)/(L82)*100,0)</f>
        <v>580</v>
      </c>
    </row>
    <row r="83" customFormat="false" ht="10.15" hidden="false" customHeight="false" outlineLevel="0" collapsed="false">
      <c r="A83" s="0" t="str">
        <f aca="false">'Plant loading'!A93</f>
        <v>Swanley</v>
      </c>
      <c r="B83" s="595" t="str">
        <f aca="false">'Plant loading'!B93</f>
        <v>PEESY</v>
      </c>
      <c r="C83" s="595" t="str">
        <f aca="false">'Plant loading'!C93</f>
        <v>eSure</v>
      </c>
      <c r="D83" s="595" t="n">
        <f aca="false">'Plant loading'!D93</f>
        <v>318</v>
      </c>
      <c r="E83" s="595" t="n">
        <f aca="false">'Plant loading'!E93</f>
        <v>317</v>
      </c>
      <c r="F83" s="595" t="n">
        <f aca="false">'Plant loading'!G93</f>
        <v>0</v>
      </c>
      <c r="G83" s="595" t="n">
        <f aca="false">'Plant loading'!H93</f>
        <v>30</v>
      </c>
      <c r="H83" s="595" t="n">
        <f aca="false">'Plant loading'!I93</f>
        <v>3.5</v>
      </c>
      <c r="I83" s="595" t="n">
        <f aca="false">'Plant loading'!J93</f>
        <v>105</v>
      </c>
      <c r="J83" s="872" t="n">
        <f aca="false">D83/(G83*((H83*1000)/58))</f>
        <v>0.175657142857143</v>
      </c>
      <c r="K83" s="872" t="n">
        <v>0.5</v>
      </c>
      <c r="L83" s="873" t="n">
        <f aca="false">ROUNDDOWN((H83*1000/58),0)</f>
        <v>60</v>
      </c>
      <c r="M83" s="595" t="n">
        <f aca="false">L83*K83</f>
        <v>30</v>
      </c>
      <c r="N83" s="595" t="n">
        <f aca="false">ROUNDUP((E83/M83),0)</f>
        <v>11</v>
      </c>
      <c r="O83" s="595" t="n">
        <f aca="false">N83*L83</f>
        <v>660</v>
      </c>
      <c r="P83" s="450" t="n">
        <f aca="false">O83-L83</f>
        <v>600</v>
      </c>
      <c r="Q83" s="595" t="n">
        <f aca="false">O83+(L83*K83)</f>
        <v>690</v>
      </c>
      <c r="R83" s="595" t="n">
        <f aca="false">ROUNDUP((P83-E83)/L83*100,0)</f>
        <v>472</v>
      </c>
      <c r="S83" s="595" t="n">
        <f aca="false">ROUNDUP((Q83-E83)/(L83)*100,0)</f>
        <v>622</v>
      </c>
    </row>
    <row r="84" customFormat="false" ht="10.15" hidden="false" customHeight="false" outlineLevel="0" collapsed="false">
      <c r="A84" s="0" t="str">
        <f aca="false">'Plant loading'!A94</f>
        <v>Bristol</v>
      </c>
      <c r="B84" s="595" t="str">
        <f aca="false">'Plant loading'!B94</f>
        <v>PEFBL</v>
      </c>
      <c r="C84" s="595" t="str">
        <f aca="false">'Plant loading'!C94</f>
        <v>NetSure</v>
      </c>
      <c r="D84" s="595" t="n">
        <f aca="false">'Plant loading'!D94</f>
        <v>435</v>
      </c>
      <c r="E84" s="595" t="n">
        <f aca="false">'Plant loading'!E94</f>
        <v>436</v>
      </c>
      <c r="F84" s="595" t="n">
        <f aca="false">'Plant loading'!G94</f>
        <v>41.2565</v>
      </c>
      <c r="G84" s="595" t="n">
        <f aca="false">'Plant loading'!H94</f>
        <v>36</v>
      </c>
      <c r="H84" s="595" t="n">
        <f aca="false">'Plant loading'!I94</f>
        <v>3.2</v>
      </c>
      <c r="I84" s="595" t="n">
        <f aca="false">'Plant loading'!J94</f>
        <v>115</v>
      </c>
      <c r="J84" s="872" t="n">
        <f aca="false">D84/(G84*((H84*1000)/58))</f>
        <v>0.219010416666667</v>
      </c>
      <c r="K84" s="872" t="n">
        <v>0.5</v>
      </c>
      <c r="L84" s="873" t="n">
        <f aca="false">ROUNDDOWN((H84*1000/58),0)</f>
        <v>55</v>
      </c>
      <c r="M84" s="595" t="n">
        <f aca="false">L84*K84</f>
        <v>27.5</v>
      </c>
      <c r="N84" s="595" t="n">
        <f aca="false">ROUNDUP((E84/M84),0)</f>
        <v>16</v>
      </c>
      <c r="O84" s="595" t="n">
        <f aca="false">N84*L84</f>
        <v>880</v>
      </c>
      <c r="P84" s="450" t="n">
        <f aca="false">O84-L84</f>
        <v>825</v>
      </c>
      <c r="Q84" s="595" t="n">
        <f aca="false">O84+(L84*K84)</f>
        <v>907.5</v>
      </c>
      <c r="R84" s="595" t="n">
        <f aca="false">ROUNDUP((P84-E84)/L84*100,0)</f>
        <v>708</v>
      </c>
      <c r="S84" s="595" t="n">
        <f aca="false">ROUNDUP((Q84-E84)/(L84)*100,0)</f>
        <v>858</v>
      </c>
    </row>
    <row r="85" customFormat="false" ht="10.15" hidden="false" customHeight="false" outlineLevel="0" collapsed="false">
      <c r="A85" s="0" t="str">
        <f aca="false">'Plant loading'!A95</f>
        <v>Bristol</v>
      </c>
      <c r="B85" s="595" t="str">
        <f aca="false">'Plant loading'!B95</f>
        <v>PEHBL</v>
      </c>
      <c r="C85" s="595" t="str">
        <f aca="false">'Plant loading'!C95</f>
        <v>NetSure</v>
      </c>
      <c r="D85" s="595" t="n">
        <f aca="false">'Plant loading'!D95</f>
        <v>318</v>
      </c>
      <c r="E85" s="595" t="n">
        <f aca="false">'Plant loading'!E95</f>
        <v>321</v>
      </c>
      <c r="F85" s="595" t="n">
        <f aca="false">'Plant loading'!G95</f>
        <v>0.361899122807018</v>
      </c>
      <c r="G85" s="595" t="n">
        <f aca="false">'Plant loading'!H95</f>
        <v>36</v>
      </c>
      <c r="H85" s="595" t="n">
        <f aca="false">'Plant loading'!I95</f>
        <v>3.2</v>
      </c>
      <c r="I85" s="595" t="n">
        <f aca="false">'Plant loading'!J95</f>
        <v>115</v>
      </c>
      <c r="J85" s="872" t="n">
        <f aca="false">D85/(G85*((H85*1000)/58))</f>
        <v>0.160104166666667</v>
      </c>
      <c r="K85" s="872" t="n">
        <v>0.5</v>
      </c>
      <c r="L85" s="873" t="n">
        <f aca="false">ROUNDDOWN((H85*1000/58),0)</f>
        <v>55</v>
      </c>
      <c r="M85" s="595" t="n">
        <f aca="false">L85*K85</f>
        <v>27.5</v>
      </c>
      <c r="N85" s="595" t="n">
        <f aca="false">ROUNDUP((E85/M85),0)</f>
        <v>12</v>
      </c>
      <c r="O85" s="595" t="n">
        <f aca="false">N85*L85</f>
        <v>660</v>
      </c>
      <c r="P85" s="450" t="n">
        <f aca="false">O85-L85</f>
        <v>605</v>
      </c>
      <c r="Q85" s="595" t="n">
        <f aca="false">O85+(L85*K85)</f>
        <v>687.5</v>
      </c>
      <c r="R85" s="595" t="n">
        <f aca="false">ROUNDUP((P85-E85)/L85*100,0)</f>
        <v>517</v>
      </c>
      <c r="S85" s="595" t="n">
        <f aca="false">ROUNDUP((Q85-E85)/(L85)*100,0)</f>
        <v>667</v>
      </c>
    </row>
    <row r="86" customFormat="false" ht="10.15" hidden="false" customHeight="false" outlineLevel="0" collapsed="false">
      <c r="A86" s="0" t="str">
        <f aca="false">'Plant loading'!A96</f>
        <v>Cardiff</v>
      </c>
      <c r="B86" s="595" t="str">
        <f aca="false">'Plant loading'!B96</f>
        <v>PECCF</v>
      </c>
      <c r="C86" s="595" t="str">
        <f aca="false">'Plant loading'!C96</f>
        <v>NetSure</v>
      </c>
      <c r="D86" s="595" t="n">
        <f aca="false">'Plant loading'!D96</f>
        <v>353</v>
      </c>
      <c r="E86" s="595" t="n">
        <f aca="false">'Plant loading'!E96</f>
        <v>353</v>
      </c>
      <c r="F86" s="595" t="n">
        <f aca="false">'Plant loading'!G96</f>
        <v>39.5125</v>
      </c>
      <c r="G86" s="595" t="n">
        <f aca="false">'Plant loading'!H96</f>
        <v>36</v>
      </c>
      <c r="H86" s="595" t="n">
        <f aca="false">'Plant loading'!I96</f>
        <v>3.2</v>
      </c>
      <c r="I86" s="595" t="n">
        <f aca="false">'Plant loading'!J96</f>
        <v>115</v>
      </c>
      <c r="J86" s="872" t="n">
        <f aca="false">D86/(G86*((H86*1000)/58))</f>
        <v>0.177725694444444</v>
      </c>
      <c r="K86" s="872" t="n">
        <v>0.5</v>
      </c>
      <c r="L86" s="873" t="n">
        <f aca="false">ROUNDDOWN((H86*1000/58),0)</f>
        <v>55</v>
      </c>
      <c r="M86" s="595" t="n">
        <f aca="false">L86*K86</f>
        <v>27.5</v>
      </c>
      <c r="N86" s="595" t="n">
        <f aca="false">ROUNDUP((E86/M86),0)</f>
        <v>13</v>
      </c>
      <c r="O86" s="595" t="n">
        <f aca="false">N86*L86</f>
        <v>715</v>
      </c>
      <c r="P86" s="450" t="n">
        <f aca="false">O86-L86</f>
        <v>660</v>
      </c>
      <c r="Q86" s="595" t="n">
        <f aca="false">O86+(L86*K86)</f>
        <v>742.5</v>
      </c>
      <c r="R86" s="595" t="n">
        <f aca="false">ROUNDUP((P86-E86)/L86*100,0)</f>
        <v>559</v>
      </c>
      <c r="S86" s="595" t="n">
        <f aca="false">ROUNDUP((Q86-E86)/(L86)*100,0)</f>
        <v>709</v>
      </c>
    </row>
    <row r="87" customFormat="false" ht="10.15" hidden="false" customHeight="false" outlineLevel="0" collapsed="false">
      <c r="A87" s="0" t="str">
        <f aca="false">'Plant loading'!A97</f>
        <v>Cardiff</v>
      </c>
      <c r="B87" s="595" t="str">
        <f aca="false">'Plant loading'!B97</f>
        <v>PEDCF</v>
      </c>
      <c r="C87" s="595" t="str">
        <f aca="false">'Plant loading'!C97</f>
        <v>NetSure</v>
      </c>
      <c r="D87" s="595" t="n">
        <f aca="false">'Plant loading'!D97</f>
        <v>168</v>
      </c>
      <c r="E87" s="595" t="n">
        <f aca="false">'Plant loading'!E97</f>
        <v>168</v>
      </c>
      <c r="F87" s="595" t="n">
        <f aca="false">'Plant loading'!G97</f>
        <v>0</v>
      </c>
      <c r="G87" s="595" t="n">
        <f aca="false">'Plant loading'!H97</f>
        <v>18</v>
      </c>
      <c r="H87" s="595" t="n">
        <f aca="false">'Plant loading'!I97</f>
        <v>3.2</v>
      </c>
      <c r="I87" s="595" t="n">
        <f aca="false">'Plant loading'!J97</f>
        <v>57</v>
      </c>
      <c r="J87" s="872" t="n">
        <f aca="false">D87/(G87*((H87*1000)/58))</f>
        <v>0.169166666666667</v>
      </c>
      <c r="K87" s="872" t="n">
        <v>0.5</v>
      </c>
      <c r="L87" s="873" t="n">
        <f aca="false">ROUNDDOWN((H87*1000/58),0)</f>
        <v>55</v>
      </c>
      <c r="M87" s="595" t="n">
        <f aca="false">L87*K87</f>
        <v>27.5</v>
      </c>
      <c r="N87" s="595" t="n">
        <f aca="false">ROUNDUP((E87/M87),0)</f>
        <v>7</v>
      </c>
      <c r="O87" s="595" t="n">
        <f aca="false">N87*L87</f>
        <v>385</v>
      </c>
      <c r="P87" s="450" t="n">
        <f aca="false">O87-L87</f>
        <v>330</v>
      </c>
      <c r="Q87" s="595" t="n">
        <f aca="false">O87+(L87*K87)</f>
        <v>412.5</v>
      </c>
      <c r="R87" s="595" t="n">
        <f aca="false">ROUNDUP((P87-E87)/L87*100,0)</f>
        <v>295</v>
      </c>
      <c r="S87" s="595" t="n">
        <f aca="false">ROUNDUP((Q87-E87)/(L87)*100,0)</f>
        <v>445</v>
      </c>
    </row>
    <row r="88" customFormat="false" ht="10.15" hidden="false" customHeight="false" outlineLevel="0" collapsed="false">
      <c r="A88" s="0" t="str">
        <f aca="false">'Plant loading'!A98</f>
        <v>Cardiff</v>
      </c>
      <c r="B88" s="595" t="str">
        <f aca="false">'Plant loading'!B98</f>
        <v>PEECF</v>
      </c>
      <c r="C88" s="595" t="str">
        <f aca="false">'Plant loading'!C98</f>
        <v>NetSure</v>
      </c>
      <c r="D88" s="595" t="n">
        <f aca="false">'Plant loading'!D98</f>
        <v>203</v>
      </c>
      <c r="E88" s="595" t="n">
        <f aca="false">'Plant loading'!E98</f>
        <v>204</v>
      </c>
      <c r="F88" s="595" t="n">
        <f aca="false">'Plant loading'!G98</f>
        <v>0.34966814159292</v>
      </c>
      <c r="G88" s="595" t="n">
        <f aca="false">'Plant loading'!H98</f>
        <v>18</v>
      </c>
      <c r="H88" s="595" t="n">
        <f aca="false">'Plant loading'!I98</f>
        <v>3.2</v>
      </c>
      <c r="I88" s="595" t="n">
        <f aca="false">'Plant loading'!J98</f>
        <v>57</v>
      </c>
      <c r="J88" s="872" t="n">
        <f aca="false">D88/(G88*((H88*1000)/58))</f>
        <v>0.204409722222222</v>
      </c>
      <c r="K88" s="872" t="n">
        <v>0.5</v>
      </c>
      <c r="L88" s="873" t="n">
        <f aca="false">ROUNDDOWN((H88*1000/58),0)</f>
        <v>55</v>
      </c>
      <c r="M88" s="595" t="n">
        <f aca="false">L88*K88</f>
        <v>27.5</v>
      </c>
      <c r="N88" s="595" t="n">
        <f aca="false">ROUNDUP((E88/M88),0)</f>
        <v>8</v>
      </c>
      <c r="O88" s="595" t="n">
        <f aca="false">N88*L88</f>
        <v>440</v>
      </c>
      <c r="P88" s="450" t="n">
        <f aca="false">O88-L88</f>
        <v>385</v>
      </c>
      <c r="Q88" s="595" t="n">
        <f aca="false">O88+(L88*K88)</f>
        <v>467.5</v>
      </c>
      <c r="R88" s="595" t="n">
        <f aca="false">ROUNDUP((P88-E88)/L88*100,0)</f>
        <v>330</v>
      </c>
      <c r="S88" s="595" t="n">
        <f aca="false">ROUNDUP((Q88-E88)/(L88)*100,0)</f>
        <v>480</v>
      </c>
    </row>
    <row r="89" customFormat="false" ht="10.15" hidden="false" customHeight="false" outlineLevel="0" collapsed="false">
      <c r="A89" s="0" t="str">
        <f aca="false">'Plant loading'!A99</f>
        <v>Carlisle</v>
      </c>
      <c r="B89" s="595" t="str">
        <f aca="false">'Plant loading'!B99</f>
        <v>PEACE</v>
      </c>
      <c r="C89" s="595" t="str">
        <f aca="false">'Plant loading'!C99</f>
        <v>NetSure</v>
      </c>
      <c r="D89" s="595" t="n">
        <f aca="false">'Plant loading'!D99</f>
        <v>382</v>
      </c>
      <c r="E89" s="595" t="n">
        <f aca="false">'Plant loading'!E99</f>
        <v>377</v>
      </c>
      <c r="F89" s="595" t="n">
        <f aca="false">'Plant loading'!G99</f>
        <v>44.0905</v>
      </c>
      <c r="G89" s="595" t="n">
        <f aca="false">'Plant loading'!H99</f>
        <v>36</v>
      </c>
      <c r="H89" s="595" t="n">
        <f aca="false">'Plant loading'!I99</f>
        <v>3.2</v>
      </c>
      <c r="I89" s="595" t="n">
        <f aca="false">'Plant loading'!J99</f>
        <v>115</v>
      </c>
      <c r="J89" s="872" t="n">
        <f aca="false">D89/(G89*((H89*1000)/58))</f>
        <v>0.192326388888889</v>
      </c>
      <c r="K89" s="872" t="n">
        <v>0.5</v>
      </c>
      <c r="L89" s="873" t="n">
        <f aca="false">ROUNDDOWN((H89*1000/58),0)</f>
        <v>55</v>
      </c>
      <c r="M89" s="595" t="n">
        <f aca="false">L89*K89</f>
        <v>27.5</v>
      </c>
      <c r="N89" s="595" t="n">
        <f aca="false">ROUNDUP((E89/M89),0)</f>
        <v>14</v>
      </c>
      <c r="O89" s="595" t="n">
        <f aca="false">N89*L89</f>
        <v>770</v>
      </c>
      <c r="P89" s="450" t="n">
        <f aca="false">O89-L89</f>
        <v>715</v>
      </c>
      <c r="Q89" s="595" t="n">
        <f aca="false">O89+(L89*K89)</f>
        <v>797.5</v>
      </c>
      <c r="R89" s="595" t="n">
        <f aca="false">ROUNDUP((P89-E89)/L89*100,0)</f>
        <v>615</v>
      </c>
      <c r="S89" s="595" t="n">
        <f aca="false">ROUNDUP((Q89-E89)/(L89)*100,0)</f>
        <v>765</v>
      </c>
    </row>
    <row r="90" customFormat="false" ht="10.15" hidden="false" customHeight="false" outlineLevel="0" collapsed="false">
      <c r="A90" s="0" t="str">
        <f aca="false">'Plant loading'!A100</f>
        <v>Carlisle</v>
      </c>
      <c r="B90" s="595" t="str">
        <f aca="false">'Plant loading'!B100</f>
        <v>PEBCE</v>
      </c>
      <c r="C90" s="595" t="str">
        <f aca="false">'Plant loading'!C100</f>
        <v>NetSure</v>
      </c>
      <c r="D90" s="595" t="n">
        <f aca="false">'Plant loading'!D100</f>
        <v>426</v>
      </c>
      <c r="E90" s="595" t="n">
        <f aca="false">'Plant loading'!E100</f>
        <v>432</v>
      </c>
      <c r="F90" s="595" t="n">
        <f aca="false">'Plant loading'!G100</f>
        <v>0.612368055555556</v>
      </c>
      <c r="G90" s="595" t="n">
        <f aca="false">'Plant loading'!H100</f>
        <v>36</v>
      </c>
      <c r="H90" s="595" t="n">
        <f aca="false">'Plant loading'!I100</f>
        <v>3.2</v>
      </c>
      <c r="I90" s="595" t="n">
        <f aca="false">'Plant loading'!J100</f>
        <v>115</v>
      </c>
      <c r="J90" s="872" t="n">
        <f aca="false">D90/(G90*((H90*1000)/58))</f>
        <v>0.214479166666667</v>
      </c>
      <c r="K90" s="872" t="n">
        <v>0.5</v>
      </c>
      <c r="L90" s="873" t="n">
        <f aca="false">ROUNDDOWN((H90*1000/58),0)</f>
        <v>55</v>
      </c>
      <c r="M90" s="595" t="n">
        <f aca="false">L90*K90</f>
        <v>27.5</v>
      </c>
      <c r="N90" s="595" t="n">
        <f aca="false">ROUNDUP((E90/M90),0)</f>
        <v>16</v>
      </c>
      <c r="O90" s="595" t="n">
        <f aca="false">N90*L90</f>
        <v>880</v>
      </c>
      <c r="P90" s="450" t="n">
        <f aca="false">O90-L90</f>
        <v>825</v>
      </c>
      <c r="Q90" s="595" t="n">
        <f aca="false">O90+(L90*K90)</f>
        <v>907.5</v>
      </c>
      <c r="R90" s="595" t="n">
        <f aca="false">ROUNDUP((P90-E90)/L90*100,0)</f>
        <v>715</v>
      </c>
      <c r="S90" s="595" t="n">
        <f aca="false">ROUNDUP((Q90-E90)/(L90)*100,0)</f>
        <v>865</v>
      </c>
    </row>
    <row r="91" customFormat="false" ht="10.15" hidden="false" customHeight="false" outlineLevel="0" collapsed="false">
      <c r="A91" s="0" t="str">
        <f aca="false">'Plant loading'!A101</f>
        <v>Croydon</v>
      </c>
      <c r="B91" s="595" t="str">
        <f aca="false">'Plant loading'!B101</f>
        <v>PEFCN</v>
      </c>
      <c r="C91" s="595" t="str">
        <f aca="false">'Plant loading'!C101</f>
        <v>NetSure</v>
      </c>
      <c r="D91" s="595" t="n">
        <f aca="false">'Plant loading'!D101</f>
        <v>260</v>
      </c>
      <c r="E91" s="595" t="n">
        <f aca="false">'Plant loading'!E101</f>
        <v>261</v>
      </c>
      <c r="F91" s="595" t="n">
        <f aca="false">'Plant loading'!G101</f>
        <v>33.136</v>
      </c>
      <c r="G91" s="595" t="n">
        <f aca="false">'Plant loading'!H101</f>
        <v>36</v>
      </c>
      <c r="H91" s="595" t="n">
        <f aca="false">'Plant loading'!I101</f>
        <v>3.2</v>
      </c>
      <c r="I91" s="595" t="n">
        <f aca="false">'Plant loading'!J101</f>
        <v>115</v>
      </c>
      <c r="J91" s="872" t="n">
        <f aca="false">D91/(G91*((H91*1000)/58))</f>
        <v>0.130902777777778</v>
      </c>
      <c r="K91" s="872" t="n">
        <v>0.5</v>
      </c>
      <c r="L91" s="873" t="n">
        <f aca="false">ROUNDDOWN((H91*1000/58),0)</f>
        <v>55</v>
      </c>
      <c r="M91" s="595" t="n">
        <f aca="false">L91*K91</f>
        <v>27.5</v>
      </c>
      <c r="N91" s="595" t="n">
        <f aca="false">ROUNDUP((E91/M91),0)</f>
        <v>10</v>
      </c>
      <c r="O91" s="595" t="n">
        <f aca="false">N91*L91</f>
        <v>550</v>
      </c>
      <c r="P91" s="450" t="n">
        <f aca="false">O91-L91</f>
        <v>495</v>
      </c>
      <c r="Q91" s="595" t="n">
        <f aca="false">O91+(L91*K91)</f>
        <v>577.5</v>
      </c>
      <c r="R91" s="595" t="n">
        <f aca="false">ROUNDUP((P91-E91)/L91*100,0)</f>
        <v>426</v>
      </c>
      <c r="S91" s="595" t="n">
        <f aca="false">ROUNDUP((Q91-E91)/(L91)*100,0)</f>
        <v>576</v>
      </c>
    </row>
    <row r="92" customFormat="false" ht="10.15" hidden="false" customHeight="false" outlineLevel="0" collapsed="false">
      <c r="A92" s="0" t="str">
        <f aca="false">'Plant loading'!A102</f>
        <v>Croydon</v>
      </c>
      <c r="B92" s="595" t="str">
        <f aca="false">'Plant loading'!B102</f>
        <v>PEGCN</v>
      </c>
      <c r="C92" s="595" t="str">
        <f aca="false">'Plant loading'!C102</f>
        <v>NetSure</v>
      </c>
      <c r="D92" s="595" t="n">
        <f aca="false">'Plant loading'!D102</f>
        <v>354</v>
      </c>
      <c r="E92" s="595" t="n">
        <f aca="false">'Plant loading'!E102</f>
        <v>347</v>
      </c>
      <c r="F92" s="595" t="n">
        <f aca="false">'Plant loading'!G102</f>
        <v>0.290666666666667</v>
      </c>
      <c r="G92" s="595" t="n">
        <f aca="false">'Plant loading'!H102</f>
        <v>36</v>
      </c>
      <c r="H92" s="595" t="n">
        <f aca="false">'Plant loading'!I102</f>
        <v>3.2</v>
      </c>
      <c r="I92" s="595" t="n">
        <f aca="false">'Plant loading'!J102</f>
        <v>115</v>
      </c>
      <c r="J92" s="872" t="n">
        <f aca="false">D92/(G92*((H92*1000)/58))</f>
        <v>0.178229166666667</v>
      </c>
      <c r="K92" s="872" t="n">
        <v>0.5</v>
      </c>
      <c r="L92" s="873" t="n">
        <f aca="false">ROUNDDOWN((H92*1000/58),0)</f>
        <v>55</v>
      </c>
      <c r="M92" s="595" t="n">
        <f aca="false">L92*K92</f>
        <v>27.5</v>
      </c>
      <c r="N92" s="595" t="n">
        <f aca="false">ROUNDUP((E92/M92),0)</f>
        <v>13</v>
      </c>
      <c r="O92" s="595" t="n">
        <f aca="false">N92*L92</f>
        <v>715</v>
      </c>
      <c r="P92" s="450" t="n">
        <f aca="false">O92-L92</f>
        <v>660</v>
      </c>
      <c r="Q92" s="595" t="n">
        <f aca="false">O92+(L92*K92)</f>
        <v>742.5</v>
      </c>
      <c r="R92" s="595" t="n">
        <f aca="false">ROUNDUP((P92-E92)/L92*100,0)</f>
        <v>570</v>
      </c>
      <c r="S92" s="595" t="n">
        <f aca="false">ROUNDUP((Q92-E92)/(L92)*100,0)</f>
        <v>720</v>
      </c>
    </row>
    <row r="93" customFormat="false" ht="10.15" hidden="false" customHeight="false" outlineLevel="0" collapsed="false">
      <c r="A93" s="0" t="str">
        <f aca="false">'Plant loading'!A103</f>
        <v>Glasgow TXO</v>
      </c>
      <c r="B93" s="595" t="str">
        <f aca="false">'Plant loading'!B103</f>
        <v>PEJGW</v>
      </c>
      <c r="C93" s="595" t="str">
        <f aca="false">'Plant loading'!C103</f>
        <v>eSure</v>
      </c>
      <c r="D93" s="595" t="n">
        <f aca="false">'Plant loading'!D103</f>
        <v>93</v>
      </c>
      <c r="E93" s="595" t="n">
        <f aca="false">'Plant loading'!E103</f>
        <v>92</v>
      </c>
      <c r="F93" s="595" t="n">
        <f aca="false">'Plant loading'!G103</f>
        <v>9.7555</v>
      </c>
      <c r="G93" s="595" t="n">
        <f aca="false">'Plant loading'!H103</f>
        <v>9</v>
      </c>
      <c r="H93" s="595" t="n">
        <f aca="false">'Plant loading'!I103</f>
        <v>3.5</v>
      </c>
      <c r="I93" s="595" t="n">
        <f aca="false">'Plant loading'!J103</f>
        <v>31</v>
      </c>
      <c r="J93" s="872" t="n">
        <f aca="false">D93/(G93*((H93*1000)/58))</f>
        <v>0.171238095238095</v>
      </c>
      <c r="K93" s="872" t="n">
        <v>0.5</v>
      </c>
      <c r="L93" s="873" t="n">
        <f aca="false">ROUNDDOWN((H93*1000/58),0)</f>
        <v>60</v>
      </c>
      <c r="M93" s="595" t="n">
        <f aca="false">L93*K93</f>
        <v>30</v>
      </c>
      <c r="N93" s="595" t="n">
        <f aca="false">ROUNDUP((E93/M93),0)</f>
        <v>4</v>
      </c>
      <c r="O93" s="595" t="n">
        <f aca="false">N93*L93</f>
        <v>240</v>
      </c>
      <c r="P93" s="450" t="n">
        <f aca="false">O93-L93</f>
        <v>180</v>
      </c>
      <c r="Q93" s="595" t="n">
        <f aca="false">O93+(L93*K93)</f>
        <v>270</v>
      </c>
      <c r="R93" s="595" t="n">
        <f aca="false">ROUNDUP((P93-E93)/L93*100,0)</f>
        <v>147</v>
      </c>
      <c r="S93" s="595" t="n">
        <f aca="false">ROUNDUP((Q93-E93)/(L93)*100,0)</f>
        <v>297</v>
      </c>
    </row>
    <row r="94" customFormat="false" ht="10.15" hidden="false" customHeight="false" outlineLevel="0" collapsed="false">
      <c r="A94" s="0" t="str">
        <f aca="false">'Plant loading'!A104</f>
        <v>Glasgow TXO</v>
      </c>
      <c r="B94" s="595" t="str">
        <f aca="false">'Plant loading'!B104</f>
        <v>PEKGW</v>
      </c>
      <c r="C94" s="595" t="str">
        <f aca="false">'Plant loading'!C104</f>
        <v>eSure</v>
      </c>
      <c r="D94" s="595" t="n">
        <f aca="false">'Plant loading'!D104</f>
        <v>85</v>
      </c>
      <c r="E94" s="595" t="n">
        <f aca="false">'Plant loading'!E104</f>
        <v>87</v>
      </c>
      <c r="F94" s="595" t="n">
        <f aca="false">'Plant loading'!G104</f>
        <v>0.232273809523809</v>
      </c>
      <c r="G94" s="595" t="n">
        <f aca="false">'Plant loading'!H104</f>
        <v>9</v>
      </c>
      <c r="H94" s="595" t="n">
        <f aca="false">'Plant loading'!I104</f>
        <v>3.5</v>
      </c>
      <c r="I94" s="595" t="n">
        <f aca="false">'Plant loading'!J104</f>
        <v>31</v>
      </c>
      <c r="J94" s="872" t="n">
        <f aca="false">D94/(G94*((H94*1000)/58))</f>
        <v>0.156507936507937</v>
      </c>
      <c r="K94" s="872" t="n">
        <v>0.5</v>
      </c>
      <c r="L94" s="873" t="n">
        <f aca="false">ROUNDDOWN((H94*1000/58),0)</f>
        <v>60</v>
      </c>
      <c r="M94" s="595" t="n">
        <f aca="false">L94*K94</f>
        <v>30</v>
      </c>
      <c r="N94" s="595" t="n">
        <f aca="false">ROUNDUP((E94/M94),0)</f>
        <v>3</v>
      </c>
      <c r="O94" s="595" t="n">
        <f aca="false">N94*L94</f>
        <v>180</v>
      </c>
      <c r="P94" s="450" t="n">
        <f aca="false">O94-L94</f>
        <v>120</v>
      </c>
      <c r="Q94" s="595" t="n">
        <f aca="false">O94+(L94*K94)</f>
        <v>210</v>
      </c>
      <c r="R94" s="595" t="n">
        <f aca="false">ROUNDUP((P94-E94)/L94*100,0)</f>
        <v>55</v>
      </c>
      <c r="S94" s="595" t="n">
        <f aca="false">ROUNDUP((Q94-E94)/(L94)*100,0)</f>
        <v>205</v>
      </c>
    </row>
    <row r="95" customFormat="false" ht="10.15" hidden="false" customHeight="false" outlineLevel="0" collapsed="false">
      <c r="A95" s="0" t="e">
        <f aca="false">'plant loading'!#ref!</f>
        <v>#VALUE!</v>
      </c>
      <c r="B95" s="595" t="e">
        <f aca="false">'plant loading'!#ref!</f>
        <v>#VALUE!</v>
      </c>
      <c r="C95" s="595" t="e">
        <f aca="false">'plant loading'!#ref!</f>
        <v>#VALUE!</v>
      </c>
      <c r="D95" s="595" t="e">
        <f aca="false">'plant loading'!#ref!</f>
        <v>#VALUE!</v>
      </c>
      <c r="E95" s="595" t="e">
        <f aca="false">'plant loading'!#ref!</f>
        <v>#VALUE!</v>
      </c>
      <c r="F95" s="595" t="e">
        <f aca="false">'plant loading'!#ref!</f>
        <v>#VALUE!</v>
      </c>
      <c r="G95" s="595" t="e">
        <f aca="false">'plant loading'!#ref!</f>
        <v>#VALUE!</v>
      </c>
      <c r="H95" s="595" t="e">
        <f aca="false">'plant loading'!#ref!</f>
        <v>#VALUE!</v>
      </c>
      <c r="I95" s="595" t="e">
        <f aca="false">'plant loading'!#ref!</f>
        <v>#VALUE!</v>
      </c>
      <c r="J95" s="872" t="e">
        <f aca="false">D95/(G95*((H95*1000)/58))</f>
        <v>#VALUE!</v>
      </c>
      <c r="K95" s="872" t="n">
        <v>0.5</v>
      </c>
      <c r="L95" s="873" t="e">
        <f aca="false">ROUNDDOWN((H95*1000/58),0)</f>
        <v>#VALUE!</v>
      </c>
      <c r="M95" s="595" t="e">
        <f aca="false">L95*K95</f>
        <v>#VALUE!</v>
      </c>
      <c r="N95" s="595" t="e">
        <f aca="false">ROUNDUP((E95/M95),0)</f>
        <v>#VALUE!</v>
      </c>
      <c r="O95" s="595" t="e">
        <f aca="false">N95*L95</f>
        <v>#VALUE!</v>
      </c>
      <c r="P95" s="450" t="e">
        <f aca="false">O95-L95</f>
        <v>#VALUE!</v>
      </c>
      <c r="Q95" s="595" t="e">
        <f aca="false">O95+(L95*K95)</f>
        <v>#VALUE!</v>
      </c>
      <c r="R95" s="595" t="e">
        <f aca="false">ROUNDUP((P95-E95)/L95*100,0)</f>
        <v>#VALUE!</v>
      </c>
      <c r="S95" s="595" t="e">
        <f aca="false">ROUNDUP((Q95-E95)/(L95)*100,0)</f>
        <v>#VALUE!</v>
      </c>
    </row>
    <row r="96" customFormat="false" ht="10.15" hidden="false" customHeight="false" outlineLevel="0" collapsed="false">
      <c r="A96" s="0" t="e">
        <f aca="false">'plant loading'!#ref!</f>
        <v>#VALUE!</v>
      </c>
      <c r="B96" s="595" t="e">
        <f aca="false">'plant loading'!#ref!</f>
        <v>#VALUE!</v>
      </c>
      <c r="C96" s="595" t="e">
        <f aca="false">'plant loading'!#ref!</f>
        <v>#VALUE!</v>
      </c>
      <c r="D96" s="595" t="e">
        <f aca="false">'plant loading'!#ref!</f>
        <v>#VALUE!</v>
      </c>
      <c r="E96" s="595" t="e">
        <f aca="false">'plant loading'!#ref!</f>
        <v>#VALUE!</v>
      </c>
      <c r="F96" s="595" t="e">
        <f aca="false">'plant loading'!#ref!</f>
        <v>#VALUE!</v>
      </c>
      <c r="G96" s="595" t="e">
        <f aca="false">'plant loading'!#ref!</f>
        <v>#VALUE!</v>
      </c>
      <c r="H96" s="595" t="e">
        <f aca="false">'plant loading'!#ref!</f>
        <v>#VALUE!</v>
      </c>
      <c r="I96" s="595" t="e">
        <f aca="false">'plant loading'!#ref!</f>
        <v>#VALUE!</v>
      </c>
      <c r="J96" s="872" t="e">
        <f aca="false">D96/(G96*((H96*1000)/58))</f>
        <v>#VALUE!</v>
      </c>
      <c r="K96" s="872" t="n">
        <v>0.5</v>
      </c>
      <c r="L96" s="873" t="e">
        <f aca="false">ROUNDDOWN((H96*1000/58),0)</f>
        <v>#VALUE!</v>
      </c>
      <c r="M96" s="595" t="e">
        <f aca="false">L96*K96</f>
        <v>#VALUE!</v>
      </c>
      <c r="N96" s="595" t="e">
        <f aca="false">ROUNDUP((E96/M96),0)</f>
        <v>#VALUE!</v>
      </c>
      <c r="O96" s="595" t="e">
        <f aca="false">N96*L96</f>
        <v>#VALUE!</v>
      </c>
      <c r="P96" s="450" t="e">
        <f aca="false">O96-L96</f>
        <v>#VALUE!</v>
      </c>
      <c r="Q96" s="595" t="e">
        <f aca="false">O96+(L96*K96)</f>
        <v>#VALUE!</v>
      </c>
      <c r="R96" s="595" t="e">
        <f aca="false">ROUNDUP((P96-E96)/L96*100,0)</f>
        <v>#VALUE!</v>
      </c>
      <c r="S96" s="595" t="e">
        <f aca="false">ROUNDUP((Q96-E96)/(L96)*100,0)</f>
        <v>#VALUE!</v>
      </c>
    </row>
    <row r="97" customFormat="false" ht="10.15" hidden="false" customHeight="false" outlineLevel="0" collapsed="false">
      <c r="A97" s="0" t="e">
        <f aca="false">'plant loading'!#ref!</f>
        <v>#VALUE!</v>
      </c>
      <c r="B97" s="595" t="e">
        <f aca="false">'plant loading'!#ref!</f>
        <v>#VALUE!</v>
      </c>
      <c r="C97" s="595" t="e">
        <f aca="false">'plant loading'!#ref!</f>
        <v>#VALUE!</v>
      </c>
      <c r="D97" s="595" t="e">
        <f aca="false">'plant loading'!#ref!</f>
        <v>#VALUE!</v>
      </c>
      <c r="E97" s="595" t="e">
        <f aca="false">'plant loading'!#ref!</f>
        <v>#VALUE!</v>
      </c>
      <c r="F97" s="595" t="e">
        <f aca="false">'plant loading'!#ref!</f>
        <v>#VALUE!</v>
      </c>
      <c r="G97" s="595" t="e">
        <f aca="false">'plant loading'!#ref!</f>
        <v>#VALUE!</v>
      </c>
      <c r="H97" s="595" t="e">
        <f aca="false">'plant loading'!#ref!</f>
        <v>#VALUE!</v>
      </c>
      <c r="I97" s="595" t="e">
        <f aca="false">'plant loading'!#ref!</f>
        <v>#VALUE!</v>
      </c>
      <c r="J97" s="872" t="e">
        <f aca="false">D97/(G97*((H97*1000)/58))</f>
        <v>#VALUE!</v>
      </c>
      <c r="K97" s="872" t="n">
        <v>0.5</v>
      </c>
      <c r="L97" s="873" t="e">
        <f aca="false">ROUNDDOWN((H97*1000/58),0)</f>
        <v>#VALUE!</v>
      </c>
      <c r="M97" s="595" t="e">
        <f aca="false">L97*K97</f>
        <v>#VALUE!</v>
      </c>
      <c r="N97" s="595" t="e">
        <f aca="false">ROUNDUP((E97/M97),0)</f>
        <v>#VALUE!</v>
      </c>
      <c r="O97" s="595" t="e">
        <f aca="false">N97*L97</f>
        <v>#VALUE!</v>
      </c>
      <c r="P97" s="450" t="e">
        <f aca="false">O97-L97</f>
        <v>#VALUE!</v>
      </c>
      <c r="Q97" s="595" t="e">
        <f aca="false">O97+(L97*K97)</f>
        <v>#VALUE!</v>
      </c>
      <c r="R97" s="595" t="e">
        <f aca="false">ROUNDUP((P97-E97)/L97*100,0)</f>
        <v>#VALUE!</v>
      </c>
      <c r="S97" s="595" t="e">
        <f aca="false">ROUNDUP((Q97-E97)/(L97)*100,0)</f>
        <v>#VALUE!</v>
      </c>
    </row>
    <row r="98" customFormat="false" ht="10.15" hidden="false" customHeight="false" outlineLevel="0" collapsed="false">
      <c r="A98" s="0" t="e">
        <f aca="false">'plant loading'!#ref!</f>
        <v>#VALUE!</v>
      </c>
      <c r="B98" s="595" t="e">
        <f aca="false">'plant loading'!#ref!</f>
        <v>#VALUE!</v>
      </c>
      <c r="C98" s="595" t="e">
        <f aca="false">'plant loading'!#ref!</f>
        <v>#VALUE!</v>
      </c>
      <c r="D98" s="595" t="e">
        <f aca="false">'plant loading'!#ref!</f>
        <v>#VALUE!</v>
      </c>
      <c r="E98" s="595" t="e">
        <f aca="false">'plant loading'!#ref!</f>
        <v>#VALUE!</v>
      </c>
      <c r="F98" s="595" t="e">
        <f aca="false">'plant loading'!#ref!</f>
        <v>#VALUE!</v>
      </c>
      <c r="G98" s="595" t="e">
        <f aca="false">'plant loading'!#ref!</f>
        <v>#VALUE!</v>
      </c>
      <c r="H98" s="595" t="e">
        <f aca="false">'plant loading'!#ref!</f>
        <v>#VALUE!</v>
      </c>
      <c r="I98" s="595" t="e">
        <f aca="false">'plant loading'!#ref!</f>
        <v>#VALUE!</v>
      </c>
      <c r="J98" s="872" t="e">
        <f aca="false">D98/(G98*((H98*1000)/58))</f>
        <v>#VALUE!</v>
      </c>
      <c r="K98" s="872" t="n">
        <v>0.5</v>
      </c>
      <c r="L98" s="873" t="e">
        <f aca="false">ROUNDDOWN((H98*1000/58),0)</f>
        <v>#VALUE!</v>
      </c>
      <c r="M98" s="595" t="e">
        <f aca="false">L98*K98</f>
        <v>#VALUE!</v>
      </c>
      <c r="N98" s="595" t="e">
        <f aca="false">ROUNDUP((E98/M98),0)</f>
        <v>#VALUE!</v>
      </c>
      <c r="O98" s="595" t="e">
        <f aca="false">N98*L98</f>
        <v>#VALUE!</v>
      </c>
      <c r="P98" s="450" t="e">
        <f aca="false">O98-L98</f>
        <v>#VALUE!</v>
      </c>
      <c r="Q98" s="595" t="e">
        <f aca="false">O98+(L98*K98)</f>
        <v>#VALUE!</v>
      </c>
      <c r="R98" s="595" t="e">
        <f aca="false">ROUNDUP((P98-E98)/L98*100,0)</f>
        <v>#VALUE!</v>
      </c>
      <c r="S98" s="595" t="e">
        <f aca="false">ROUNDUP((Q98-E98)/(L98)*100,0)</f>
        <v>#VALUE!</v>
      </c>
    </row>
    <row r="99" customFormat="false" ht="10.15" hidden="false" customHeight="false" outlineLevel="0" collapsed="false">
      <c r="A99" s="0" t="str">
        <f aca="false">'Plant loading'!A105</f>
        <v>Leicester</v>
      </c>
      <c r="B99" s="595" t="str">
        <f aca="false">'Plant loading'!B105</f>
        <v>PEFLR</v>
      </c>
      <c r="C99" s="595" t="str">
        <f aca="false">'Plant loading'!C105</f>
        <v>NetSure</v>
      </c>
      <c r="D99" s="595" t="n">
        <f aca="false">'Plant loading'!D105</f>
        <v>545</v>
      </c>
      <c r="E99" s="595" t="n">
        <f aca="false">'Plant loading'!E105</f>
        <v>546</v>
      </c>
      <c r="F99" s="595" t="n">
        <f aca="false">'Plant loading'!G105</f>
        <v>54.5545</v>
      </c>
      <c r="G99" s="595" t="n">
        <f aca="false">'Plant loading'!H105</f>
        <v>36</v>
      </c>
      <c r="H99" s="595" t="n">
        <f aca="false">'Plant loading'!I105</f>
        <v>3.2</v>
      </c>
      <c r="I99" s="595" t="n">
        <f aca="false">'Plant loading'!J105</f>
        <v>115</v>
      </c>
      <c r="J99" s="872" t="n">
        <f aca="false">D99/(G99*((H99*1000)/58))</f>
        <v>0.274392361111111</v>
      </c>
      <c r="K99" s="872" t="n">
        <v>0.5</v>
      </c>
      <c r="L99" s="873" t="n">
        <f aca="false">ROUNDDOWN((H99*1000/58),0)</f>
        <v>55</v>
      </c>
      <c r="M99" s="595" t="n">
        <f aca="false">L99*K99</f>
        <v>27.5</v>
      </c>
      <c r="N99" s="595" t="n">
        <f aca="false">ROUNDUP((E99/M99),0)</f>
        <v>20</v>
      </c>
      <c r="O99" s="595" t="n">
        <f aca="false">N99*L99</f>
        <v>1100</v>
      </c>
      <c r="P99" s="450" t="n">
        <f aca="false">O99-L99</f>
        <v>1045</v>
      </c>
      <c r="Q99" s="595" t="n">
        <f aca="false">O99+(L99*K99)</f>
        <v>1127.5</v>
      </c>
      <c r="R99" s="595" t="n">
        <f aca="false">ROUNDUP((P99-E99)/L99*100,0)</f>
        <v>908</v>
      </c>
      <c r="S99" s="595" t="n">
        <f aca="false">ROUNDUP((Q99-E99)/(L99)*100,0)</f>
        <v>1058</v>
      </c>
    </row>
    <row r="100" customFormat="false" ht="10.15" hidden="false" customHeight="false" outlineLevel="0" collapsed="false">
      <c r="A100" s="0" t="str">
        <f aca="false">'Plant loading'!A106</f>
        <v>Leicester</v>
      </c>
      <c r="B100" s="595" t="str">
        <f aca="false">'Plant loading'!B106</f>
        <v>PEGLR</v>
      </c>
      <c r="C100" s="595" t="str">
        <f aca="false">'Plant loading'!C106</f>
        <v>NetSure</v>
      </c>
      <c r="D100" s="595" t="n">
        <f aca="false">'Plant loading'!D106</f>
        <v>456</v>
      </c>
      <c r="E100" s="595" t="n">
        <f aca="false">'Plant loading'!E106</f>
        <v>455</v>
      </c>
      <c r="F100" s="595" t="n">
        <f aca="false">'Plant loading'!G106</f>
        <v>0.478548245614035</v>
      </c>
      <c r="G100" s="595" t="n">
        <f aca="false">'Plant loading'!H106</f>
        <v>36</v>
      </c>
      <c r="H100" s="595" t="n">
        <f aca="false">'Plant loading'!I106</f>
        <v>3.2</v>
      </c>
      <c r="I100" s="595" t="n">
        <f aca="false">'Plant loading'!J106</f>
        <v>115</v>
      </c>
      <c r="J100" s="872" t="n">
        <f aca="false">D100/(G100*((H100*1000)/58))</f>
        <v>0.229583333333333</v>
      </c>
      <c r="K100" s="872" t="n">
        <v>0.5</v>
      </c>
      <c r="L100" s="873" t="n">
        <f aca="false">ROUNDDOWN((H100*1000/58),0)</f>
        <v>55</v>
      </c>
      <c r="M100" s="595" t="n">
        <f aca="false">L100*K100</f>
        <v>27.5</v>
      </c>
      <c r="N100" s="595" t="n">
        <f aca="false">ROUNDUP((E100/M100),0)</f>
        <v>17</v>
      </c>
      <c r="O100" s="595" t="n">
        <f aca="false">N100*L100</f>
        <v>935</v>
      </c>
      <c r="P100" s="450" t="n">
        <f aca="false">O100-L100</f>
        <v>880</v>
      </c>
      <c r="Q100" s="595" t="n">
        <f aca="false">O100+(L100*K100)</f>
        <v>962.5</v>
      </c>
      <c r="R100" s="595" t="n">
        <f aca="false">ROUNDUP((P100-E100)/L100*100,0)</f>
        <v>773</v>
      </c>
      <c r="S100" s="595" t="n">
        <f aca="false">ROUNDUP((Q100-E100)/(L100)*100,0)</f>
        <v>923</v>
      </c>
    </row>
    <row r="101" customFormat="false" ht="10.15" hidden="false" customHeight="false" outlineLevel="0" collapsed="false">
      <c r="A101" s="0" t="str">
        <f aca="false">'Plant loading'!A107</f>
        <v>Newbury</v>
      </c>
      <c r="B101" s="595" t="str">
        <f aca="false">'Plant loading'!B107</f>
        <v>PEGNY</v>
      </c>
      <c r="C101" s="595" t="str">
        <f aca="false">'Plant loading'!C107</f>
        <v>NetSure</v>
      </c>
      <c r="D101" s="595" t="n">
        <f aca="false">'Plant loading'!D107</f>
        <v>276</v>
      </c>
      <c r="E101" s="595" t="n">
        <f aca="false">'Plant loading'!E107</f>
        <v>276</v>
      </c>
      <c r="F101" s="595" t="n">
        <f aca="false">'Plant loading'!G107</f>
        <v>29.212</v>
      </c>
      <c r="G101" s="595" t="n">
        <f aca="false">'Plant loading'!H107</f>
        <v>36</v>
      </c>
      <c r="H101" s="595" t="n">
        <f aca="false">'Plant loading'!I107</f>
        <v>3.2</v>
      </c>
      <c r="I101" s="595" t="n">
        <f aca="false">'Plant loading'!J107</f>
        <v>115</v>
      </c>
      <c r="J101" s="872" t="n">
        <f aca="false">D101/(G101*((H101*1000)/58))</f>
        <v>0.138958333333333</v>
      </c>
      <c r="K101" s="872" t="n">
        <v>0.5</v>
      </c>
      <c r="L101" s="873" t="n">
        <f aca="false">ROUNDDOWN((H101*1000/58),0)</f>
        <v>55</v>
      </c>
      <c r="M101" s="595" t="n">
        <f aca="false">L101*K101</f>
        <v>27.5</v>
      </c>
      <c r="N101" s="595" t="n">
        <f aca="false">ROUNDUP((E101/M101),0)</f>
        <v>11</v>
      </c>
      <c r="O101" s="595" t="n">
        <f aca="false">N101*L101</f>
        <v>605</v>
      </c>
      <c r="P101" s="450" t="n">
        <f aca="false">O101-L101</f>
        <v>550</v>
      </c>
      <c r="Q101" s="595" t="n">
        <f aca="false">O101+(L101*K101)</f>
        <v>632.5</v>
      </c>
      <c r="R101" s="595" t="n">
        <f aca="false">ROUNDUP((P101-E101)/L101*100,0)</f>
        <v>499</v>
      </c>
      <c r="S101" s="595" t="n">
        <f aca="false">ROUNDUP((Q101-E101)/(L101)*100,0)</f>
        <v>649</v>
      </c>
    </row>
    <row r="102" customFormat="false" ht="10.15" hidden="false" customHeight="false" outlineLevel="0" collapsed="false">
      <c r="A102" s="0" t="str">
        <f aca="false">'Plant loading'!A108</f>
        <v>Newbury</v>
      </c>
      <c r="B102" s="595" t="str">
        <f aca="false">'Plant loading'!B108</f>
        <v>PEHNY</v>
      </c>
      <c r="C102" s="595" t="str">
        <f aca="false">'Plant loading'!C108</f>
        <v>NetSure</v>
      </c>
      <c r="D102" s="595" t="n">
        <f aca="false">'Plant loading'!D108</f>
        <v>260</v>
      </c>
      <c r="E102" s="595" t="n">
        <f aca="false">'Plant loading'!E108</f>
        <v>260</v>
      </c>
      <c r="F102" s="595" t="n">
        <f aca="false">'Plant loading'!G108</f>
        <v>0.256245614035088</v>
      </c>
      <c r="G102" s="595" t="n">
        <f aca="false">'Plant loading'!H108</f>
        <v>36</v>
      </c>
      <c r="H102" s="595" t="n">
        <f aca="false">'Plant loading'!I108</f>
        <v>3.2</v>
      </c>
      <c r="I102" s="595" t="n">
        <f aca="false">'Plant loading'!J108</f>
        <v>115</v>
      </c>
      <c r="J102" s="872" t="n">
        <f aca="false">D102/(G102*((H102*1000)/58))</f>
        <v>0.130902777777778</v>
      </c>
      <c r="K102" s="872" t="n">
        <v>0.5</v>
      </c>
      <c r="L102" s="873" t="n">
        <f aca="false">ROUNDDOWN((H102*1000/58),0)</f>
        <v>55</v>
      </c>
      <c r="M102" s="595" t="n">
        <f aca="false">L102*K102</f>
        <v>27.5</v>
      </c>
      <c r="N102" s="595" t="n">
        <f aca="false">ROUNDUP((E102/M102),0)</f>
        <v>10</v>
      </c>
      <c r="O102" s="595" t="n">
        <f aca="false">N102*L102</f>
        <v>550</v>
      </c>
      <c r="P102" s="450" t="n">
        <f aca="false">O102-L102</f>
        <v>495</v>
      </c>
      <c r="Q102" s="595" t="n">
        <f aca="false">O102+(L102*K102)</f>
        <v>577.5</v>
      </c>
      <c r="R102" s="595" t="n">
        <f aca="false">ROUNDUP((P102-E102)/L102*100,0)</f>
        <v>428</v>
      </c>
      <c r="S102" s="595" t="n">
        <f aca="false">ROUNDUP((Q102-E102)/(L102)*100,0)</f>
        <v>578</v>
      </c>
    </row>
    <row r="103" customFormat="false" ht="10.15" hidden="false" customHeight="false" outlineLevel="0" collapsed="false">
      <c r="A103" s="0" t="e">
        <f aca="false">'plant loading'!#ref!</f>
        <v>#VALUE!</v>
      </c>
      <c r="B103" s="595" t="e">
        <f aca="false">'plant loading'!#ref!</f>
        <v>#VALUE!</v>
      </c>
      <c r="C103" s="595" t="e">
        <f aca="false">'plant loading'!#ref!</f>
        <v>#VALUE!</v>
      </c>
      <c r="D103" s="595" t="e">
        <f aca="false">'plant loading'!#ref!</f>
        <v>#VALUE!</v>
      </c>
      <c r="E103" s="595" t="e">
        <f aca="false">'plant loading'!#ref!</f>
        <v>#VALUE!</v>
      </c>
      <c r="F103" s="595"/>
      <c r="G103" s="595" t="e">
        <f aca="false">'plant loading'!#ref!</f>
        <v>#VALUE!</v>
      </c>
      <c r="H103" s="595" t="e">
        <f aca="false">'plant loading'!#ref!</f>
        <v>#VALUE!</v>
      </c>
      <c r="I103" s="595" t="e">
        <f aca="false">'plant loading'!#ref!</f>
        <v>#VALUE!</v>
      </c>
      <c r="J103" s="872" t="e">
        <f aca="false">D103/(G103*((H103*1000)/58))</f>
        <v>#VALUE!</v>
      </c>
      <c r="K103" s="872" t="n">
        <v>1.5</v>
      </c>
      <c r="L103" s="873" t="e">
        <f aca="false">ROUNDDOWN((H103*1000/58),0)</f>
        <v>#VALUE!</v>
      </c>
      <c r="M103" s="595" t="e">
        <f aca="false">L103*K103</f>
        <v>#VALUE!</v>
      </c>
      <c r="N103" s="595" t="e">
        <f aca="false">ROUNDUP((E103/M103),0)</f>
        <v>#VALUE!</v>
      </c>
      <c r="O103" s="595" t="e">
        <f aca="false">N103*L103</f>
        <v>#VALUE!</v>
      </c>
      <c r="P103" s="450" t="e">
        <f aca="false">O103-L103</f>
        <v>#VALUE!</v>
      </c>
      <c r="Q103" s="595" t="e">
        <f aca="false">O103+(L103*K103)</f>
        <v>#VALUE!</v>
      </c>
      <c r="R103" s="595" t="e">
        <f aca="false">ROUNDUP((P103-E103)/L103*100,0)</f>
        <v>#VALUE!</v>
      </c>
      <c r="S103" s="595" t="e">
        <f aca="false">ROUNDUP((Q103-E103)/(L103)*100,0)</f>
        <v>#VALUE!</v>
      </c>
    </row>
    <row r="104" customFormat="false" ht="10.15" hidden="false" customHeight="false" outlineLevel="0" collapsed="false">
      <c r="A104" s="0" t="e">
        <f aca="false">'plant loading'!#ref!</f>
        <v>#VALUE!</v>
      </c>
      <c r="B104" s="595" t="e">
        <f aca="false">'plant loading'!#ref!</f>
        <v>#VALUE!</v>
      </c>
      <c r="C104" s="595" t="e">
        <f aca="false">'plant loading'!#ref!</f>
        <v>#VALUE!</v>
      </c>
      <c r="D104" s="595" t="e">
        <f aca="false">'plant loading'!#ref!</f>
        <v>#VALUE!</v>
      </c>
      <c r="E104" s="595" t="e">
        <f aca="false">'plant loading'!#ref!</f>
        <v>#VALUE!</v>
      </c>
      <c r="F104" s="595"/>
      <c r="G104" s="595" t="e">
        <f aca="false">'plant loading'!#ref!</f>
        <v>#VALUE!</v>
      </c>
      <c r="H104" s="595" t="e">
        <f aca="false">'plant loading'!#ref!</f>
        <v>#VALUE!</v>
      </c>
      <c r="I104" s="595" t="e">
        <f aca="false">'plant loading'!#ref!</f>
        <v>#VALUE!</v>
      </c>
      <c r="J104" s="872" t="e">
        <f aca="false">D104/(G104*((H104*1000)/58))</f>
        <v>#VALUE!</v>
      </c>
      <c r="K104" s="872" t="n">
        <v>2.5</v>
      </c>
      <c r="L104" s="873" t="e">
        <f aca="false">ROUNDDOWN((H104*1000/58),0)</f>
        <v>#VALUE!</v>
      </c>
      <c r="M104" s="595" t="e">
        <f aca="false">L104*K104</f>
        <v>#VALUE!</v>
      </c>
      <c r="N104" s="595" t="e">
        <f aca="false">ROUNDUP((E104/M104),0)</f>
        <v>#VALUE!</v>
      </c>
      <c r="O104" s="595" t="e">
        <f aca="false">N104*L104</f>
        <v>#VALUE!</v>
      </c>
      <c r="P104" s="450" t="e">
        <f aca="false">O104-L104</f>
        <v>#VALUE!</v>
      </c>
      <c r="Q104" s="595" t="e">
        <f aca="false">O104+(L104*K104)</f>
        <v>#VALUE!</v>
      </c>
      <c r="R104" s="595" t="e">
        <f aca="false">ROUNDUP((P104-E104)/L104*100,0)</f>
        <v>#VALUE!</v>
      </c>
      <c r="S104" s="595" t="e">
        <f aca="false">ROUNDUP((Q104-E104)/(L104)*100,0)</f>
        <v>#VALUE!</v>
      </c>
    </row>
    <row r="105" customFormat="false" ht="10.15" hidden="false" customHeight="false" outlineLevel="0" collapsed="false">
      <c r="A105" s="0" t="str">
        <f aca="false">'Plant loading'!A109</f>
        <v>Newcastle</v>
      </c>
      <c r="B105" s="595" t="str">
        <f aca="false">'Plant loading'!B109</f>
        <v>PEENE</v>
      </c>
      <c r="C105" s="595" t="str">
        <f aca="false">'Plant loading'!C109</f>
        <v>NetSure</v>
      </c>
      <c r="D105" s="595" t="n">
        <f aca="false">'Plant loading'!D109</f>
        <v>244</v>
      </c>
      <c r="E105" s="595" t="n">
        <f aca="false">'Plant loading'!E109</f>
        <v>244</v>
      </c>
      <c r="F105" s="595" t="n">
        <f aca="false">'Plant loading'!G109</f>
        <v>38.695</v>
      </c>
      <c r="G105" s="595" t="n">
        <f aca="false">'Plant loading'!H109</f>
        <v>36</v>
      </c>
      <c r="H105" s="595" t="n">
        <f aca="false">'Plant loading'!I109</f>
        <v>3.2</v>
      </c>
      <c r="I105" s="595" t="n">
        <f aca="false">'Plant loading'!J109</f>
        <v>115</v>
      </c>
      <c r="J105" s="872" t="n">
        <f aca="false">D105/(G105*((H105*1000)/58))</f>
        <v>0.122847222222222</v>
      </c>
      <c r="K105" s="872" t="n">
        <v>0.5</v>
      </c>
      <c r="L105" s="873" t="n">
        <f aca="false">ROUNDDOWN((H105*1000/58),0)</f>
        <v>55</v>
      </c>
      <c r="M105" s="595" t="n">
        <f aca="false">L105*K105</f>
        <v>27.5</v>
      </c>
      <c r="N105" s="595" t="n">
        <f aca="false">ROUNDUP((E105/M105),0)</f>
        <v>9</v>
      </c>
      <c r="O105" s="595" t="n">
        <f aca="false">N105*L105</f>
        <v>495</v>
      </c>
      <c r="P105" s="450" t="n">
        <f aca="false">O105-L105</f>
        <v>440</v>
      </c>
      <c r="Q105" s="595" t="n">
        <f aca="false">O105+(L105*K105)</f>
        <v>522.5</v>
      </c>
      <c r="R105" s="595" t="n">
        <f aca="false">ROUNDUP((P105-E105)/L105*100,0)</f>
        <v>357</v>
      </c>
      <c r="S105" s="595" t="n">
        <f aca="false">ROUNDUP((Q105-E105)/(L105)*100,0)</f>
        <v>507</v>
      </c>
    </row>
    <row r="106" customFormat="false" ht="10.15" hidden="false" customHeight="false" outlineLevel="0" collapsed="false">
      <c r="A106" s="0" t="str">
        <f aca="false">'Plant loading'!A110</f>
        <v>Newcastle</v>
      </c>
      <c r="B106" s="595" t="str">
        <f aca="false">'Plant loading'!B110</f>
        <v>PEFNE</v>
      </c>
      <c r="C106" s="595" t="str">
        <f aca="false">'Plant loading'!C110</f>
        <v>NetSure</v>
      </c>
      <c r="D106" s="595" t="n">
        <f aca="false">'Plant loading'!D110</f>
        <v>375</v>
      </c>
      <c r="E106" s="595" t="n">
        <f aca="false">'Plant loading'!E110</f>
        <v>341</v>
      </c>
      <c r="F106" s="595" t="n">
        <f aca="false">'Plant loading'!G110</f>
        <v>0</v>
      </c>
      <c r="G106" s="595" t="n">
        <f aca="false">'Plant loading'!H110</f>
        <v>36</v>
      </c>
      <c r="H106" s="595" t="n">
        <f aca="false">'Plant loading'!I110</f>
        <v>3.2</v>
      </c>
      <c r="I106" s="595" t="n">
        <f aca="false">'Plant loading'!J110</f>
        <v>115</v>
      </c>
      <c r="J106" s="872" t="n">
        <f aca="false">D106/(G106*((H106*1000)/58))</f>
        <v>0.188802083333333</v>
      </c>
      <c r="K106" s="872" t="n">
        <v>0.5</v>
      </c>
      <c r="L106" s="873" t="n">
        <f aca="false">ROUNDDOWN((H106*1000/58),0)</f>
        <v>55</v>
      </c>
      <c r="M106" s="595" t="n">
        <f aca="false">L106*K106</f>
        <v>27.5</v>
      </c>
      <c r="N106" s="595" t="n">
        <f aca="false">ROUNDUP((E106/M106),0)</f>
        <v>13</v>
      </c>
      <c r="O106" s="595" t="n">
        <f aca="false">N106*L106</f>
        <v>715</v>
      </c>
      <c r="P106" s="450" t="n">
        <f aca="false">O106-L106</f>
        <v>660</v>
      </c>
      <c r="Q106" s="595" t="n">
        <f aca="false">O106+(L106*K106)</f>
        <v>742.5</v>
      </c>
      <c r="R106" s="595" t="n">
        <f aca="false">ROUNDUP((P106-E106)/L106*100,0)</f>
        <v>580</v>
      </c>
      <c r="S106" s="595" t="n">
        <f aca="false">ROUNDUP((Q106-E106)/(L106)*100,0)</f>
        <v>730</v>
      </c>
    </row>
    <row r="107" customFormat="false" ht="10.15" hidden="false" customHeight="false" outlineLevel="0" collapsed="false">
      <c r="A107" s="0" t="str">
        <f aca="false">'Plant loading'!A111</f>
        <v>Newcastle</v>
      </c>
      <c r="B107" s="595" t="str">
        <f aca="false">'Plant loading'!B111</f>
        <v>PEGNE</v>
      </c>
      <c r="C107" s="595" t="str">
        <f aca="false">'Plant loading'!C111</f>
        <v>NetSure</v>
      </c>
      <c r="D107" s="595" t="n">
        <f aca="false">'Plant loading'!D111</f>
        <v>122</v>
      </c>
      <c r="E107" s="595" t="n">
        <f aca="false">'Plant loading'!E111</f>
        <v>125</v>
      </c>
      <c r="F107" s="595" t="n">
        <f aca="false">'Plant loading'!G111</f>
        <v>0.2725</v>
      </c>
      <c r="G107" s="595" t="n">
        <f aca="false">'Plant loading'!H111</f>
        <v>18</v>
      </c>
      <c r="H107" s="595" t="n">
        <f aca="false">'Plant loading'!I111</f>
        <v>3.2</v>
      </c>
      <c r="I107" s="595" t="n">
        <f aca="false">'Plant loading'!J111</f>
        <v>57</v>
      </c>
      <c r="J107" s="872" t="n">
        <f aca="false">D107/(G107*((H107*1000)/58))</f>
        <v>0.122847222222222</v>
      </c>
      <c r="K107" s="872" t="n">
        <v>0.5</v>
      </c>
      <c r="L107" s="873" t="n">
        <f aca="false">ROUNDDOWN((H107*1000/58),0)</f>
        <v>55</v>
      </c>
      <c r="M107" s="595" t="n">
        <f aca="false">L107*K107</f>
        <v>27.5</v>
      </c>
      <c r="N107" s="595" t="n">
        <f aca="false">ROUNDUP((E107/M107),0)</f>
        <v>5</v>
      </c>
      <c r="O107" s="595" t="n">
        <f aca="false">N107*L107</f>
        <v>275</v>
      </c>
      <c r="P107" s="450" t="n">
        <f aca="false">O107-L107</f>
        <v>220</v>
      </c>
      <c r="Q107" s="595" t="n">
        <f aca="false">O107+(L107*K107)</f>
        <v>302.5</v>
      </c>
      <c r="R107" s="595" t="n">
        <f aca="false">ROUNDUP((P107-E107)/L107*100,0)</f>
        <v>173</v>
      </c>
      <c r="S107" s="595" t="n">
        <f aca="false">ROUNDUP((Q107-E107)/(L107)*100,0)</f>
        <v>323</v>
      </c>
    </row>
    <row r="108" customFormat="false" ht="10.15" hidden="false" customHeight="false" outlineLevel="0" collapsed="false">
      <c r="A108" s="0" t="str">
        <f aca="false">'Plant loading'!A112</f>
        <v>Oxford</v>
      </c>
      <c r="B108" s="595" t="str">
        <f aca="false">'Plant loading'!B112</f>
        <v>PECOD</v>
      </c>
      <c r="C108" s="595" t="str">
        <f aca="false">'Plant loading'!C112</f>
        <v>NetSure</v>
      </c>
      <c r="D108" s="595" t="n">
        <f aca="false">'Plant loading'!D112</f>
        <v>187</v>
      </c>
      <c r="E108" s="595" t="n">
        <f aca="false">'Plant loading'!E112</f>
        <v>187</v>
      </c>
      <c r="F108" s="595" t="n">
        <f aca="false">'Plant loading'!G112</f>
        <v>16.132</v>
      </c>
      <c r="G108" s="595" t="n">
        <f aca="false">'Plant loading'!H112</f>
        <v>36</v>
      </c>
      <c r="H108" s="595" t="n">
        <f aca="false">'Plant loading'!I112</f>
        <v>3.2</v>
      </c>
      <c r="I108" s="595" t="n">
        <f aca="false">'Plant loading'!J112</f>
        <v>115</v>
      </c>
      <c r="J108" s="872" t="n">
        <f aca="false">D108/(G108*((H108*1000)/58))</f>
        <v>0.0941493055555556</v>
      </c>
      <c r="K108" s="872" t="n">
        <v>0.5</v>
      </c>
      <c r="L108" s="873" t="n">
        <f aca="false">ROUNDDOWN((H108*1000/58),0)</f>
        <v>55</v>
      </c>
      <c r="M108" s="595" t="n">
        <f aca="false">L108*K108</f>
        <v>27.5</v>
      </c>
      <c r="N108" s="595" t="n">
        <f aca="false">ROUNDUP((E108/M108),0)</f>
        <v>7</v>
      </c>
      <c r="O108" s="595" t="n">
        <f aca="false">N108*L108</f>
        <v>385</v>
      </c>
      <c r="P108" s="450" t="n">
        <f aca="false">O108-L108</f>
        <v>330</v>
      </c>
      <c r="Q108" s="595" t="n">
        <f aca="false">O108+(L108*K108)</f>
        <v>412.5</v>
      </c>
      <c r="R108" s="595" t="n">
        <f aca="false">ROUNDUP((P108-E108)/L108*100,0)</f>
        <v>260</v>
      </c>
      <c r="S108" s="595" t="n">
        <f aca="false">ROUNDUP((Q108-E108)/(L108)*100,0)</f>
        <v>410</v>
      </c>
    </row>
    <row r="109" customFormat="false" ht="10.15" hidden="false" customHeight="false" outlineLevel="0" collapsed="false">
      <c r="A109" s="0" t="str">
        <f aca="false">'Plant loading'!A113</f>
        <v>Oxford</v>
      </c>
      <c r="B109" s="595" t="str">
        <f aca="false">'Plant loading'!B113</f>
        <v>PEFOD</v>
      </c>
      <c r="C109" s="595" t="str">
        <f aca="false">'Plant loading'!C113</f>
        <v>NetSure</v>
      </c>
      <c r="D109" s="595" t="n">
        <f aca="false">'Plant loading'!D113</f>
        <v>109</v>
      </c>
      <c r="E109" s="595" t="n">
        <f aca="false">'Plant loading'!E113</f>
        <v>109</v>
      </c>
      <c r="F109" s="595" t="n">
        <f aca="false">'Plant loading'!G113</f>
        <v>0.153638095238095</v>
      </c>
      <c r="G109" s="595" t="n">
        <f aca="false">'Plant loading'!H113</f>
        <v>30</v>
      </c>
      <c r="H109" s="595" t="n">
        <f aca="false">'Plant loading'!I113</f>
        <v>3.2</v>
      </c>
      <c r="I109" s="595" t="n">
        <f aca="false">'Plant loading'!J113</f>
        <v>96</v>
      </c>
      <c r="J109" s="872" t="n">
        <f aca="false">D109/(G109*((H109*1000)/58))</f>
        <v>0.0658541666666667</v>
      </c>
      <c r="K109" s="872" t="n">
        <v>0.5</v>
      </c>
      <c r="L109" s="873" t="n">
        <f aca="false">ROUNDDOWN((H109*1000/58),0)</f>
        <v>55</v>
      </c>
      <c r="M109" s="595" t="n">
        <f aca="false">L109*K109</f>
        <v>27.5</v>
      </c>
      <c r="N109" s="595" t="n">
        <f aca="false">ROUNDUP((E109/M109),0)</f>
        <v>4</v>
      </c>
      <c r="O109" s="595" t="n">
        <f aca="false">N109*L109</f>
        <v>220</v>
      </c>
      <c r="P109" s="450" t="n">
        <f aca="false">O109-L109</f>
        <v>165</v>
      </c>
      <c r="Q109" s="595" t="n">
        <f aca="false">O109+(L109*K109)</f>
        <v>247.5</v>
      </c>
      <c r="R109" s="595" t="n">
        <f aca="false">ROUNDUP((P109-E109)/L109*100,0)</f>
        <v>102</v>
      </c>
      <c r="S109" s="595" t="n">
        <f aca="false">ROUNDUP((Q109-E109)/(L109)*100,0)</f>
        <v>252</v>
      </c>
    </row>
    <row r="110" customFormat="false" ht="10.15" hidden="false" customHeight="false" outlineLevel="0" collapsed="false">
      <c r="A110" s="0" t="str">
        <f aca="false">'Plant loading'!A114</f>
        <v>Stafford</v>
      </c>
      <c r="B110" s="595" t="str">
        <f aca="false">'Plant loading'!B114</f>
        <v>PEESD</v>
      </c>
      <c r="C110" s="595" t="str">
        <f aca="false">'Plant loading'!C114</f>
        <v>NetSure</v>
      </c>
      <c r="D110" s="595" t="n">
        <f aca="false">'Plant loading'!D114</f>
        <v>385</v>
      </c>
      <c r="E110" s="595" t="n">
        <f aca="false">'Plant loading'!E114</f>
        <v>383</v>
      </c>
      <c r="F110" s="595" t="n">
        <f aca="false">'Plant loading'!G114</f>
        <v>43.927</v>
      </c>
      <c r="G110" s="595" t="n">
        <f aca="false">'Plant loading'!H114</f>
        <v>36</v>
      </c>
      <c r="H110" s="595" t="n">
        <f aca="false">'Plant loading'!I114</f>
        <v>3.2</v>
      </c>
      <c r="I110" s="595" t="n">
        <f aca="false">'Plant loading'!J114</f>
        <v>115</v>
      </c>
      <c r="J110" s="872" t="n">
        <f aca="false">D110/(G110*((H110*1000)/58))</f>
        <v>0.193836805555556</v>
      </c>
      <c r="K110" s="872" t="n">
        <v>0.5</v>
      </c>
      <c r="L110" s="873" t="n">
        <f aca="false">ROUNDDOWN((H110*1000/58),0)</f>
        <v>55</v>
      </c>
      <c r="M110" s="595" t="n">
        <f aca="false">L110*K110</f>
        <v>27.5</v>
      </c>
      <c r="N110" s="595" t="n">
        <f aca="false">ROUNDUP((E110/M110),0)</f>
        <v>14</v>
      </c>
      <c r="O110" s="595" t="n">
        <f aca="false">N110*L110</f>
        <v>770</v>
      </c>
      <c r="P110" s="450" t="n">
        <f aca="false">O110-L110</f>
        <v>715</v>
      </c>
      <c r="Q110" s="595" t="n">
        <f aca="false">O110+(L110*K110)</f>
        <v>797.5</v>
      </c>
      <c r="R110" s="595" t="n">
        <f aca="false">ROUNDUP((P110-E110)/L110*100,0)</f>
        <v>604</v>
      </c>
      <c r="S110" s="595" t="n">
        <f aca="false">ROUNDUP((Q110-E110)/(L110)*100,0)</f>
        <v>754</v>
      </c>
    </row>
    <row r="111" customFormat="false" ht="10.15" hidden="false" customHeight="false" outlineLevel="0" collapsed="false">
      <c r="A111" s="0" t="str">
        <f aca="false">'Plant loading'!A115</f>
        <v>Stafford</v>
      </c>
      <c r="B111" s="595" t="str">
        <f aca="false">'Plant loading'!B115</f>
        <v>PEGSD</v>
      </c>
      <c r="C111" s="595" t="str">
        <f aca="false">'Plant loading'!C115</f>
        <v>NetSure</v>
      </c>
      <c r="D111" s="595" t="n">
        <f aca="false">'Plant loading'!D115</f>
        <v>423</v>
      </c>
      <c r="E111" s="595" t="n">
        <f aca="false">'Plant loading'!E115</f>
        <v>423</v>
      </c>
      <c r="F111" s="595" t="n">
        <f aca="false">'Plant loading'!G115</f>
        <v>0.385324561403509</v>
      </c>
      <c r="G111" s="595" t="n">
        <f aca="false">'Plant loading'!H115</f>
        <v>36</v>
      </c>
      <c r="H111" s="595" t="n">
        <f aca="false">'Plant loading'!I115</f>
        <v>3.2</v>
      </c>
      <c r="I111" s="595" t="n">
        <f aca="false">'Plant loading'!J115</f>
        <v>115</v>
      </c>
      <c r="J111" s="872" t="n">
        <f aca="false">D111/(G111*((H111*1000)/58))</f>
        <v>0.21296875</v>
      </c>
      <c r="K111" s="872" t="n">
        <v>0.5</v>
      </c>
      <c r="L111" s="873" t="n">
        <f aca="false">ROUNDDOWN((H111*1000/58),0)</f>
        <v>55</v>
      </c>
      <c r="M111" s="595" t="n">
        <f aca="false">L111*K111</f>
        <v>27.5</v>
      </c>
      <c r="N111" s="595" t="n">
        <f aca="false">ROUNDUP((E111/M111),0)</f>
        <v>16</v>
      </c>
      <c r="O111" s="595" t="n">
        <f aca="false">N111*L111</f>
        <v>880</v>
      </c>
      <c r="P111" s="450" t="n">
        <f aca="false">O111-L111</f>
        <v>825</v>
      </c>
      <c r="Q111" s="595" t="n">
        <f aca="false">O111+(L111*K111)</f>
        <v>907.5</v>
      </c>
      <c r="R111" s="595" t="n">
        <f aca="false">ROUNDUP((P111-E111)/L111*100,0)</f>
        <v>731</v>
      </c>
      <c r="S111" s="595" t="n">
        <f aca="false">ROUNDUP((Q111-E111)/(L111)*100,0)</f>
        <v>881</v>
      </c>
    </row>
    <row r="112" customFormat="false" ht="10.15" hidden="false" customHeight="false" outlineLevel="0" collapsed="false">
      <c r="A112" s="0" t="str">
        <f aca="false">'Plant loading'!A116</f>
        <v>Warrington TXO</v>
      </c>
      <c r="B112" s="595" t="str">
        <f aca="false">'Plant loading'!B116</f>
        <v>PELWN</v>
      </c>
      <c r="C112" s="595" t="str">
        <f aca="false">'Plant loading'!C116</f>
        <v>NetSure</v>
      </c>
      <c r="D112" s="595" t="n">
        <f aca="false">'Plant loading'!D116</f>
        <v>207</v>
      </c>
      <c r="E112" s="595" t="n">
        <f aca="false">'Plant loading'!E116</f>
        <v>207</v>
      </c>
      <c r="F112" s="595" t="n">
        <f aca="false">'Plant loading'!G116</f>
        <v>45.126</v>
      </c>
      <c r="G112" s="595" t="n">
        <f aca="false">'Plant loading'!H116</f>
        <v>18</v>
      </c>
      <c r="H112" s="595" t="n">
        <f aca="false">'Plant loading'!I116</f>
        <v>3.2</v>
      </c>
      <c r="I112" s="595" t="n">
        <f aca="false">'Plant loading'!J116</f>
        <v>57</v>
      </c>
      <c r="J112" s="872" t="n">
        <f aca="false">D112/(G112*((H112*1000)/58))</f>
        <v>0.2084375</v>
      </c>
      <c r="K112" s="872" t="n">
        <v>0.5</v>
      </c>
      <c r="L112" s="873" t="n">
        <f aca="false">ROUNDDOWN((H112*1000/58),0)</f>
        <v>55</v>
      </c>
      <c r="M112" s="595" t="n">
        <f aca="false">L112*K112</f>
        <v>27.5</v>
      </c>
      <c r="N112" s="595" t="n">
        <f aca="false">ROUNDUP((E112/M112),0)</f>
        <v>8</v>
      </c>
      <c r="O112" s="595" t="n">
        <f aca="false">N112*L112</f>
        <v>440</v>
      </c>
      <c r="P112" s="450" t="n">
        <f aca="false">O112-L112</f>
        <v>385</v>
      </c>
      <c r="Q112" s="595" t="n">
        <f aca="false">O112+(L112*K112)</f>
        <v>467.5</v>
      </c>
      <c r="R112" s="595" t="n">
        <f aca="false">ROUNDUP((P112-E112)/L112*100,0)</f>
        <v>324</v>
      </c>
      <c r="S112" s="595" t="n">
        <f aca="false">ROUNDUP((Q112-E112)/(L112)*100,0)</f>
        <v>474</v>
      </c>
    </row>
    <row r="113" customFormat="false" ht="10.15" hidden="false" customHeight="false" outlineLevel="0" collapsed="false">
      <c r="A113" s="0" t="str">
        <f aca="false">'Plant loading'!A117</f>
        <v>Warrington TXO</v>
      </c>
      <c r="B113" s="595" t="str">
        <f aca="false">'Plant loading'!B117</f>
        <v>PEMWN</v>
      </c>
      <c r="C113" s="595" t="str">
        <f aca="false">'Plant loading'!C117</f>
        <v>NetSure</v>
      </c>
      <c r="D113" s="595" t="n">
        <f aca="false">'Plant loading'!D117</f>
        <v>189</v>
      </c>
      <c r="E113" s="595" t="n">
        <f aca="false">'Plant loading'!E117</f>
        <v>189</v>
      </c>
      <c r="F113" s="595" t="n">
        <f aca="false">'Plant loading'!G117</f>
        <v>0</v>
      </c>
      <c r="G113" s="595" t="n">
        <f aca="false">'Plant loading'!H117</f>
        <v>18</v>
      </c>
      <c r="H113" s="595" t="n">
        <f aca="false">'Plant loading'!I117</f>
        <v>3.2</v>
      </c>
      <c r="I113" s="595" t="n">
        <f aca="false">'Plant loading'!J117</f>
        <v>57</v>
      </c>
      <c r="J113" s="872" t="n">
        <f aca="false">D113/(G113*((H113*1000)/58))</f>
        <v>0.1903125</v>
      </c>
      <c r="K113" s="872" t="n">
        <v>0.5</v>
      </c>
      <c r="L113" s="873" t="n">
        <f aca="false">ROUNDDOWN((H113*1000/58),0)</f>
        <v>55</v>
      </c>
      <c r="M113" s="595" t="n">
        <f aca="false">L113*K113</f>
        <v>27.5</v>
      </c>
      <c r="N113" s="595" t="n">
        <f aca="false">ROUNDUP((E113/M113),0)</f>
        <v>7</v>
      </c>
      <c r="O113" s="595" t="n">
        <f aca="false">N113*L113</f>
        <v>385</v>
      </c>
      <c r="P113" s="450" t="n">
        <f aca="false">O113-L113</f>
        <v>330</v>
      </c>
      <c r="Q113" s="595" t="n">
        <f aca="false">O113+(L113*K113)</f>
        <v>412.5</v>
      </c>
      <c r="R113" s="595" t="n">
        <f aca="false">ROUNDUP((P113-E113)/L113*100,0)</f>
        <v>257</v>
      </c>
      <c r="S113" s="595" t="n">
        <f aca="false">ROUNDUP((Q113-E113)/(L113)*100,0)</f>
        <v>407</v>
      </c>
    </row>
    <row r="114" customFormat="false" ht="10.15" hidden="false" customHeight="false" outlineLevel="0" collapsed="false">
      <c r="A114" s="0" t="str">
        <f aca="false">'Plant loading'!A118</f>
        <v>Warrington TXO</v>
      </c>
      <c r="B114" s="595" t="str">
        <f aca="false">'Plant loading'!B118</f>
        <v>PENWN</v>
      </c>
      <c r="C114" s="595" t="str">
        <f aca="false">'Plant loading'!C118</f>
        <v>NetSure</v>
      </c>
      <c r="D114" s="595" t="n">
        <f aca="false">'Plant loading'!D118</f>
        <v>433</v>
      </c>
      <c r="E114" s="595" t="n">
        <f aca="false">'Plant loading'!E118</f>
        <v>432</v>
      </c>
      <c r="F114" s="595" t="n">
        <f aca="false">'Plant loading'!G118</f>
        <v>0.537214285714286</v>
      </c>
      <c r="G114" s="595" t="n">
        <f aca="false">'Plant loading'!H118</f>
        <v>18</v>
      </c>
      <c r="H114" s="595" t="n">
        <f aca="false">'Plant loading'!I118</f>
        <v>3.2</v>
      </c>
      <c r="I114" s="595" t="n">
        <f aca="false">'Plant loading'!J118</f>
        <v>57</v>
      </c>
      <c r="J114" s="872" t="n">
        <f aca="false">D114/(G114*((H114*1000)/58))</f>
        <v>0.436006944444445</v>
      </c>
      <c r="K114" s="872" t="n">
        <v>0.5</v>
      </c>
      <c r="L114" s="873" t="n">
        <f aca="false">ROUNDDOWN((H114*1000/58),0)</f>
        <v>55</v>
      </c>
      <c r="M114" s="595" t="n">
        <f aca="false">L114*K114</f>
        <v>27.5</v>
      </c>
      <c r="N114" s="595" t="n">
        <f aca="false">ROUNDUP((E114/M114),0)</f>
        <v>16</v>
      </c>
      <c r="O114" s="595" t="n">
        <f aca="false">N114*L114</f>
        <v>880</v>
      </c>
      <c r="P114" s="450" t="n">
        <f aca="false">O114-L114</f>
        <v>825</v>
      </c>
      <c r="Q114" s="595" t="n">
        <f aca="false">O114+(L114*K114)</f>
        <v>907.5</v>
      </c>
      <c r="R114" s="595" t="n">
        <f aca="false">ROUNDUP((P114-E114)/L114*100,0)</f>
        <v>715</v>
      </c>
      <c r="S114" s="595" t="n">
        <f aca="false">ROUNDUP((Q114-E114)/(L114)*100,0)</f>
        <v>865</v>
      </c>
    </row>
    <row r="115" customFormat="false" ht="10.15" hidden="false" customHeight="false" outlineLevel="0" collapsed="false">
      <c r="A115" s="0" t="e">
        <f aca="false">'plant loading'!#ref!</f>
        <v>#VALUE!</v>
      </c>
      <c r="B115" s="595" t="e">
        <f aca="false">'plant loading'!#ref!</f>
        <v>#VALUE!</v>
      </c>
      <c r="C115" s="595" t="e">
        <f aca="false">'plant loading'!#ref!</f>
        <v>#VALUE!</v>
      </c>
      <c r="D115" s="595" t="e">
        <f aca="false">'plant loading'!#ref!</f>
        <v>#VALUE!</v>
      </c>
      <c r="E115" s="595" t="e">
        <f aca="false">'plant loading'!#ref!</f>
        <v>#VALUE!</v>
      </c>
      <c r="F115" s="595" t="e">
        <f aca="false">'plant loading'!#ref!</f>
        <v>#VALUE!</v>
      </c>
      <c r="G115" s="595" t="e">
        <f aca="false">'plant loading'!#ref!</f>
        <v>#VALUE!</v>
      </c>
      <c r="H115" s="595" t="e">
        <f aca="false">'plant loading'!#ref!</f>
        <v>#VALUE!</v>
      </c>
      <c r="I115" s="595" t="e">
        <f aca="false">'plant loading'!#ref!</f>
        <v>#VALUE!</v>
      </c>
      <c r="J115" s="872" t="e">
        <f aca="false">D115/(G115*((H115*1000)/58))</f>
        <v>#VALUE!</v>
      </c>
      <c r="K115" s="872" t="n">
        <v>0.5</v>
      </c>
      <c r="L115" s="873" t="e">
        <f aca="false">ROUNDDOWN((H115*1000/58),0)</f>
        <v>#VALUE!</v>
      </c>
      <c r="M115" s="595" t="e">
        <f aca="false">L115*K115</f>
        <v>#VALUE!</v>
      </c>
      <c r="N115" s="595" t="e">
        <f aca="false">ROUNDUP((E115/M115),0)</f>
        <v>#VALUE!</v>
      </c>
      <c r="O115" s="595" t="e">
        <f aca="false">N115*L115</f>
        <v>#VALUE!</v>
      </c>
      <c r="P115" s="450" t="e">
        <f aca="false">O115-L115</f>
        <v>#VALUE!</v>
      </c>
      <c r="Q115" s="595" t="e">
        <f aca="false">O115+(L115*K115)</f>
        <v>#VALUE!</v>
      </c>
      <c r="R115" s="595" t="e">
        <f aca="false">ROUNDUP((P115-E115)/L115*100,0)</f>
        <v>#VALUE!</v>
      </c>
      <c r="S115" s="595" t="e">
        <f aca="false">ROUNDUP((Q115-E115)/(L115)*100,0)</f>
        <v>#VALUE!</v>
      </c>
    </row>
  </sheetData>
  <conditionalFormatting sqref="J4:J115">
    <cfRule type="cellIs" priority="2" operator="greaterThanOrEqual" aboveAverage="0" equalAverage="0" bottom="0" percent="0" rank="0" text="" dxfId="66">
      <formula>0.4</formula>
    </cfRule>
    <cfRule type="cellIs" priority="3" operator="lessThanOrEqual" aboveAverage="0" equalAverage="0" bottom="0" percent="0" rank="0" text="" dxfId="67">
      <formula>0.399</formula>
    </cfRule>
  </conditionalFormatting>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ColWidth="8.66796875" defaultRowHeight="10.15" zeroHeight="false" outlineLevelRow="2" outlineLevelCol="0"/>
  <cols>
    <col collapsed="false" customWidth="true" hidden="false" outlineLevel="0" max="1" min="1" style="0" width="15.66"/>
    <col collapsed="false" customWidth="true" hidden="false" outlineLevel="0" max="2" min="2" style="0" width="12.5"/>
    <col collapsed="false" customWidth="true" hidden="false" outlineLevel="0" max="4" min="4" style="0" width="17"/>
    <col collapsed="false" customWidth="true" hidden="false" outlineLevel="0" max="5" min="5" style="0" width="12.17"/>
    <col collapsed="false" customWidth="true" hidden="false" outlineLevel="0" max="6" min="6" style="0" width="17.66"/>
    <col collapsed="false" customWidth="true" hidden="false" outlineLevel="0" max="7" min="7" style="879" width="16.66"/>
    <col collapsed="false" customWidth="true" hidden="false" outlineLevel="0" max="8" min="8" style="0" width="12.17"/>
    <col collapsed="false" customWidth="true" hidden="false" outlineLevel="0" max="9" min="9" style="0" width="17"/>
    <col collapsed="false" customWidth="true" hidden="false" outlineLevel="0" max="10" min="10" style="0" width="12.17"/>
    <col collapsed="false" customWidth="true" hidden="false" outlineLevel="0" max="11" min="11" style="0" width="11.5"/>
    <col collapsed="false" customWidth="true" hidden="false" outlineLevel="0" max="12" min="12" style="0" width="12.66"/>
    <col collapsed="false" customWidth="true" hidden="false" outlineLevel="0" max="13" min="13" style="0" width="13"/>
    <col collapsed="false" customWidth="true" hidden="false" outlineLevel="0" max="14" min="14" style="0" width="16.17"/>
    <col collapsed="false" customWidth="true" hidden="false" outlineLevel="0" max="15" min="15" style="0" width="13.66"/>
    <col collapsed="false" customWidth="true" hidden="false" outlineLevel="0" max="16" min="16" style="0" width="13"/>
    <col collapsed="false" customWidth="true" hidden="false" outlineLevel="0" max="17" min="17" style="0" width="15.17"/>
    <col collapsed="false" customWidth="true" hidden="false" outlineLevel="0" max="18" min="18" style="0" width="14.66"/>
    <col collapsed="false" customWidth="true" hidden="false" outlineLevel="0" max="19" min="19" style="0" width="1.17"/>
    <col collapsed="false" customWidth="true" hidden="false" outlineLevel="0" max="20" min="20" style="0" width="9"/>
    <col collapsed="false" customWidth="true" hidden="false" outlineLevel="0" max="21" min="21" style="0" width="29.66"/>
    <col collapsed="false" customWidth="true" hidden="false" outlineLevel="0" max="22" min="22" style="0" width="18.66"/>
    <col collapsed="false" customWidth="true" hidden="false" outlineLevel="0" max="23" min="23" style="0" width="12.17"/>
    <col collapsed="false" customWidth="true" hidden="false" outlineLevel="0" max="24" min="24" style="0" width="14.17"/>
    <col collapsed="false" customWidth="true" hidden="false" outlineLevel="0" max="26" min="25" style="0" width="11.5"/>
    <col collapsed="false" customWidth="true" hidden="false" outlineLevel="0" max="27" min="27" style="0" width="6.17"/>
    <col collapsed="false" customWidth="true" hidden="false" outlineLevel="0" max="28" min="28" style="0" width="11.5"/>
  </cols>
  <sheetData>
    <row r="1" customFormat="false" ht="40.9" hidden="false" customHeight="false" outlineLevel="0" collapsed="false">
      <c r="A1" s="617" t="s">
        <v>8</v>
      </c>
      <c r="B1" s="617" t="s">
        <v>592</v>
      </c>
      <c r="C1" s="617" t="s">
        <v>1494</v>
      </c>
      <c r="D1" s="617" t="s">
        <v>1495</v>
      </c>
      <c r="E1" s="617" t="s">
        <v>1496</v>
      </c>
      <c r="F1" s="617" t="s">
        <v>1497</v>
      </c>
      <c r="G1" s="880" t="s">
        <v>1498</v>
      </c>
      <c r="H1" s="617" t="s">
        <v>1499</v>
      </c>
      <c r="I1" s="881" t="s">
        <v>1500</v>
      </c>
      <c r="J1" s="881" t="s">
        <v>1501</v>
      </c>
      <c r="K1" s="881" t="s">
        <v>1502</v>
      </c>
      <c r="L1" s="882" t="s">
        <v>1503</v>
      </c>
      <c r="M1" s="882" t="s">
        <v>1504</v>
      </c>
      <c r="N1" s="882" t="s">
        <v>1505</v>
      </c>
      <c r="O1" s="882" t="s">
        <v>1506</v>
      </c>
      <c r="P1" s="883" t="s">
        <v>1507</v>
      </c>
      <c r="Q1" s="883" t="s">
        <v>1508</v>
      </c>
      <c r="R1" s="883" t="s">
        <v>1509</v>
      </c>
      <c r="S1" s="617"/>
    </row>
    <row r="2" customFormat="false" ht="10.15" hidden="false" customHeight="false" outlineLevel="0" collapsed="false">
      <c r="A2" s="595" t="str">
        <f aca="false">'Plant loading'!A4</f>
        <v>Acton</v>
      </c>
      <c r="B2" s="595" t="str">
        <f aca="false">'Plant loading'!B4</f>
        <v>PEAAN</v>
      </c>
      <c r="C2" s="595" t="n">
        <f aca="false">'Plant loading'!E4</f>
        <v>584</v>
      </c>
      <c r="D2" s="450" t="n">
        <v>36</v>
      </c>
      <c r="E2" s="595" t="n">
        <f aca="false">C2/D2</f>
        <v>16.2222222222222</v>
      </c>
      <c r="F2" s="595" t="n">
        <f aca="false">E2*54.5</f>
        <v>884.111111111111</v>
      </c>
      <c r="G2" s="610" t="n">
        <f aca="false">CHOOSE(MATCH(F2,W$3:W$14,1),X$3,X$4,X$5,X$6,X$7,X$8,X$9,X$10,X$11,X$12,X$13,X$14)</f>
        <v>90.745146605758</v>
      </c>
      <c r="H2" s="0" t="n">
        <f aca="false">((($D2*$E2)*54.5)*(1+(1-(G2/100)))/1000)</f>
        <v>34.7736347383193</v>
      </c>
      <c r="I2" s="884" t="n">
        <f aca="false">((($D2*$E2)*54.5)*(1+(1-0.92))/1000)</f>
        <v>34.37424</v>
      </c>
      <c r="J2" s="884" t="n">
        <f aca="false">H2-I2</f>
        <v>0.399394738319337</v>
      </c>
      <c r="K2" s="885" t="n">
        <f aca="false">(J2*24*365)*$V$18</f>
        <v>451.681899881152</v>
      </c>
      <c r="L2" s="886" t="n">
        <f aca="false">CHOOSE(MATCH(F2,N$96:N$107,1),O$96,O$97,O$98,O$99,O$100,O$101,O$102,O$103,O$104,O$105,O$106,O$107)</f>
        <v>95.5</v>
      </c>
      <c r="M2" s="887" t="n">
        <f aca="false">((($D2*$E2)*54.5)*(1+(1-(L2/100)))/1000)</f>
        <v>33.26026</v>
      </c>
      <c r="N2" s="887" t="n">
        <f aca="false">H2-M2</f>
        <v>1.51337473831935</v>
      </c>
      <c r="O2" s="888" t="n">
        <f aca="false">(N2*24*365)*$V$18</f>
        <v>1711.49970556117</v>
      </c>
      <c r="P2" s="889" t="n">
        <f aca="false">((($D2*$E2)*54.5)*(1+(1-0.97))/1000)</f>
        <v>32.78284</v>
      </c>
      <c r="Q2" s="889" t="n">
        <f aca="false">H2-P2</f>
        <v>1.99079473831934</v>
      </c>
      <c r="R2" s="890" t="n">
        <f aca="false">(Q2*24*365)*$V$18</f>
        <v>2251.42162228115</v>
      </c>
      <c r="S2" s="691"/>
      <c r="T2" s="418" t="s">
        <v>1510</v>
      </c>
      <c r="U2" s="418" t="s">
        <v>1511</v>
      </c>
      <c r="V2" s="418" t="s">
        <v>1512</v>
      </c>
      <c r="W2" s="418" t="s">
        <v>1513</v>
      </c>
      <c r="X2" s="418" t="s">
        <v>1514</v>
      </c>
    </row>
    <row r="3" customFormat="false" ht="10.15" hidden="false" customHeight="false" outlineLevel="0" collapsed="false">
      <c r="A3" s="595" t="str">
        <f aca="false">'Plant loading'!A5</f>
        <v>Acton</v>
      </c>
      <c r="B3" s="595" t="str">
        <f aca="false">'Plant loading'!B5</f>
        <v>PEBAN</v>
      </c>
      <c r="C3" s="595" t="n">
        <f aca="false">'Plant loading'!E5</f>
        <v>547</v>
      </c>
      <c r="D3" s="450" t="n">
        <f aca="false">'Plant loading'!H5</f>
        <v>36</v>
      </c>
      <c r="E3" s="595" t="n">
        <f aca="false">C3/D3</f>
        <v>15.1944444444444</v>
      </c>
      <c r="F3" s="595" t="n">
        <f aca="false">E3*54.5</f>
        <v>828.097222222222</v>
      </c>
      <c r="G3" s="610" t="n">
        <f aca="false">CHOOSE(MATCH(F3,W$3:W$14,1),X$3,X$4,X$5,X$6,X$7,X$8,X$9,X$10,X$11,X$12,X$13,X$14)</f>
        <v>88.5162353305465</v>
      </c>
      <c r="H3" s="0" t="n">
        <f aca="false">((($D3*$E3)*54.5)*(1+(1-(G3/100)))/1000)</f>
        <v>33.2349825044341</v>
      </c>
      <c r="I3" s="884" t="n">
        <f aca="false">((($D3*$E3)*54.5)*(1+(1-0.92))/1000)</f>
        <v>32.19642</v>
      </c>
      <c r="J3" s="884" t="n">
        <f aca="false">H3-I3</f>
        <v>1.03856250443413</v>
      </c>
      <c r="K3" s="885" t="n">
        <f aca="false">(J3*24*365)*$V$18</f>
        <v>1174.52695326462</v>
      </c>
      <c r="L3" s="886" t="n">
        <f aca="false">CHOOSE(MATCH(F3,N$96:N$107,1),O$96,O$97,O$98,O$99,O$100,O$101,O$102,O$103,O$104,O$105,O$106,O$107)</f>
        <v>95</v>
      </c>
      <c r="M3" s="887" t="n">
        <f aca="false">((($D3*$E3)*54.5)*(1+(1-(L3/100)))/1000)</f>
        <v>31.302075</v>
      </c>
      <c r="N3" s="887" t="n">
        <f aca="false">H3-M3</f>
        <v>1.93290750443413</v>
      </c>
      <c r="O3" s="888" t="n">
        <f aca="false">(N3*24*365)*$V$18</f>
        <v>2185.95602328462</v>
      </c>
      <c r="P3" s="889" t="n">
        <f aca="false">((($D3*$E3)*54.5)*(1+(1-0.97))/1000)</f>
        <v>30.705845</v>
      </c>
      <c r="Q3" s="889" t="n">
        <f aca="false">H3-P3</f>
        <v>2.52913750443413</v>
      </c>
      <c r="R3" s="890" t="n">
        <f aca="false">(Q3*24*365)*$V$18</f>
        <v>2860.24206996463</v>
      </c>
      <c r="T3" s="418" t="n">
        <v>57.039</v>
      </c>
      <c r="U3" s="418" t="n">
        <v>3.026</v>
      </c>
      <c r="V3" s="418" t="n">
        <v>230.4</v>
      </c>
      <c r="W3" s="418" t="n">
        <f aca="false">U3*T3</f>
        <v>172.600014</v>
      </c>
      <c r="X3" s="891" t="n">
        <f aca="false">T3*U3*100/V3</f>
        <v>74.9132005208333</v>
      </c>
    </row>
    <row r="4" customFormat="false" ht="10.15" hidden="false" customHeight="false" outlineLevel="0" collapsed="false">
      <c r="A4" s="595" t="str">
        <f aca="false">'Plant loading'!A6</f>
        <v>Acton</v>
      </c>
      <c r="B4" s="595" t="str">
        <f aca="false">'Plant loading'!B6</f>
        <v>PECAN</v>
      </c>
      <c r="C4" s="595" t="n">
        <f aca="false">'Plant loading'!E6</f>
        <v>449</v>
      </c>
      <c r="D4" s="450" t="n">
        <v>36</v>
      </c>
      <c r="E4" s="595" t="n">
        <f aca="false">C4/D4</f>
        <v>12.4722222222222</v>
      </c>
      <c r="F4" s="595" t="n">
        <f aca="false">E4*54.5</f>
        <v>679.736111111111</v>
      </c>
      <c r="G4" s="610" t="n">
        <f aca="false">CHOOSE(MATCH(F4,W$3:W$14,1),X$3,X$4,X$5,X$6,X$7,X$8,X$9,X$10,X$11,X$12,X$13,X$14)</f>
        <v>88.5162353305465</v>
      </c>
      <c r="H4" s="0" t="n">
        <f aca="false">((($D4*$E4)*54.5)*(1+(1-(G4/100)))/1000)</f>
        <v>27.2806346334386</v>
      </c>
      <c r="I4" s="884" t="n">
        <f aca="false">((($D4*$E4)*54.5)*(1+(1-0.92))/1000)</f>
        <v>26.42814</v>
      </c>
      <c r="J4" s="884" t="n">
        <f aca="false">H4-I4</f>
        <v>0.85249463343861</v>
      </c>
      <c r="K4" s="885" t="n">
        <f aca="false">(J4*24*365)*$V$18</f>
        <v>964.099820869859</v>
      </c>
      <c r="L4" s="886" t="n">
        <f aca="false">CHOOSE(MATCH(F4,N$96:N$107,1),O$96,O$97,O$98,O$99,O$100,O$101,O$102,O$103,O$104,O$105,O$106,O$107)</f>
        <v>93</v>
      </c>
      <c r="M4" s="887" t="n">
        <f aca="false">((($D4*$E4)*54.5)*(1+(1-(L4/100)))/1000)</f>
        <v>26.183435</v>
      </c>
      <c r="N4" s="887" t="n">
        <f aca="false">H4-M4</f>
        <v>1.09719963343861</v>
      </c>
      <c r="O4" s="888" t="n">
        <f aca="false">(N4*24*365)*$V$18</f>
        <v>1240.84062064986</v>
      </c>
      <c r="P4" s="889" t="n">
        <f aca="false">((($D4*$E4)*54.5)*(1+(1-0.97))/1000)</f>
        <v>25.204615</v>
      </c>
      <c r="Q4" s="889" t="n">
        <f aca="false">H4-P4</f>
        <v>2.07601963343861</v>
      </c>
      <c r="R4" s="890" t="n">
        <f aca="false">(Q4*24*365)*$V$18</f>
        <v>2347.80381976986</v>
      </c>
      <c r="T4" s="418" t="n">
        <v>57.032</v>
      </c>
      <c r="U4" s="418" t="n">
        <v>5.031</v>
      </c>
      <c r="V4" s="418" t="n">
        <v>349.6</v>
      </c>
      <c r="W4" s="418" t="n">
        <f aca="false">U4*T4</f>
        <v>286.927992</v>
      </c>
      <c r="X4" s="891" t="n">
        <f aca="false">T4*U4*100/V4</f>
        <v>82.0732242562929</v>
      </c>
    </row>
    <row r="5" customFormat="false" ht="10.15" hidden="false" customHeight="false" outlineLevel="0" collapsed="false">
      <c r="A5" s="595" t="str">
        <f aca="false">'Plant loading'!A7</f>
        <v>Acton</v>
      </c>
      <c r="B5" s="595" t="str">
        <f aca="false">'Plant loading'!B7</f>
        <v>PEFAN</v>
      </c>
      <c r="C5" s="595" t="n">
        <f aca="false">'Plant loading'!E7</f>
        <v>693</v>
      </c>
      <c r="D5" s="450" t="n">
        <f aca="false">'Plant loading'!H7</f>
        <v>36</v>
      </c>
      <c r="E5" s="595" t="n">
        <f aca="false">C5/D5</f>
        <v>19.25</v>
      </c>
      <c r="F5" s="595" t="n">
        <f aca="false">E5*54.5</f>
        <v>1049.125</v>
      </c>
      <c r="G5" s="610" t="n">
        <f aca="false">CHOOSE(MATCH(F5,W$3:W$14,1),X$3,X$4,X$5,X$6,X$7,X$8,X$9,X$10,X$11,X$12,X$13,X$14)</f>
        <v>90.745146605758</v>
      </c>
      <c r="H5" s="0" t="n">
        <f aca="false">((($D5*$E5)*54.5)*(1+(1-(G5/100)))/1000)</f>
        <v>41.2639193042043</v>
      </c>
      <c r="I5" s="884" t="n">
        <f aca="false">((($D5*$E5)*54.5)*(1+(1-0.92))/1000)</f>
        <v>40.78998</v>
      </c>
      <c r="J5" s="884" t="n">
        <f aca="false">H5-I5</f>
        <v>0.473939304204293</v>
      </c>
      <c r="K5" s="885" t="n">
        <f aca="false">(J5*24*365)*$V$18</f>
        <v>535.985542153503</v>
      </c>
      <c r="L5" s="886" t="n">
        <f aca="false">CHOOSE(MATCH(F5,N$96:N$107,1),O$96,O$97,O$98,O$99,O$100,O$101,O$102,O$103,O$104,O$105,O$106,O$107)</f>
        <v>96</v>
      </c>
      <c r="M5" s="887" t="n">
        <f aca="false">((($D5*$E5)*54.5)*(1+(1-(L5/100)))/1000)</f>
        <v>39.27924</v>
      </c>
      <c r="N5" s="887" t="n">
        <f aca="false">H5-M5</f>
        <v>1.98467930420429</v>
      </c>
      <c r="O5" s="888" t="n">
        <f aca="false">(N5*24*365)*$V$18</f>
        <v>2244.5055799935</v>
      </c>
      <c r="P5" s="889" t="n">
        <f aca="false">((($D5*$E5)*54.5)*(1+(1-0.97))/1000)</f>
        <v>38.901555</v>
      </c>
      <c r="Q5" s="889" t="n">
        <f aca="false">H5-P5</f>
        <v>2.36236430420429</v>
      </c>
      <c r="R5" s="890" t="n">
        <f aca="false">(Q5*24*365)*$V$18</f>
        <v>2671.6355894535</v>
      </c>
      <c r="T5" s="418" t="n">
        <v>57.013</v>
      </c>
      <c r="U5" s="418" t="n">
        <v>10.028</v>
      </c>
      <c r="V5" s="418" t="n">
        <v>645.9</v>
      </c>
      <c r="W5" s="418" t="n">
        <f aca="false">U5*T5</f>
        <v>571.726364</v>
      </c>
      <c r="X5" s="891" t="n">
        <f aca="false">T5*U5*100/V5</f>
        <v>88.5162353305465</v>
      </c>
    </row>
    <row r="6" customFormat="false" ht="10.15" hidden="false" customHeight="false" outlineLevel="0" collapsed="false">
      <c r="A6" s="595" t="str">
        <f aca="false">'Plant loading'!A8</f>
        <v>Acton</v>
      </c>
      <c r="B6" s="595" t="str">
        <f aca="false">'Plant loading'!B8</f>
        <v>PEGAN</v>
      </c>
      <c r="C6" s="595" t="n">
        <f aca="false">'Plant loading'!E8</f>
        <v>739</v>
      </c>
      <c r="D6" s="450" t="n">
        <f aca="false">'Plant loading'!H8</f>
        <v>36</v>
      </c>
      <c r="E6" s="595" t="n">
        <f aca="false">C6/D6</f>
        <v>20.5277777777778</v>
      </c>
      <c r="F6" s="595" t="n">
        <f aca="false">E6*54.5</f>
        <v>1118.76388888889</v>
      </c>
      <c r="G6" s="610" t="n">
        <f aca="false">CHOOSE(MATCH(F6,W$3:W$14,1),X$3,X$4,X$5,X$6,X$7,X$8,X$9,X$10,X$11,X$12,X$13,X$14)</f>
        <v>90.745146605758</v>
      </c>
      <c r="H6" s="0" t="n">
        <f aca="false">((($D6*$E6)*54.5)*(1+(1-(G6/100)))/1000)</f>
        <v>44.0029384787979</v>
      </c>
      <c r="I6" s="884" t="n">
        <f aca="false">((($D6*$E6)*54.5)*(1+(1-0.92))/1000)</f>
        <v>43.49754</v>
      </c>
      <c r="J6" s="884" t="n">
        <f aca="false">H6-I6</f>
        <v>0.505398478797936</v>
      </c>
      <c r="K6" s="885" t="n">
        <f aca="false">(J6*24*365)*$V$18</f>
        <v>571.563226048247</v>
      </c>
      <c r="L6" s="886" t="n">
        <f aca="false">CHOOSE(MATCH(F6,N$96:N$107,1),O$96,O$97,O$98,O$99,O$100,O$101,O$102,O$103,O$104,O$105,O$106,O$107)</f>
        <v>96</v>
      </c>
      <c r="M6" s="887" t="n">
        <v>0</v>
      </c>
      <c r="N6" s="887" t="n">
        <v>0</v>
      </c>
      <c r="O6" s="888" t="n">
        <f aca="false">(N6*24*365)*$V$18</f>
        <v>0</v>
      </c>
      <c r="P6" s="889" t="n">
        <f aca="false">((($D6*$E6)*54.5)*(1+(1-0.97))/1000)</f>
        <v>41.483765</v>
      </c>
      <c r="Q6" s="889" t="n">
        <f aca="false">H6-P6</f>
        <v>2.51917347879794</v>
      </c>
      <c r="R6" s="890" t="n">
        <f aca="false">(Q6*24*365)*$V$18</f>
        <v>2848.97359394825</v>
      </c>
      <c r="T6" s="418" t="n">
        <v>56.995</v>
      </c>
      <c r="U6" s="418" t="n">
        <v>14.987</v>
      </c>
      <c r="V6" s="418" t="n">
        <v>941.3</v>
      </c>
      <c r="W6" s="418" t="n">
        <f aca="false">U6*T6</f>
        <v>854.184065</v>
      </c>
      <c r="X6" s="891" t="n">
        <f aca="false">T6*U6*100/V6</f>
        <v>90.745146605758</v>
      </c>
    </row>
    <row r="7" customFormat="false" ht="10.15" hidden="false" customHeight="false" outlineLevel="0" collapsed="false">
      <c r="A7" s="595" t="str">
        <f aca="false">'Plant loading'!A17</f>
        <v>Crawley</v>
      </c>
      <c r="B7" s="595" t="str">
        <f aca="false">'Plant loading'!B17</f>
        <v>PEACY</v>
      </c>
      <c r="C7" s="595" t="n">
        <f aca="false">'Plant loading'!E17</f>
        <v>331</v>
      </c>
      <c r="D7" s="450" t="n">
        <f aca="false">'Plant loading'!H17</f>
        <v>36</v>
      </c>
      <c r="E7" s="595" t="n">
        <f aca="false">C7/D7</f>
        <v>9.19444444444444</v>
      </c>
      <c r="F7" s="595" t="n">
        <f aca="false">E7*54.5</f>
        <v>501.097222222222</v>
      </c>
      <c r="G7" s="610" t="n">
        <f aca="false">CHOOSE(MATCH(F7,W$3:W$14,1),X$3,X$4,X$5,X$6,X$7,X$8,X$9,X$10,X$11,X$12,X$13,X$14)</f>
        <v>82.0732242562929</v>
      </c>
      <c r="H7" s="0" t="n">
        <f aca="false">((($D7*$E7)*54.5)*(1+(1-(G7/100)))/1000)</f>
        <v>21.273400710286</v>
      </c>
      <c r="I7" s="884" t="n">
        <f aca="false">((($D7*$E7)*54.5)*(1+(1-0.92))/1000)</f>
        <v>19.48266</v>
      </c>
      <c r="J7" s="884" t="n">
        <f aca="false">H7-I7</f>
        <v>1.79074071028604</v>
      </c>
      <c r="K7" s="885" t="n">
        <f aca="false">(J7*24*365)*$V$18</f>
        <v>2025.17732111385</v>
      </c>
      <c r="L7" s="886" t="n">
        <f aca="false">CHOOSE(MATCH(F7,N$96:N$107,1),O$96,O$97,O$98,O$99,O$100,O$101,O$102,O$103,O$104,O$105,O$106,O$107)</f>
        <v>91</v>
      </c>
      <c r="M7" s="887" t="n">
        <f aca="false">((($D7*$E7)*54.5)*(1+(1-(L7/100)))/1000)</f>
        <v>19.663055</v>
      </c>
      <c r="N7" s="887" t="n">
        <f aca="false">H7-M7</f>
        <v>1.61034571028605</v>
      </c>
      <c r="O7" s="888" t="n">
        <f aca="false">(N7*24*365)*$V$18</f>
        <v>1821.16572929386</v>
      </c>
      <c r="P7" s="889" t="n">
        <f aca="false">((($D7*$E7)*54.5)*(1+(1-0.97))/1000)</f>
        <v>18.580685</v>
      </c>
      <c r="Q7" s="889" t="n">
        <f aca="false">H7-P7</f>
        <v>2.69271571028604</v>
      </c>
      <c r="R7" s="890" t="n">
        <f aca="false">(Q7*24*365)*$V$18</f>
        <v>3045.23528021385</v>
      </c>
      <c r="T7" s="418" t="n">
        <v>56.976</v>
      </c>
      <c r="U7" s="418" t="n">
        <v>20</v>
      </c>
      <c r="V7" s="418" t="n">
        <v>1242.1</v>
      </c>
      <c r="W7" s="418" t="n">
        <f aca="false">U7*T7</f>
        <v>1139.52</v>
      </c>
      <c r="X7" s="891" t="n">
        <f aca="false">T7*U7*100/V7</f>
        <v>91.7414056839224</v>
      </c>
    </row>
    <row r="8" customFormat="false" ht="10.15" hidden="false" customHeight="false" outlineLevel="0" collapsed="false">
      <c r="A8" s="595" t="str">
        <f aca="false">'Plant loading'!A18</f>
        <v>Crawley</v>
      </c>
      <c r="B8" s="595" t="str">
        <f aca="false">'Plant loading'!B18</f>
        <v>PEBCY</v>
      </c>
      <c r="C8" s="595" t="n">
        <f aca="false">'Plant loading'!E18</f>
        <v>381</v>
      </c>
      <c r="D8" s="450" t="n">
        <f aca="false">'Plant loading'!H18</f>
        <v>36</v>
      </c>
      <c r="E8" s="595" t="n">
        <f aca="false">C8/D8</f>
        <v>10.5833333333333</v>
      </c>
      <c r="F8" s="595" t="n">
        <f aca="false">E8*54.5</f>
        <v>576.791666666667</v>
      </c>
      <c r="G8" s="610" t="n">
        <f aca="false">CHOOSE(MATCH(F8,W$3:W$14,1),X$3,X$4,X$5,X$6,X$7,X$8,X$9,X$10,X$11,X$12,X$13,X$14)</f>
        <v>88.5162353305465</v>
      </c>
      <c r="H8" s="0" t="n">
        <f aca="false">((($D8*$E8)*54.5)*(1+(1-(G8/100)))/1000)</f>
        <v>23.1490463147887</v>
      </c>
      <c r="I8" s="884" t="n">
        <f aca="false">((($D8*$E8)*54.5)*(1+(1-0.92))/1000)</f>
        <v>22.42566</v>
      </c>
      <c r="J8" s="884" t="n">
        <f aca="false">H8-I8</f>
        <v>0.723386314788669</v>
      </c>
      <c r="K8" s="885" t="n">
        <f aca="false">(J8*24*365)*$V$18</f>
        <v>818.089157575543</v>
      </c>
      <c r="L8" s="886" t="n">
        <f aca="false">CHOOSE(MATCH(F8,N$96:N$107,1),O$96,O$97,O$98,O$99,O$100,O$101,O$102,O$103,O$104,O$105,O$106,O$107)</f>
        <v>93</v>
      </c>
      <c r="M8" s="887" t="n">
        <f aca="false">((($D8*$E8)*54.5)*(1+(1-(L8/100)))/1000)</f>
        <v>22.218015</v>
      </c>
      <c r="N8" s="887" t="n">
        <f aca="false">H8-M8</f>
        <v>0.931031314788676</v>
      </c>
      <c r="O8" s="888" t="n">
        <f aca="false">(N8*24*365)*$V$18</f>
        <v>1052.91821039555</v>
      </c>
      <c r="P8" s="889" t="n">
        <f aca="false">((($D8*$E8)*54.5)*(1+(1-0.97))/1000)</f>
        <v>21.387435</v>
      </c>
      <c r="Q8" s="889" t="n">
        <f aca="false">H8-P8</f>
        <v>1.76161131478867</v>
      </c>
      <c r="R8" s="890" t="n">
        <f aca="false">(Q8*24*365)*$V$18</f>
        <v>1992.23442167554</v>
      </c>
      <c r="T8" s="418" t="n">
        <v>56.946</v>
      </c>
      <c r="U8" s="418" t="n">
        <v>25.006</v>
      </c>
      <c r="V8" s="418" t="n">
        <v>1541</v>
      </c>
      <c r="W8" s="418" t="n">
        <f aca="false">U8*T8</f>
        <v>1423.991676</v>
      </c>
      <c r="X8" s="891" t="n">
        <f aca="false">T8*U8*100/V8</f>
        <v>92.4069874107722</v>
      </c>
    </row>
    <row r="9" customFormat="false" ht="10.15" hidden="false" customHeight="false" outlineLevel="0" collapsed="false">
      <c r="A9" s="595" t="str">
        <f aca="false">'Plant loading'!A19</f>
        <v>Crawley</v>
      </c>
      <c r="B9" s="595" t="str">
        <f aca="false">'Plant loading'!B19</f>
        <v>PECCY</v>
      </c>
      <c r="C9" s="595" t="n">
        <f aca="false">'Plant loading'!E19</f>
        <v>606</v>
      </c>
      <c r="D9" s="450" t="n">
        <f aca="false">'Plant loading'!H19</f>
        <v>36</v>
      </c>
      <c r="E9" s="595" t="n">
        <f aca="false">C9/D9</f>
        <v>16.8333333333333</v>
      </c>
      <c r="F9" s="595" t="n">
        <f aca="false">E9*54.5</f>
        <v>917.416666666667</v>
      </c>
      <c r="G9" s="610" t="n">
        <f aca="false">CHOOSE(MATCH(F9,W$3:W$14,1),X$3,X$4,X$5,X$6,X$7,X$8,X$9,X$10,X$11,X$12,X$13,X$14)</f>
        <v>90.745146605758</v>
      </c>
      <c r="H9" s="0" t="n">
        <f aca="false">((($D9*$E9)*54.5)*(1+(1-(G9/100)))/1000)</f>
        <v>36.0836004305163</v>
      </c>
      <c r="I9" s="884" t="n">
        <f aca="false">((($D9*$E9)*54.5)*(1+(1-0.92))/1000)</f>
        <v>35.66916</v>
      </c>
      <c r="J9" s="884" t="n">
        <f aca="false">H9-I9</f>
        <v>0.414440430516294</v>
      </c>
      <c r="K9" s="885" t="n">
        <f aca="false">(J9*24*365)*$V$18</f>
        <v>468.697313917765</v>
      </c>
      <c r="L9" s="886" t="n">
        <f aca="false">CHOOSE(MATCH(F9,N$96:N$107,1),O$96,O$97,O$98,O$99,O$100,O$101,O$102,O$103,O$104,O$105,O$106,O$107)</f>
        <v>95.5</v>
      </c>
      <c r="M9" s="887" t="n">
        <f aca="false">((($D9*$E9)*54.5)*(1+(1-(L9/100)))/1000)</f>
        <v>34.513215</v>
      </c>
      <c r="N9" s="887" t="n">
        <f aca="false">H9-M9</f>
        <v>1.5703854305163</v>
      </c>
      <c r="O9" s="888" t="n">
        <f aca="false">(N9*24*365)*$V$18</f>
        <v>1775.97400953778</v>
      </c>
      <c r="P9" s="889" t="n">
        <f aca="false">((($D9*$E9)*54.5)*(1+(1-0.97))/1000)</f>
        <v>34.01781</v>
      </c>
      <c r="Q9" s="889" t="n">
        <f aca="false">H9-P9</f>
        <v>2.0657904305163</v>
      </c>
      <c r="R9" s="890" t="n">
        <f aca="false">(Q9*24*365)*$V$18</f>
        <v>2336.23545051777</v>
      </c>
      <c r="T9" s="418" t="n">
        <v>56.929</v>
      </c>
      <c r="U9" s="418" t="n">
        <v>30.01</v>
      </c>
      <c r="V9" s="418" t="n">
        <v>1852.4</v>
      </c>
      <c r="W9" s="418" t="n">
        <f aca="false">U9*T9</f>
        <v>1708.43929</v>
      </c>
      <c r="X9" s="891" t="n">
        <f aca="false">T9*U9*100/V9</f>
        <v>92.2284220470741</v>
      </c>
    </row>
    <row r="10" customFormat="false" ht="10.15" hidden="false" customHeight="false" outlineLevel="0" collapsed="false">
      <c r="A10" s="595" t="str">
        <f aca="false">'Plant loading'!A20</f>
        <v>Crawley</v>
      </c>
      <c r="B10" s="595" t="str">
        <f aca="false">'Plant loading'!B20</f>
        <v>PEDCY</v>
      </c>
      <c r="C10" s="595" t="n">
        <f aca="false">'Plant loading'!E20</f>
        <v>485</v>
      </c>
      <c r="D10" s="450" t="n">
        <f aca="false">'Plant loading'!H20</f>
        <v>36</v>
      </c>
      <c r="E10" s="595" t="n">
        <f aca="false">C10/D10</f>
        <v>13.4722222222222</v>
      </c>
      <c r="F10" s="595" t="n">
        <f aca="false">E10*54.5</f>
        <v>734.236111111111</v>
      </c>
      <c r="G10" s="610" t="n">
        <f aca="false">CHOOSE(MATCH(F10,W$3:W$14,1),X$3,X$4,X$5,X$6,X$7,X$8,X$9,X$10,X$11,X$12,X$13,X$14)</f>
        <v>88.5162353305465</v>
      </c>
      <c r="H10" s="0" t="n">
        <f aca="false">((($D10*$E10)*54.5)*(1+(1-(G10/100)))/1000)</f>
        <v>29.4679460962533</v>
      </c>
      <c r="I10" s="884" t="n">
        <f aca="false">((($D10*$E10)*54.5)*(1+(1-0.92))/1000)</f>
        <v>28.5471</v>
      </c>
      <c r="J10" s="884" t="n">
        <f aca="false">H10-I10</f>
        <v>0.920846096253289</v>
      </c>
      <c r="K10" s="885" t="n">
        <f aca="false">(J10*24*365)*$V$18</f>
        <v>1041.39958379038</v>
      </c>
      <c r="L10" s="886" t="n">
        <f aca="false">CHOOSE(MATCH(F10,N$96:N$107,1),O$96,O$97,O$98,O$99,O$100,O$101,O$102,O$103,O$104,O$105,O$106,O$107)</f>
        <v>95</v>
      </c>
      <c r="M10" s="887" t="n">
        <f aca="false">((($D10*$E10)*54.5)*(1+(1-(L10/100)))/1000)</f>
        <v>27.754125</v>
      </c>
      <c r="N10" s="887" t="n">
        <f aca="false">H10-M10</f>
        <v>1.71382109625329</v>
      </c>
      <c r="O10" s="888" t="n">
        <f aca="false">(N10*24*365)*$V$18</f>
        <v>1938.18769889039</v>
      </c>
      <c r="P10" s="889" t="n">
        <f aca="false">((($D10*$E10)*54.5)*(1+(1-0.97))/1000)</f>
        <v>27.225475</v>
      </c>
      <c r="Q10" s="889" t="n">
        <f aca="false">H10-P10</f>
        <v>2.24247109625329</v>
      </c>
      <c r="R10" s="890" t="n">
        <f aca="false">(Q10*24*365)*$V$18</f>
        <v>2536.04644229039</v>
      </c>
      <c r="T10" s="418" t="n">
        <v>56.917</v>
      </c>
      <c r="U10" s="418" t="n">
        <v>35.074</v>
      </c>
      <c r="V10" s="418" t="n">
        <v>2166</v>
      </c>
      <c r="W10" s="418" t="n">
        <f aca="false">U10*T10</f>
        <v>1996.306858</v>
      </c>
      <c r="X10" s="891" t="n">
        <f aca="false">T10*U10*100/V10</f>
        <v>92.165598245614</v>
      </c>
    </row>
    <row r="11" customFormat="false" ht="10.15" hidden="false" customHeight="false" outlineLevel="0" collapsed="false">
      <c r="A11" s="595" t="str">
        <f aca="false">'Plant loading'!A21</f>
        <v>Crawley</v>
      </c>
      <c r="B11" s="595" t="str">
        <f aca="false">'Plant loading'!B21</f>
        <v>PEECY</v>
      </c>
      <c r="C11" s="595" t="n">
        <f aca="false">'Plant loading'!E21</f>
        <v>291</v>
      </c>
      <c r="D11" s="450" t="n">
        <f aca="false">'Plant loading'!H21</f>
        <v>36</v>
      </c>
      <c r="E11" s="595" t="n">
        <f aca="false">C11/D11</f>
        <v>8.08333333333333</v>
      </c>
      <c r="F11" s="595" t="n">
        <f aca="false">E11*54.5</f>
        <v>440.541666666667</v>
      </c>
      <c r="G11" s="610" t="n">
        <f aca="false">CHOOSE(MATCH(F11,W$3:W$14,1),X$3,X$4,X$5,X$6,X$7,X$8,X$9,X$10,X$11,X$12,X$13,X$14)</f>
        <v>82.0732242562929</v>
      </c>
      <c r="H11" s="0" t="n">
        <f aca="false">((($D11*$E11)*54.5)*(1+(1-(G11/100)))/1000)</f>
        <v>18.7025969990732</v>
      </c>
      <c r="I11" s="884" t="n">
        <f aca="false">((($D11*$E11)*54.5)*(1+(1-0.92))/1000)</f>
        <v>17.12826</v>
      </c>
      <c r="J11" s="884" t="n">
        <f aca="false">H11-I11</f>
        <v>1.57433699907323</v>
      </c>
      <c r="K11" s="885" t="n">
        <f aca="false">(J11*24*365)*$V$18</f>
        <v>1780.4429016439</v>
      </c>
      <c r="L11" s="886" t="n">
        <f aca="false">CHOOSE(MATCH(F11,N$96:N$107,1),O$96,O$97,O$98,O$99,O$100,O$101,O$102,O$103,O$104,O$105,O$106,O$107)</f>
        <v>91</v>
      </c>
      <c r="M11" s="887" t="n">
        <f aca="false">((($D11*$E11)*54.5)*(1+(1-(L11/100)))/1000)</f>
        <v>17.286855</v>
      </c>
      <c r="N11" s="887" t="n">
        <f aca="false">H11-M11</f>
        <v>1.41574199907323</v>
      </c>
      <c r="O11" s="888" t="n">
        <f aca="false">(N11*24*365)*$V$18</f>
        <v>1601.0852786239</v>
      </c>
      <c r="P11" s="889" t="n">
        <f aca="false">((($D11*$E11)*54.5)*(1+(1-0.97))/1000)</f>
        <v>16.335285</v>
      </c>
      <c r="Q11" s="889" t="n">
        <f aca="false">H11-P11</f>
        <v>2.36731199907323</v>
      </c>
      <c r="R11" s="890" t="n">
        <f aca="false">(Q11*24*365)*$V$18</f>
        <v>2677.2310167439</v>
      </c>
      <c r="T11" s="418" t="n">
        <v>56.9</v>
      </c>
      <c r="U11" s="418" t="n">
        <v>40.103</v>
      </c>
      <c r="V11" s="418" t="n">
        <v>2477</v>
      </c>
      <c r="W11" s="418" t="n">
        <f aca="false">U11*T11</f>
        <v>2281.8607</v>
      </c>
      <c r="X11" s="891" t="n">
        <f aca="false">T11*U11*100/V11</f>
        <v>92.1219499394429</v>
      </c>
    </row>
    <row r="12" customFormat="false" ht="10.15" hidden="false" customHeight="false" outlineLevel="0" collapsed="false">
      <c r="A12" s="595" t="str">
        <f aca="false">'Plant loading'!A22</f>
        <v>Edinburgh</v>
      </c>
      <c r="B12" s="595" t="str">
        <f aca="false">'Plant loading'!B22</f>
        <v>PECEH</v>
      </c>
      <c r="C12" s="595" t="n">
        <f aca="false">'Plant loading'!E22</f>
        <v>881</v>
      </c>
      <c r="D12" s="450" t="n">
        <f aca="false">'Plant loading'!H22</f>
        <v>36</v>
      </c>
      <c r="E12" s="595" t="n">
        <f aca="false">C12/D12</f>
        <v>24.4722222222222</v>
      </c>
      <c r="F12" s="595" t="n">
        <f aca="false">E12*54.5</f>
        <v>1333.73611111111</v>
      </c>
      <c r="G12" s="610" t="n">
        <f aca="false">CHOOSE(MATCH(F12,W$3:W$14,1),X$3,X$4,X$5,X$6,X$7,X$8,X$9,X$10,X$11,X$12,X$13,X$14)</f>
        <v>91.7414056839224</v>
      </c>
      <c r="H12" s="0" t="n">
        <f aca="false">((($D12*$E12)*54.5)*(1+(1-(G12/100)))/1000)</f>
        <v>51.9798227678931</v>
      </c>
      <c r="I12" s="884" t="n">
        <f aca="false">((($D12*$E12)*54.5)*(1+(1-0.92))/1000)</f>
        <v>51.85566</v>
      </c>
      <c r="J12" s="884" t="n">
        <f aca="false">H12-I12</f>
        <v>0.124162767893083</v>
      </c>
      <c r="K12" s="885" t="n">
        <f aca="false">(J12*24*365)*$V$18</f>
        <v>140.417660814573</v>
      </c>
      <c r="L12" s="886" t="n">
        <f aca="false">CHOOSE(MATCH(F12,N$96:N$107,1),O$96,O$97,O$98,O$99,O$100,O$101,O$102,O$103,O$104,O$105,O$106,O$107)</f>
        <v>96</v>
      </c>
      <c r="M12" s="887" t="n">
        <f aca="false">((($D12*$E12)*54.5)*(1+(1-(L12/100)))/1000)</f>
        <v>49.93508</v>
      </c>
      <c r="N12" s="887" t="n">
        <f aca="false">H12-M12</f>
        <v>2.04474276789308</v>
      </c>
      <c r="O12" s="888" t="n">
        <f aca="false">(N12*24*365)*$V$18</f>
        <v>2312.43231209457</v>
      </c>
      <c r="P12" s="889" t="n">
        <f aca="false">((($D12*$E12)*54.5)*(1+(1-0.97))/1000)</f>
        <v>49.454935</v>
      </c>
      <c r="Q12" s="889" t="n">
        <f aca="false">H12-P12</f>
        <v>2.52488776789308</v>
      </c>
      <c r="R12" s="890" t="n">
        <f aca="false">(Q12*24*365)*$V$18</f>
        <v>2855.43597491458</v>
      </c>
      <c r="T12" s="418" t="n">
        <v>56.881</v>
      </c>
      <c r="U12" s="418" t="n">
        <v>45.073</v>
      </c>
      <c r="V12" s="418" t="n">
        <v>2788</v>
      </c>
      <c r="W12" s="418" t="n">
        <f aca="false">U12*T12</f>
        <v>2563.797313</v>
      </c>
      <c r="X12" s="891" t="n">
        <f aca="false">T12*U12*100/V12</f>
        <v>91.9582967360115</v>
      </c>
    </row>
    <row r="13" customFormat="false" ht="10.15" hidden="false" customHeight="false" outlineLevel="0" collapsed="false">
      <c r="A13" s="595" t="str">
        <f aca="false">'Plant loading'!A23</f>
        <v>Edinburgh</v>
      </c>
      <c r="B13" s="595" t="str">
        <f aca="false">'Plant loading'!B23</f>
        <v>PEDEH</v>
      </c>
      <c r="C13" s="595" t="n">
        <f aca="false">'Plant loading'!E23</f>
        <v>950</v>
      </c>
      <c r="D13" s="450" t="n">
        <f aca="false">'Plant loading'!H23</f>
        <v>36</v>
      </c>
      <c r="E13" s="595" t="n">
        <f aca="false">C13/D13</f>
        <v>26.3888888888889</v>
      </c>
      <c r="F13" s="595" t="n">
        <f aca="false">E13*54.5</f>
        <v>1438.19444444444</v>
      </c>
      <c r="G13" s="610" t="n">
        <f aca="false">CHOOSE(MATCH(F13,W$3:W$14,1),X$3,X$4,X$5,X$6,X$7,X$8,X$9,X$10,X$11,X$12,X$13,X$14)</f>
        <v>92.4069874107722</v>
      </c>
      <c r="H13" s="0" t="n">
        <f aca="false">((($D13*$E13)*54.5)*(1+(1-(G13/100)))/1000)</f>
        <v>55.7062822680727</v>
      </c>
      <c r="I13" s="884" t="n">
        <f aca="false">((($D13*$E13)*54.5)*(1+(1-0.92))/1000)</f>
        <v>55.917</v>
      </c>
      <c r="J13" s="884" t="n">
        <f aca="false">H13-I13</f>
        <v>-0.210717731927318</v>
      </c>
      <c r="K13" s="885" t="n">
        <f aca="false">(J13*24*365)*$V$18</f>
        <v>-238.304054520314</v>
      </c>
      <c r="L13" s="886" t="n">
        <f aca="false">CHOOSE(MATCH(F13,N$96:N$107,1),O$96,O$97,O$98,O$99,O$100,O$101,O$102,O$103,O$104,O$105,O$106,O$107)</f>
        <v>97</v>
      </c>
      <c r="M13" s="887" t="n">
        <f aca="false">((($D13*$E13)*54.5)*(1+(1-(L13/100)))/1000)</f>
        <v>53.32825</v>
      </c>
      <c r="N13" s="887" t="n">
        <f aca="false">H13-M13</f>
        <v>2.37803226807269</v>
      </c>
      <c r="O13" s="888" t="n">
        <f aca="false">(N13*24*365)*$V$18</f>
        <v>2689.3547404797</v>
      </c>
      <c r="P13" s="889" t="n">
        <f aca="false">((($D13*$E13)*54.5)*(1+(1-0.97))/1000)</f>
        <v>53.32825</v>
      </c>
      <c r="Q13" s="889" t="n">
        <f aca="false">H13-P13</f>
        <v>2.37803226807269</v>
      </c>
      <c r="R13" s="890" t="n">
        <f aca="false">(Q13*24*365)*$V$18</f>
        <v>2689.3547404797</v>
      </c>
      <c r="T13" s="418" t="n">
        <v>56.861</v>
      </c>
      <c r="U13" s="418" t="n">
        <v>50.099</v>
      </c>
      <c r="V13" s="418" t="n">
        <v>3105</v>
      </c>
      <c r="W13" s="418" t="n">
        <f aca="false">U13*T13</f>
        <v>2848.679239</v>
      </c>
      <c r="X13" s="891" t="n">
        <f aca="false">T13*U13*100/V13</f>
        <v>91.7449030273752</v>
      </c>
    </row>
    <row r="14" customFormat="false" ht="10.15" hidden="false" customHeight="false" outlineLevel="0" collapsed="false">
      <c r="A14" s="595" t="str">
        <f aca="false">'Plant loading'!A24</f>
        <v>Edinburgh</v>
      </c>
      <c r="B14" s="595" t="str">
        <f aca="false">'Plant loading'!B24</f>
        <v>PEEEH</v>
      </c>
      <c r="C14" s="595" t="n">
        <f aca="false">'Plant loading'!E24</f>
        <v>857</v>
      </c>
      <c r="D14" s="450" t="n">
        <f aca="false">'Plant loading'!H24</f>
        <v>36</v>
      </c>
      <c r="E14" s="595" t="n">
        <f aca="false">C14/D14</f>
        <v>23.8055555555556</v>
      </c>
      <c r="F14" s="595" t="n">
        <f aca="false">E14*54.5</f>
        <v>1297.40277777778</v>
      </c>
      <c r="G14" s="610" t="n">
        <f aca="false">CHOOSE(MATCH(F14,W$3:W$14,1),X$3,X$4,X$5,X$6,X$7,X$8,X$9,X$10,X$11,X$12,X$13,X$14)</f>
        <v>91.7414056839224</v>
      </c>
      <c r="H14" s="0" t="n">
        <f aca="false">((($D14*$E14)*54.5)*(1+(1-(G14/100)))/1000)</f>
        <v>50.5638003542388</v>
      </c>
      <c r="I14" s="884" t="n">
        <f aca="false">((($D14*$E14)*54.5)*(1+(1-0.92))/1000)</f>
        <v>50.44302</v>
      </c>
      <c r="J14" s="884" t="n">
        <f aca="false">H14-I14</f>
        <v>0.120780354238782</v>
      </c>
      <c r="K14" s="885" t="n">
        <f aca="false">(J14*24*365)*$V$18</f>
        <v>136.592435094307</v>
      </c>
      <c r="L14" s="886" t="n">
        <f aca="false">CHOOSE(MATCH(F14,N$96:N$107,1),O$96,O$97,O$98,O$99,O$100,O$101,O$102,O$103,O$104,O$105,O$106,O$107)</f>
        <v>96</v>
      </c>
      <c r="M14" s="887" t="n">
        <f aca="false">((($D14*$E14)*54.5)*(1+(1-(L14/100)))/1000)</f>
        <v>48.57476</v>
      </c>
      <c r="N14" s="887" t="n">
        <f aca="false">H14-M14</f>
        <v>1.98904035423878</v>
      </c>
      <c r="O14" s="888" t="n">
        <f aca="false">(N14*24*365)*$V$18</f>
        <v>2249.43756125431</v>
      </c>
      <c r="P14" s="889" t="n">
        <f aca="false">((($D14*$E14)*54.5)*(1+(1-0.97))/1000)</f>
        <v>48.107695</v>
      </c>
      <c r="Q14" s="889" t="n">
        <f aca="false">H14-P14</f>
        <v>2.45610535423879</v>
      </c>
      <c r="R14" s="890" t="n">
        <f aca="false">(Q14*24*365)*$V$18</f>
        <v>2777.64884279431</v>
      </c>
      <c r="T14" s="418" t="n">
        <v>56.83</v>
      </c>
      <c r="U14" s="418" t="n">
        <v>56.156</v>
      </c>
      <c r="V14" s="418" t="n">
        <v>3496</v>
      </c>
      <c r="W14" s="418" t="n">
        <f aca="false">U14*T14</f>
        <v>3191.34548</v>
      </c>
      <c r="X14" s="891" t="n">
        <f aca="false">T14*U14*100/V14</f>
        <v>91.2856258581236</v>
      </c>
    </row>
    <row r="15" customFormat="false" ht="10.15" hidden="false" customHeight="false" outlineLevel="0" collapsed="false">
      <c r="A15" s="595" t="str">
        <f aca="false">'Plant loading'!A25</f>
        <v>Edinburgh</v>
      </c>
      <c r="B15" s="595" t="str">
        <f aca="false">'Plant loading'!B25</f>
        <v>PEFEH</v>
      </c>
      <c r="C15" s="595" t="n">
        <f aca="false">'Plant loading'!E25</f>
        <v>874</v>
      </c>
      <c r="D15" s="450" t="n">
        <f aca="false">'Plant loading'!H25</f>
        <v>36</v>
      </c>
      <c r="E15" s="595" t="n">
        <f aca="false">C15/D15</f>
        <v>24.2777777777778</v>
      </c>
      <c r="F15" s="595" t="n">
        <f aca="false">E15*54.5</f>
        <v>1323.13888888889</v>
      </c>
      <c r="G15" s="610" t="n">
        <f aca="false">CHOOSE(MATCH(F15,W$3:W$14,1),X$3,X$4,X$5,X$6,X$7,X$8,X$9,X$10,X$11,X$12,X$13,X$14)</f>
        <v>91.7414056839224</v>
      </c>
      <c r="H15" s="0" t="n">
        <f aca="false">((($D15*$E15)*54.5)*(1+(1-(G15/100)))/1000)</f>
        <v>51.5668162305773</v>
      </c>
      <c r="I15" s="884" t="n">
        <f aca="false">((($D15*$E15)*54.5)*(1+(1-0.92))/1000)</f>
        <v>51.44364</v>
      </c>
      <c r="J15" s="884" t="n">
        <f aca="false">H15-I15</f>
        <v>0.123176230577243</v>
      </c>
      <c r="K15" s="885" t="n">
        <f aca="false">(J15*24*365)*$V$18</f>
        <v>139.301969979494</v>
      </c>
      <c r="L15" s="886" t="n">
        <f aca="false">CHOOSE(MATCH(F15,N$96:N$107,1),O$96,O$97,O$98,O$99,O$100,O$101,O$102,O$103,O$104,O$105,O$106,O$107)</f>
        <v>96</v>
      </c>
      <c r="M15" s="887" t="n">
        <f aca="false">((($D15*$E15)*54.5)*(1+(1-(L15/100)))/1000)</f>
        <v>49.53832</v>
      </c>
      <c r="N15" s="887" t="n">
        <f aca="false">H15-M15</f>
        <v>2.02849623057725</v>
      </c>
      <c r="O15" s="888" t="n">
        <f aca="false">(N15*24*365)*$V$18</f>
        <v>2294.05884309951</v>
      </c>
      <c r="P15" s="889" t="n">
        <f aca="false">((($D15*$E15)*54.5)*(1+(1-0.97))/1000)</f>
        <v>49.06199</v>
      </c>
      <c r="Q15" s="889" t="n">
        <f aca="false">H15-P15</f>
        <v>2.50482623057726</v>
      </c>
      <c r="R15" s="890" t="n">
        <f aca="false">(Q15*24*365)*$V$18</f>
        <v>2832.74806137951</v>
      </c>
    </row>
    <row r="16" customFormat="false" ht="10.15" hidden="false" customHeight="false" outlineLevel="0" collapsed="false">
      <c r="A16" s="892" t="str">
        <f aca="false">'Plant loading'!A26</f>
        <v>Edinburgh</v>
      </c>
      <c r="B16" s="892" t="str">
        <f aca="false">'Plant loading'!B26</f>
        <v>PEGEH</v>
      </c>
      <c r="C16" s="892" t="n">
        <f aca="false">'Plant loading'!E26</f>
        <v>928</v>
      </c>
      <c r="D16" s="893" t="n">
        <f aca="false">'Plant loading'!H26</f>
        <v>36</v>
      </c>
      <c r="E16" s="892" t="n">
        <f aca="false">C16/D16</f>
        <v>25.7777777777778</v>
      </c>
      <c r="F16" s="892" t="n">
        <f aca="false">E16*54.5</f>
        <v>1404.88888888889</v>
      </c>
      <c r="G16" s="894" t="n">
        <f aca="false">CHOOSE(MATCH(F16,W$3:W$14,1),X$3,X$4,X$5,X$6,X$7,X$8,X$9,X$10,X$11,X$12,X$13,X$14)</f>
        <v>91.7414056839224</v>
      </c>
      <c r="H16" s="895" t="n">
        <v>0</v>
      </c>
      <c r="I16" s="884" t="n">
        <v>0</v>
      </c>
      <c r="J16" s="884" t="n">
        <f aca="false">H16-I16</f>
        <v>0</v>
      </c>
      <c r="K16" s="885" t="n">
        <f aca="false">(J16*24*365)*$V$18</f>
        <v>0</v>
      </c>
      <c r="L16" s="886" t="n">
        <f aca="false">CHOOSE(MATCH(F16,N$96:N$107,1),O$96,O$97,O$98,O$99,O$100,O$101,O$102,O$103,O$104,O$105,O$106,O$107)</f>
        <v>97</v>
      </c>
      <c r="M16" s="887" t="n">
        <v>0</v>
      </c>
      <c r="N16" s="887" t="n">
        <f aca="false">H16-M16</f>
        <v>0</v>
      </c>
      <c r="O16" s="888" t="n">
        <f aca="false">(N16*24*365)*$V$18</f>
        <v>0</v>
      </c>
      <c r="P16" s="889" t="n">
        <v>0</v>
      </c>
      <c r="Q16" s="889" t="n">
        <f aca="false">H16-P16</f>
        <v>0</v>
      </c>
      <c r="R16" s="890" t="n">
        <f aca="false">(Q16*24*365)*$V$18</f>
        <v>0</v>
      </c>
    </row>
    <row r="17" customFormat="false" ht="10.15" hidden="false" customHeight="false" outlineLevel="0" collapsed="false">
      <c r="A17" s="595" t="str">
        <f aca="false">'Plant loading'!A28</f>
        <v>Esher</v>
      </c>
      <c r="B17" s="595" t="str">
        <f aca="false">'Plant loading'!B28</f>
        <v>PEDER</v>
      </c>
      <c r="C17" s="595" t="n">
        <f aca="false">'Plant loading'!E28</f>
        <v>379</v>
      </c>
      <c r="D17" s="450" t="n">
        <f aca="false">'Plant loading'!H28</f>
        <v>36</v>
      </c>
      <c r="E17" s="595" t="n">
        <f aca="false">C17/D17</f>
        <v>10.5277777777778</v>
      </c>
      <c r="F17" s="595" t="n">
        <f aca="false">E17*54.5</f>
        <v>573.763888888889</v>
      </c>
      <c r="G17" s="610" t="n">
        <f aca="false">CHOOSE(MATCH(F17,W$3:W$14,1),X$3,X$4,X$5,X$6,X$7,X$8,X$9,X$10,X$11,X$12,X$13,X$14)</f>
        <v>88.5162353305465</v>
      </c>
      <c r="H17" s="0" t="n">
        <f aca="false">((($D17*$E17)*54.5)*(1+(1-(G17/100)))/1000)</f>
        <v>23.027529011299</v>
      </c>
      <c r="I17" s="884" t="n">
        <f aca="false">((($D17*$E17)*54.5)*(1+(1-0.92))/1000)</f>
        <v>22.30794</v>
      </c>
      <c r="J17" s="884" t="n">
        <f aca="false">H17-I17</f>
        <v>0.719589011298961</v>
      </c>
      <c r="K17" s="885" t="n">
        <f aca="false">(J17*24*365)*$V$18</f>
        <v>813.794726302176</v>
      </c>
      <c r="L17" s="886" t="n">
        <f aca="false">CHOOSE(MATCH(F17,N$96:N$107,1),O$96,O$97,O$98,O$99,O$100,O$101,O$102,O$103,O$104,O$105,O$106,O$107)</f>
        <v>93</v>
      </c>
      <c r="M17" s="887" t="n">
        <f aca="false">((($D17*$E17)*54.5)*(1+(1-(L17/100)))/1000)</f>
        <v>22.101385</v>
      </c>
      <c r="N17" s="887" t="n">
        <f aca="false">H17-M17</f>
        <v>0.926144011298966</v>
      </c>
      <c r="O17" s="888" t="n">
        <f aca="false">(N17*24*365)*$V$18</f>
        <v>1047.39108068218</v>
      </c>
      <c r="P17" s="889" t="n">
        <f aca="false">((($D17*$E17)*54.5)*(1+(1-0.97))/1000)</f>
        <v>21.275165</v>
      </c>
      <c r="Q17" s="889" t="n">
        <f aca="false">H17-P17</f>
        <v>1.75236401129896</v>
      </c>
      <c r="R17" s="890" t="n">
        <f aca="false">(Q17*24*365)*$V$18</f>
        <v>1981.77649820218</v>
      </c>
    </row>
    <row r="18" customFormat="false" ht="10.15" hidden="false" customHeight="false" outlineLevel="0" collapsed="false">
      <c r="A18" s="595" t="str">
        <f aca="false">'Plant loading'!A29</f>
        <v>Esher</v>
      </c>
      <c r="B18" s="595" t="str">
        <f aca="false">'Plant loading'!B29</f>
        <v>PEEER</v>
      </c>
      <c r="C18" s="595" t="n">
        <f aca="false">'Plant loading'!E29</f>
        <v>303</v>
      </c>
      <c r="D18" s="450" t="n">
        <f aca="false">'Plant loading'!H29</f>
        <v>36</v>
      </c>
      <c r="E18" s="595" t="n">
        <f aca="false">C18/D18</f>
        <v>8.41666666666667</v>
      </c>
      <c r="F18" s="595" t="n">
        <f aca="false">E18*54.5</f>
        <v>458.708333333333</v>
      </c>
      <c r="G18" s="610" t="n">
        <f aca="false">CHOOSE(MATCH(F18,W$3:W$14,1),X$3,X$4,X$5,X$6,X$7,X$8,X$9,X$10,X$11,X$12,X$13,X$14)</f>
        <v>82.0732242562929</v>
      </c>
      <c r="H18" s="0" t="n">
        <f aca="false">((($D18*$E18)*54.5)*(1+(1-(G18/100)))/1000)</f>
        <v>19.4738381124371</v>
      </c>
      <c r="I18" s="884" t="n">
        <f aca="false">((($D18*$E18)*54.5)*(1+(1-0.92))/1000)</f>
        <v>17.83458</v>
      </c>
      <c r="J18" s="884" t="n">
        <f aca="false">H18-I18</f>
        <v>1.63925811243707</v>
      </c>
      <c r="K18" s="885" t="n">
        <f aca="false">(J18*24*365)*$V$18</f>
        <v>1853.86322748489</v>
      </c>
      <c r="L18" s="886" t="n">
        <f aca="false">CHOOSE(MATCH(F18,N$96:N$107,1),O$96,O$97,O$98,O$99,O$100,O$101,O$102,O$103,O$104,O$105,O$106,O$107)</f>
        <v>91</v>
      </c>
      <c r="M18" s="887" t="n">
        <f aca="false">((($D18*$E18)*54.5)*(1+(1-(L18/100)))/1000)</f>
        <v>17.999715</v>
      </c>
      <c r="N18" s="887" t="n">
        <f aca="false">H18-M18</f>
        <v>1.47412311243708</v>
      </c>
      <c r="O18" s="888" t="n">
        <f aca="false">(N18*24*365)*$V$18</f>
        <v>1667.10941382489</v>
      </c>
      <c r="P18" s="889" t="n">
        <f aca="false">((($D18*$E18)*54.5)*(1+(1-0.97))/1000)</f>
        <v>17.008905</v>
      </c>
      <c r="Q18" s="889" t="n">
        <f aca="false">H18-P18</f>
        <v>2.46493311243708</v>
      </c>
      <c r="R18" s="890" t="n">
        <f aca="false">(Q18*24*365)*$V$18</f>
        <v>2787.63229578489</v>
      </c>
      <c r="U18" s="620" t="s">
        <v>1515</v>
      </c>
      <c r="V18" s="896" t="n">
        <v>0.1291</v>
      </c>
    </row>
    <row r="19" customFormat="false" ht="10.15" hidden="false" customHeight="false" outlineLevel="0" collapsed="false">
      <c r="A19" s="595" t="str">
        <f aca="false">'Plant loading'!A30</f>
        <v>Esher</v>
      </c>
      <c r="B19" s="595" t="str">
        <f aca="false">'Plant loading'!B30</f>
        <v>PEFER</v>
      </c>
      <c r="C19" s="595" t="n">
        <f aca="false">'Plant loading'!E30</f>
        <v>360</v>
      </c>
      <c r="D19" s="450" t="n">
        <f aca="false">'Plant loading'!H30</f>
        <v>36</v>
      </c>
      <c r="E19" s="595" t="n">
        <f aca="false">C19/D19</f>
        <v>10</v>
      </c>
      <c r="F19" s="595" t="n">
        <f aca="false">E19*54.5</f>
        <v>545</v>
      </c>
      <c r="G19" s="610" t="n">
        <f aca="false">CHOOSE(MATCH(F19,W$3:W$14,1),X$3,X$4,X$5,X$6,X$7,X$8,X$9,X$10,X$11,X$12,X$13,X$14)</f>
        <v>82.0732242562929</v>
      </c>
      <c r="H19" s="0" t="n">
        <f aca="false">((($D19*$E19)*54.5)*(1+(1-(G19/100)))/1000)</f>
        <v>23.1372334009153</v>
      </c>
      <c r="I19" s="884" t="n">
        <f aca="false">((($D19*$E19)*54.5)*(1+(1-0.92))/1000)</f>
        <v>21.1896</v>
      </c>
      <c r="J19" s="884" t="n">
        <f aca="false">H19-I19</f>
        <v>1.94763340091533</v>
      </c>
      <c r="K19" s="885" t="n">
        <f aca="false">(J19*24*365)*$V$18</f>
        <v>2202.60977522956</v>
      </c>
      <c r="L19" s="886" t="n">
        <f aca="false">CHOOSE(MATCH(F19,N$96:N$107,1),O$96,O$97,O$98,O$99,O$100,O$101,O$102,O$103,O$104,O$105,O$106,O$107)</f>
        <v>93</v>
      </c>
      <c r="M19" s="887" t="n">
        <f aca="false">((($D19*$E19)*54.5)*(1+(1-(L19/100)))/1000)</f>
        <v>20.9934</v>
      </c>
      <c r="N19" s="887" t="n">
        <f aca="false">H19-M19</f>
        <v>2.14383340091534</v>
      </c>
      <c r="O19" s="888" t="n">
        <f aca="false">(N19*24*365)*$V$18</f>
        <v>2424.49549442957</v>
      </c>
      <c r="P19" s="889" t="n">
        <f aca="false">((($D19*$E19)*54.5)*(1+(1-0.97))/1000)</f>
        <v>20.2086</v>
      </c>
      <c r="Q19" s="889" t="n">
        <f aca="false">H19-P19</f>
        <v>2.92863340091533</v>
      </c>
      <c r="R19" s="890" t="n">
        <f aca="false">(Q19*24*365)*$V$18</f>
        <v>3312.03837122957</v>
      </c>
    </row>
    <row r="20" customFormat="false" ht="10.15" hidden="false" customHeight="false" outlineLevel="0" collapsed="false">
      <c r="A20" s="595" t="str">
        <f aca="false">'Plant loading'!A31</f>
        <v>Esher</v>
      </c>
      <c r="B20" s="595" t="str">
        <f aca="false">'Plant loading'!B31</f>
        <v>PEGER</v>
      </c>
      <c r="C20" s="595" t="n">
        <f aca="false">'Plant loading'!E31</f>
        <v>219</v>
      </c>
      <c r="D20" s="450" t="n">
        <f aca="false">'Plant loading'!H31</f>
        <v>36</v>
      </c>
      <c r="E20" s="595" t="n">
        <f aca="false">C20/D20</f>
        <v>6.08333333333333</v>
      </c>
      <c r="F20" s="595" t="n">
        <f aca="false">E20*54.5</f>
        <v>331.541666666667</v>
      </c>
      <c r="G20" s="610" t="n">
        <f aca="false">CHOOSE(MATCH(F20,W$3:W$14,1),X$3,X$4,X$5,X$6,X$7,X$8,X$9,X$10,X$11,X$12,X$13,X$14)</f>
        <v>82.0732242562929</v>
      </c>
      <c r="H20" s="0" t="n">
        <f aca="false">((($D20*$E20)*54.5)*(1+(1-(G20/100)))/1000)</f>
        <v>14.0751503188902</v>
      </c>
      <c r="I20" s="884" t="n">
        <f aca="false">((($D20*$E20)*54.5)*(1+(1-0.92))/1000)</f>
        <v>12.89034</v>
      </c>
      <c r="J20" s="884" t="n">
        <f aca="false">H20-I20</f>
        <v>1.18481031889016</v>
      </c>
      <c r="K20" s="885" t="n">
        <f aca="false">(J20*24*365)*$V$18</f>
        <v>1339.92094659799</v>
      </c>
      <c r="L20" s="886" t="e">
        <f aca="false">CHOOSE(MATCH(F20,N$96:N$107,1),O$96,O$97,O$98,O$99,O$100,O$101,O$102,O$103,O$104,O$105,O$106,O$107)</f>
        <v>#N/A</v>
      </c>
      <c r="M20" s="887" t="e">
        <f aca="false">((($D20*$E20)*54.5)*(1+(1-(L20/100)))/1000)</f>
        <v>#N/A</v>
      </c>
      <c r="N20" s="887" t="e">
        <f aca="false">H20-M20</f>
        <v>#N/A</v>
      </c>
      <c r="O20" s="888" t="e">
        <f aca="false">(N20*24*365)*$V$18</f>
        <v>#N/A</v>
      </c>
      <c r="P20" s="889" t="n">
        <f aca="false">((($D20*$E20)*54.5)*(1+(1-0.97))/1000)</f>
        <v>12.293565</v>
      </c>
      <c r="Q20" s="889" t="n">
        <f aca="false">H20-P20</f>
        <v>1.78158531889016</v>
      </c>
      <c r="R20" s="890" t="n">
        <f aca="false">(Q20*24*365)*$V$18</f>
        <v>2014.82334249799</v>
      </c>
    </row>
    <row r="21" customFormat="false" ht="10.15" hidden="false" customHeight="false" outlineLevel="0" collapsed="false">
      <c r="A21" s="595" t="str">
        <f aca="false">'Plant loading'!A32</f>
        <v>Gloucester</v>
      </c>
      <c r="B21" s="595" t="str">
        <f aca="false">'Plant loading'!B32</f>
        <v>PEAGR</v>
      </c>
      <c r="C21" s="595" t="n">
        <f aca="false">'Plant loading'!E32</f>
        <v>665</v>
      </c>
      <c r="D21" s="450" t="n">
        <f aca="false">'Plant loading'!H32</f>
        <v>36</v>
      </c>
      <c r="E21" s="595" t="n">
        <f aca="false">C21/D21</f>
        <v>18.4722222222222</v>
      </c>
      <c r="F21" s="595" t="n">
        <f aca="false">E21*54.5</f>
        <v>1006.73611111111</v>
      </c>
      <c r="G21" s="610" t="n">
        <f aca="false">CHOOSE(MATCH(F21,W$3:W$14,1),X$3,X$4,X$5,X$6,X$7,X$8,X$9,X$10,X$11,X$12,X$13,X$14)</f>
        <v>90.745146605758</v>
      </c>
      <c r="H21" s="0" t="n">
        <f aca="false">((($D21*$E21)*54.5)*(1+(1-(G21/100)))/1000)</f>
        <v>39.5966902414082</v>
      </c>
      <c r="I21" s="884" t="n">
        <f aca="false">((($D21*$E21)*54.5)*(1+(1-0.92))/1000)</f>
        <v>39.1419</v>
      </c>
      <c r="J21" s="884" t="n">
        <f aca="false">H21-I21</f>
        <v>0.454790241408155</v>
      </c>
      <c r="K21" s="885" t="n">
        <f aca="false">(J21*24*365)*$V$18</f>
        <v>514.329560652345</v>
      </c>
      <c r="L21" s="886" t="n">
        <f aca="false">CHOOSE(MATCH(F21,N$96:N$107,1),O$96,O$97,O$98,O$99,O$100,O$101,O$102,O$103,O$104,O$105,O$106,O$107)</f>
        <v>95.5</v>
      </c>
      <c r="M21" s="887" t="n">
        <f aca="false">((($D21*$E21)*54.5)*(1+(1-(L21/100)))/1000)</f>
        <v>37.8734125</v>
      </c>
      <c r="N21" s="887" t="n">
        <f aca="false">H21-M21</f>
        <v>1.72327774140815</v>
      </c>
      <c r="O21" s="888" t="n">
        <f aca="false">(N21*24*365)*$V$18</f>
        <v>1948.88237020234</v>
      </c>
      <c r="P21" s="889" t="n">
        <f aca="false">((($D21*$E21)*54.5)*(1+(1-0.97))/1000)</f>
        <v>37.329775</v>
      </c>
      <c r="Q21" s="889" t="n">
        <f aca="false">H21-P21</f>
        <v>2.26691524140816</v>
      </c>
      <c r="R21" s="890" t="n">
        <f aca="false">(Q21*24*365)*$V$18</f>
        <v>2563.69071715235</v>
      </c>
    </row>
    <row r="22" customFormat="false" ht="10.15" hidden="false" customHeight="false" outlineLevel="0" collapsed="false">
      <c r="A22" s="595" t="str">
        <f aca="false">'Plant loading'!A33</f>
        <v>Gloucester</v>
      </c>
      <c r="B22" s="595" t="str">
        <f aca="false">'Plant loading'!B33</f>
        <v>PEBGR</v>
      </c>
      <c r="C22" s="595" t="n">
        <f aca="false">'Plant loading'!E33</f>
        <v>828</v>
      </c>
      <c r="D22" s="450" t="n">
        <f aca="false">'Plant loading'!H33</f>
        <v>36</v>
      </c>
      <c r="E22" s="595" t="n">
        <f aca="false">C22/D22</f>
        <v>23</v>
      </c>
      <c r="F22" s="595" t="n">
        <f aca="false">E22*54.5</f>
        <v>1253.5</v>
      </c>
      <c r="G22" s="610" t="n">
        <f aca="false">CHOOSE(MATCH(F22,W$3:W$14,1),X$3,X$4,X$5,X$6,X$7,X$8,X$9,X$10,X$11,X$12,X$13,X$14)</f>
        <v>91.7414056839224</v>
      </c>
      <c r="H22" s="0" t="n">
        <f aca="false">((($D22*$E22)*54.5)*(1+(1-(G22/100)))/1000)</f>
        <v>48.8527732710732</v>
      </c>
      <c r="I22" s="884" t="n">
        <f aca="false">((($D22*$E22)*54.5)*(1+(1-0.92))/1000)</f>
        <v>48.73608</v>
      </c>
      <c r="J22" s="884" t="n">
        <f aca="false">H22-I22</f>
        <v>0.116693271073181</v>
      </c>
      <c r="K22" s="885" t="n">
        <f aca="false">(J22*24*365)*$V$18</f>
        <v>131.970287348998</v>
      </c>
      <c r="L22" s="886" t="n">
        <f aca="false">CHOOSE(MATCH(F22,N$96:N$107,1),O$96,O$97,O$98,O$99,O$100,O$101,O$102,O$103,O$104,O$105,O$106,O$107)</f>
        <v>96</v>
      </c>
      <c r="M22" s="887" t="n">
        <f aca="false">((($D22*$E22)*54.5)*(1+(1-(L22/100)))/1000)</f>
        <v>46.93104</v>
      </c>
      <c r="N22" s="887" t="n">
        <f aca="false">H22-M22</f>
        <v>1.92173327107318</v>
      </c>
      <c r="O22" s="888" t="n">
        <f aca="false">(N22*24*365)*$V$18</f>
        <v>2173.318903989</v>
      </c>
      <c r="P22" s="889" t="n">
        <f aca="false">((($D22*$E22)*54.5)*(1+(1-0.97))/1000)</f>
        <v>46.47978</v>
      </c>
      <c r="Q22" s="889" t="n">
        <f aca="false">H22-P22</f>
        <v>2.37299327107318</v>
      </c>
      <c r="R22" s="890" t="n">
        <f aca="false">(Q22*24*365)*$V$18</f>
        <v>2683.656058149</v>
      </c>
    </row>
    <row r="23" customFormat="false" ht="10.15" hidden="false" customHeight="false" outlineLevel="0" collapsed="false">
      <c r="A23" s="595" t="str">
        <f aca="false">'Plant loading'!A34</f>
        <v>Gloucester</v>
      </c>
      <c r="B23" s="595" t="str">
        <f aca="false">'Plant loading'!B34</f>
        <v>PECGR</v>
      </c>
      <c r="C23" s="595" t="n">
        <f aca="false">'Plant loading'!E34</f>
        <v>758</v>
      </c>
      <c r="D23" s="450" t="n">
        <f aca="false">'Plant loading'!H34</f>
        <v>36</v>
      </c>
      <c r="E23" s="595" t="n">
        <f aca="false">C23/D23</f>
        <v>21.0555555555556</v>
      </c>
      <c r="F23" s="595" t="n">
        <f aca="false">E23*54.5</f>
        <v>1147.52777777778</v>
      </c>
      <c r="G23" s="610" t="n">
        <f aca="false">CHOOSE(MATCH(F23,W$3:W$14,1),X$3,X$4,X$5,X$6,X$7,X$8,X$9,X$10,X$11,X$12,X$13,X$14)</f>
        <v>91.7414056839224</v>
      </c>
      <c r="H23" s="0" t="n">
        <f aca="false">((($D23*$E23)*54.5)*(1+(1-(G23/100)))/1000)</f>
        <v>44.7227078979148</v>
      </c>
      <c r="I23" s="884" t="n">
        <f aca="false">((($D23*$E23)*54.5)*(1+(1-0.92))/1000)</f>
        <v>44.61588</v>
      </c>
      <c r="J23" s="884" t="n">
        <f aca="false">H23-I23</f>
        <v>0.106827897914819</v>
      </c>
      <c r="K23" s="885" t="n">
        <f aca="false">(J23*24*365)*$V$18</f>
        <v>120.813378998235</v>
      </c>
      <c r="L23" s="886" t="n">
        <f aca="false">CHOOSE(MATCH(F23,N$96:N$107,1),O$96,O$97,O$98,O$99,O$100,O$101,O$102,O$103,O$104,O$105,O$106,O$107)</f>
        <v>96</v>
      </c>
      <c r="M23" s="887" t="n">
        <f aca="false">((($D23*$E23)*54.5)*(1+(1-(L23/100)))/1000)</f>
        <v>42.96344</v>
      </c>
      <c r="N23" s="887" t="n">
        <f aca="false">H23-M23</f>
        <v>1.75926789791482</v>
      </c>
      <c r="O23" s="888" t="n">
        <f aca="false">(N23*24*365)*$V$18</f>
        <v>1989.58421403823</v>
      </c>
      <c r="P23" s="889" t="n">
        <f aca="false">((($D23*$E23)*54.5)*(1+(1-0.97))/1000)</f>
        <v>42.55033</v>
      </c>
      <c r="Q23" s="889" t="n">
        <f aca="false">H23-P23</f>
        <v>2.17237789791482</v>
      </c>
      <c r="R23" s="890" t="n">
        <f aca="false">(Q23*24*365)*$V$18</f>
        <v>2456.77692279824</v>
      </c>
    </row>
    <row r="24" customFormat="false" ht="10.15" hidden="false" customHeight="false" outlineLevel="0" collapsed="false">
      <c r="A24" s="892" t="str">
        <f aca="false">'Plant loading'!A35</f>
        <v>Gloucester</v>
      </c>
      <c r="B24" s="892" t="str">
        <f aca="false">'Plant loading'!B35</f>
        <v>PEDGR</v>
      </c>
      <c r="C24" s="892" t="n">
        <f aca="false">'Plant loading'!E35</f>
        <v>758</v>
      </c>
      <c r="D24" s="893" t="n">
        <f aca="false">'Plant loading'!H35</f>
        <v>36</v>
      </c>
      <c r="E24" s="892" t="n">
        <f aca="false">C24/D24</f>
        <v>21.0555555555556</v>
      </c>
      <c r="F24" s="892" t="n">
        <f aca="false">E24*54.5</f>
        <v>1147.52777777778</v>
      </c>
      <c r="G24" s="894" t="n">
        <f aca="false">CHOOSE(MATCH(F24,W$3:W$14,1),X$3,X$4,X$5,X$6,X$7,X$8,X$9,X$10,X$11,X$12,X$13,X$14)</f>
        <v>91.7414056839224</v>
      </c>
      <c r="H24" s="895" t="n">
        <v>0</v>
      </c>
      <c r="I24" s="884" t="n">
        <v>0</v>
      </c>
      <c r="J24" s="884" t="n">
        <f aca="false">H24-I24</f>
        <v>0</v>
      </c>
      <c r="K24" s="885" t="n">
        <f aca="false">(J24*24*365)*$V$18</f>
        <v>0</v>
      </c>
      <c r="L24" s="886" t="n">
        <f aca="false">CHOOSE(MATCH(F24,N$96:N$107,1),O$96,O$97,O$98,O$99,O$100,O$101,O$102,O$103,O$104,O$105,O$106,O$107)</f>
        <v>96</v>
      </c>
      <c r="M24" s="887" t="n">
        <v>0</v>
      </c>
      <c r="N24" s="887" t="n">
        <f aca="false">H24-M24</f>
        <v>0</v>
      </c>
      <c r="O24" s="888" t="n">
        <f aca="false">(N24*24*365)*$V$18</f>
        <v>0</v>
      </c>
      <c r="P24" s="889" t="n">
        <v>0</v>
      </c>
      <c r="Q24" s="889" t="n">
        <f aca="false">H24-P24</f>
        <v>0</v>
      </c>
      <c r="R24" s="890" t="n">
        <f aca="false">(Q24*24*365)*$V$18</f>
        <v>0</v>
      </c>
    </row>
    <row r="25" customFormat="false" ht="10.15" hidden="false" customHeight="false" outlineLevel="0" collapsed="false">
      <c r="A25" s="595" t="str">
        <f aca="false">'Plant loading'!A36</f>
        <v>Gloucester</v>
      </c>
      <c r="B25" s="595" t="str">
        <f aca="false">'Plant loading'!B36</f>
        <v>PEEGR</v>
      </c>
      <c r="C25" s="595" t="n">
        <f aca="false">'Plant loading'!E36</f>
        <v>761</v>
      </c>
      <c r="D25" s="450" t="n">
        <f aca="false">'Plant loading'!H36</f>
        <v>36</v>
      </c>
      <c r="E25" s="595" t="n">
        <f aca="false">C25/D25</f>
        <v>21.1388888888889</v>
      </c>
      <c r="F25" s="595" t="n">
        <f aca="false">E25*54.5</f>
        <v>1152.06944444444</v>
      </c>
      <c r="G25" s="610" t="n">
        <f aca="false">CHOOSE(MATCH(F25,W$3:W$14,1),X$3,X$4,X$5,X$6,X$7,X$8,X$9,X$10,X$11,X$12,X$13,X$14)</f>
        <v>91.7414056839224</v>
      </c>
      <c r="H25" s="0" t="n">
        <f aca="false">((($D25*$E25)*54.5)*(1+(1-(G25/100)))/1000)</f>
        <v>44.8997106996216</v>
      </c>
      <c r="I25" s="884" t="n">
        <f aca="false">((($D25*$E25)*54.5)*(1+(1-0.92))/1000)</f>
        <v>44.79246</v>
      </c>
      <c r="J25" s="884" t="n">
        <f aca="false">H25-I25</f>
        <v>0.107250699621602</v>
      </c>
      <c r="K25" s="885" t="n">
        <f aca="false">(J25*24*365)*$V$18</f>
        <v>121.291532213264</v>
      </c>
      <c r="L25" s="886" t="n">
        <f aca="false">CHOOSE(MATCH(F25,N$96:N$107,1),O$96,O$97,O$98,O$99,O$100,O$101,O$102,O$103,O$104,O$105,O$106,O$107)</f>
        <v>96</v>
      </c>
      <c r="M25" s="887" t="n">
        <f aca="false">((($D25*$E25)*54.5)*(1+(1-(L25/100)))/1000)</f>
        <v>43.13348</v>
      </c>
      <c r="N25" s="887" t="n">
        <f aca="false">H25-M25</f>
        <v>1.7662306996216</v>
      </c>
      <c r="O25" s="888" t="n">
        <f aca="false">(N25*24*365)*$V$18</f>
        <v>1997.45855789326</v>
      </c>
      <c r="P25" s="889" t="n">
        <f aca="false">((($D25*$E25)*54.5)*(1+(1-0.97))/1000)</f>
        <v>42.718735</v>
      </c>
      <c r="Q25" s="889" t="n">
        <f aca="false">H25-P25</f>
        <v>2.18097569962161</v>
      </c>
      <c r="R25" s="890" t="n">
        <f aca="false">(Q25*24*365)*$V$18</f>
        <v>2466.50031431327</v>
      </c>
    </row>
    <row r="26" customFormat="false" ht="10.15" hidden="false" customHeight="false" outlineLevel="0" collapsed="false">
      <c r="A26" s="595" t="str">
        <f aca="false">'Plant loading'!A47</f>
        <v>Kings Cross</v>
      </c>
      <c r="B26" s="595" t="str">
        <f aca="false">'Plant loading'!B47</f>
        <v>PEAKS</v>
      </c>
      <c r="C26" s="595" t="n">
        <f aca="false">'Plant loading'!E47</f>
        <v>239</v>
      </c>
      <c r="D26" s="450" t="n">
        <f aca="false">'Plant loading'!H47</f>
        <v>24</v>
      </c>
      <c r="E26" s="595" t="n">
        <f aca="false">C26/D26</f>
        <v>9.95833333333333</v>
      </c>
      <c r="F26" s="595" t="n">
        <f aca="false">E26*54.5</f>
        <v>542.729166666667</v>
      </c>
      <c r="G26" s="610" t="n">
        <f aca="false">CHOOSE(MATCH(F26,W$3:W$14,1),X$3,X$4,X$5,X$6,X$7,X$8,X$9,X$10,X$11,X$12,X$13,X$14)</f>
        <v>82.0732242562929</v>
      </c>
      <c r="H26" s="0" t="n">
        <f aca="false">((($D26*$E26)*54.5)*(1+(1-(G26/100)))/1000)</f>
        <v>15.3605521744966</v>
      </c>
      <c r="I26" s="884" t="n">
        <f aca="false">((($D26*$E26)*54.5)*(1+(1-0.92))/1000)</f>
        <v>14.06754</v>
      </c>
      <c r="J26" s="884" t="n">
        <f aca="false">H26-I26</f>
        <v>1.29301217449657</v>
      </c>
      <c r="K26" s="885" t="n">
        <f aca="false">(J26*24*365)*$V$18</f>
        <v>1462.28815633296</v>
      </c>
      <c r="L26" s="886" t="n">
        <f aca="false">CHOOSE(MATCH(F26,N$96:N$107,1),O$96,O$97,O$98,O$99,O$100,O$101,O$102,O$103,O$104,O$105,O$106,O$107)</f>
        <v>93</v>
      </c>
      <c r="M26" s="887" t="n">
        <f aca="false">((($D26*$E26)*54.5)*(1+(1-(L26/100)))/1000)</f>
        <v>13.937285</v>
      </c>
      <c r="N26" s="887" t="n">
        <f aca="false">H26-M26</f>
        <v>1.42326717449657</v>
      </c>
      <c r="O26" s="888" t="n">
        <f aca="false">(N26*24*365)*$V$18</f>
        <v>1609.59561991297</v>
      </c>
      <c r="P26" s="889" t="n">
        <f aca="false">((($D26*$E26)*54.5)*(1+(1-0.97))/1000)</f>
        <v>13.416265</v>
      </c>
      <c r="Q26" s="889" t="n">
        <f aca="false">H26-P26</f>
        <v>1.94428717449657</v>
      </c>
      <c r="R26" s="890" t="n">
        <f aca="false">(Q26*24*365)*$V$18</f>
        <v>2198.82547423296</v>
      </c>
    </row>
    <row r="27" customFormat="false" ht="10.15" hidden="false" customHeight="false" outlineLevel="0" collapsed="false">
      <c r="A27" s="595" t="str">
        <f aca="false">'Plant loading'!A48</f>
        <v>Kings Cross</v>
      </c>
      <c r="B27" s="595" t="str">
        <f aca="false">'Plant loading'!B48</f>
        <v>PEBKS</v>
      </c>
      <c r="C27" s="595" t="n">
        <f aca="false">'Plant loading'!E48</f>
        <v>331</v>
      </c>
      <c r="D27" s="450" t="n">
        <f aca="false">'Plant loading'!H48</f>
        <v>30</v>
      </c>
      <c r="E27" s="595" t="n">
        <f aca="false">C27/D27</f>
        <v>11.0333333333333</v>
      </c>
      <c r="F27" s="595" t="n">
        <f aca="false">E27*54.5</f>
        <v>601.316666666667</v>
      </c>
      <c r="G27" s="610" t="n">
        <f aca="false">CHOOSE(MATCH(F27,W$3:W$14,1),X$3,X$4,X$5,X$6,X$7,X$8,X$9,X$10,X$11,X$12,X$13,X$14)</f>
        <v>88.5162353305465</v>
      </c>
      <c r="H27" s="0" t="n">
        <f aca="false">((($D27*$E27)*54.5)*(1+(1-(G27/100)))/1000)</f>
        <v>20.1111137275461</v>
      </c>
      <c r="I27" s="884" t="n">
        <f aca="false">((($D27*$E27)*54.5)*(1+(1-0.92))/1000)</f>
        <v>19.48266</v>
      </c>
      <c r="J27" s="884" t="n">
        <f aca="false">H27-I27</f>
        <v>0.628453727546063</v>
      </c>
      <c r="K27" s="885" t="n">
        <f aca="false">(J27*24*365)*$V$18</f>
        <v>710.728375741483</v>
      </c>
      <c r="L27" s="886" t="n">
        <f aca="false">CHOOSE(MATCH(F27,N$96:N$107,1),O$96,O$97,O$98,O$99,O$100,O$101,O$102,O$103,O$104,O$105,O$106,O$107)</f>
        <v>93</v>
      </c>
      <c r="M27" s="887" t="n">
        <f aca="false">((($D27*$E27)*54.5)*(1+(1-(L27/100)))/1000)</f>
        <v>19.302265</v>
      </c>
      <c r="N27" s="887" t="n">
        <f aca="false">H27-M27</f>
        <v>0.808848727546067</v>
      </c>
      <c r="O27" s="888" t="n">
        <f aca="false">(N27*24*365)*$V$18</f>
        <v>914.739967561488</v>
      </c>
      <c r="P27" s="889" t="n">
        <f aca="false">((($D27*$E27)*54.5)*(1+(1-0.97))/1000)</f>
        <v>18.580685</v>
      </c>
      <c r="Q27" s="889" t="n">
        <f aca="false">H27-P27</f>
        <v>1.53042872754606</v>
      </c>
      <c r="R27" s="890" t="n">
        <f aca="false">(Q27*24*365)*$V$18</f>
        <v>1730.78633484148</v>
      </c>
      <c r="U27" s="442" t="s">
        <v>1516</v>
      </c>
    </row>
    <row r="28" customFormat="false" ht="10.15" hidden="false" customHeight="false" outlineLevel="0" collapsed="false">
      <c r="A28" s="595" t="e">
        <f aca="false">'plant loading'!#ref!</f>
        <v>#VALUE!</v>
      </c>
      <c r="B28" s="595" t="e">
        <f aca="false">'plant loading'!#ref!</f>
        <v>#VALUE!</v>
      </c>
      <c r="C28" s="595" t="e">
        <f aca="false">'plant loading'!#ref!</f>
        <v>#VALUE!</v>
      </c>
      <c r="D28" s="450" t="e">
        <f aca="false">'plant loading'!#ref!</f>
        <v>#VALUE!</v>
      </c>
      <c r="E28" s="595" t="e">
        <f aca="false">C28/D28</f>
        <v>#VALUE!</v>
      </c>
      <c r="F28" s="595" t="e">
        <f aca="false">E28*54.5</f>
        <v>#VALUE!</v>
      </c>
      <c r="G28" s="610" t="e">
        <f aca="false">CHOOSE(MATCH(F28,W$3:W$14,1),X$3,X$4,X$5,X$6,X$7,X$8,X$9,X$10,X$11,X$12,X$13,X$14)</f>
        <v>#VALUE!</v>
      </c>
      <c r="H28" s="0" t="e">
        <f aca="false">((($D28*$E28)*54.5)*(1+(1-(G28/100)))/1000)</f>
        <v>#VALUE!</v>
      </c>
      <c r="I28" s="884" t="e">
        <f aca="false">((($D28*$E28)*54.5)*(1+(1-0.92))/1000)</f>
        <v>#VALUE!</v>
      </c>
      <c r="J28" s="884" t="e">
        <f aca="false">H28-I28</f>
        <v>#VALUE!</v>
      </c>
      <c r="K28" s="885" t="e">
        <f aca="false">(J28*24*365)*$V$18</f>
        <v>#VALUE!</v>
      </c>
      <c r="L28" s="886" t="e">
        <f aca="false">CHOOSE(MATCH(F28,N$96:N$107,1),O$96,O$97,O$98,O$99,O$100,O$101,O$102,O$103,O$104,O$105,O$106,O$107)</f>
        <v>#VALUE!</v>
      </c>
      <c r="M28" s="887" t="e">
        <f aca="false">((($D28*$E28)*54.5)*(1+(1-(L28/100)))/1000)</f>
        <v>#VALUE!</v>
      </c>
      <c r="N28" s="887" t="e">
        <f aca="false">H28-M28</f>
        <v>#VALUE!</v>
      </c>
      <c r="O28" s="888" t="e">
        <f aca="false">(N28*24*365)*$V$18</f>
        <v>#VALUE!</v>
      </c>
      <c r="P28" s="889" t="e">
        <f aca="false">((($D28*$E28)*54.5)*(1+(1-0.97))/1000)</f>
        <v>#VALUE!</v>
      </c>
      <c r="Q28" s="889" t="e">
        <f aca="false">H28-P28</f>
        <v>#VALUE!</v>
      </c>
      <c r="R28" s="890" t="e">
        <f aca="false">(Q28*24*365)*$V$18</f>
        <v>#VALUE!</v>
      </c>
      <c r="U28" s="620" t="s">
        <v>1499</v>
      </c>
      <c r="V28" s="620" t="s">
        <v>1517</v>
      </c>
      <c r="W28" s="620" t="s">
        <v>1518</v>
      </c>
      <c r="X28" s="620" t="s">
        <v>1519</v>
      </c>
    </row>
    <row r="29" customFormat="false" ht="10.15" hidden="false" customHeight="false" outlineLevel="0" collapsed="false">
      <c r="A29" s="595" t="e">
        <f aca="false">'plant loading'!#ref!</f>
        <v>#VALUE!</v>
      </c>
      <c r="B29" s="595" t="e">
        <f aca="false">'plant loading'!#ref!</f>
        <v>#VALUE!</v>
      </c>
      <c r="C29" s="595" t="e">
        <f aca="false">'plant loading'!#ref!</f>
        <v>#VALUE!</v>
      </c>
      <c r="D29" s="450" t="e">
        <f aca="false">'plant loading'!#ref!</f>
        <v>#VALUE!</v>
      </c>
      <c r="E29" s="595" t="e">
        <f aca="false">C29/D29</f>
        <v>#VALUE!</v>
      </c>
      <c r="F29" s="595" t="e">
        <f aca="false">E29*54.5</f>
        <v>#VALUE!</v>
      </c>
      <c r="G29" s="610" t="e">
        <f aca="false">CHOOSE(MATCH(F29,W$3:W$14,1),X$3,X$4,X$5,X$6,X$7,X$8,X$9,X$10,X$11,X$12,X$13,X$14)</f>
        <v>#VALUE!</v>
      </c>
      <c r="H29" s="0" t="e">
        <f aca="false">((($D29*$E29)*54.5)*(1+(1-(G29/100)))/1000)</f>
        <v>#VALUE!</v>
      </c>
      <c r="I29" s="884" t="e">
        <f aca="false">((($D29*$E29)*54.5)*(1+(1-0.92))/1000)</f>
        <v>#VALUE!</v>
      </c>
      <c r="J29" s="884" t="e">
        <f aca="false">H29-I29</f>
        <v>#VALUE!</v>
      </c>
      <c r="K29" s="885" t="e">
        <f aca="false">(J29*24*365)*$V$18</f>
        <v>#VALUE!</v>
      </c>
      <c r="L29" s="886" t="e">
        <f aca="false">CHOOSE(MATCH(F29,N$96:N$107,1),O$96,O$97,O$98,O$99,O$100,O$101,O$102,O$103,O$104,O$105,O$106,O$107)</f>
        <v>#VALUE!</v>
      </c>
      <c r="M29" s="887" t="e">
        <f aca="false">((($D29*$E29)*54.5)*(1+(1-(L29/100)))/1000)</f>
        <v>#VALUE!</v>
      </c>
      <c r="N29" s="887" t="e">
        <f aca="false">H29-M29</f>
        <v>#VALUE!</v>
      </c>
      <c r="O29" s="888" t="e">
        <f aca="false">(N29*24*365)*$V$18</f>
        <v>#VALUE!</v>
      </c>
      <c r="P29" s="889" t="e">
        <f aca="false">((($D29*$E29)*54.5)*(1+(1-0.97))/1000)</f>
        <v>#VALUE!</v>
      </c>
      <c r="Q29" s="889" t="e">
        <f aca="false">H29-P29</f>
        <v>#VALUE!</v>
      </c>
      <c r="R29" s="890" t="e">
        <f aca="false">(Q29*24*365)*$V$18</f>
        <v>#VALUE!</v>
      </c>
      <c r="U29" s="442" t="e">
        <f aca="false">SUM(H2:H56)</f>
        <v>#VALUE!</v>
      </c>
      <c r="V29" s="442" t="e">
        <f aca="false">SUM(I2:I56)</f>
        <v>#VALUE!</v>
      </c>
      <c r="W29" s="442" t="e">
        <f aca="false">SUM(J2:J56)</f>
        <v>#VALUE!</v>
      </c>
      <c r="X29" s="897" t="e">
        <f aca="false">SUM(K2:K56)</f>
        <v>#VALUE!</v>
      </c>
    </row>
    <row r="30" customFormat="false" ht="10.15" hidden="false" customHeight="false" outlineLevel="0" collapsed="false">
      <c r="A30" s="595" t="str">
        <f aca="false">'Plant loading'!A49</f>
        <v>Kings Cross</v>
      </c>
      <c r="B30" s="595" t="str">
        <f aca="false">'Plant loading'!B49</f>
        <v>PEEKS</v>
      </c>
      <c r="C30" s="595" t="n">
        <f aca="false">'Plant loading'!E49</f>
        <v>100</v>
      </c>
      <c r="D30" s="450" t="n">
        <f aca="false">'Plant loading'!H49</f>
        <v>12</v>
      </c>
      <c r="E30" s="595" t="n">
        <f aca="false">C30/D30</f>
        <v>8.33333333333333</v>
      </c>
      <c r="F30" s="595" t="n">
        <f aca="false">E30*54.5</f>
        <v>454.166666666667</v>
      </c>
      <c r="G30" s="610" t="n">
        <f aca="false">CHOOSE(MATCH(F30,W$3:W$14,1),X$3,X$4,X$5,X$6,X$7,X$8,X$9,X$10,X$11,X$12,X$13,X$14)</f>
        <v>82.0732242562929</v>
      </c>
      <c r="H30" s="0" t="n">
        <f aca="false">((($D30*$E30)*54.5)*(1+(1-(G30/100)))/1000)</f>
        <v>6.42700927803204</v>
      </c>
      <c r="I30" s="884" t="n">
        <f aca="false">((($D30*$E30)*54.5)*(1+(1-0.92))/1000)</f>
        <v>5.886</v>
      </c>
      <c r="J30" s="884" t="n">
        <f aca="false">H30-I30</f>
        <v>0.541009278032037</v>
      </c>
      <c r="K30" s="885" t="n">
        <f aca="false">(J30*24*365)*$V$18</f>
        <v>611.83604867488</v>
      </c>
      <c r="L30" s="886" t="n">
        <f aca="false">CHOOSE(MATCH(F30,N$96:N$107,1),O$96,O$97,O$98,O$99,O$100,O$101,O$102,O$103,O$104,O$105,O$106,O$107)</f>
        <v>91</v>
      </c>
      <c r="M30" s="887" t="n">
        <f aca="false">((($D30*$E30)*54.5)*(1+(1-(L30/100)))/1000)</f>
        <v>5.9405</v>
      </c>
      <c r="N30" s="887" t="n">
        <f aca="false">H30-M30</f>
        <v>0.486509278032038</v>
      </c>
      <c r="O30" s="888" t="n">
        <f aca="false">(N30*24*365)*$V$18</f>
        <v>550.201126674881</v>
      </c>
      <c r="P30" s="889" t="n">
        <f aca="false">((($D30*$E30)*54.5)*(1+(1-0.97))/1000)</f>
        <v>5.6135</v>
      </c>
      <c r="Q30" s="889" t="n">
        <f aca="false">H30-P30</f>
        <v>0.813509278032037</v>
      </c>
      <c r="R30" s="890" t="n">
        <f aca="false">(Q30*24*365)*$V$18</f>
        <v>920.01065867488</v>
      </c>
    </row>
    <row r="31" customFormat="false" ht="10.15" hidden="false" customHeight="false" outlineLevel="0" collapsed="false">
      <c r="A31" s="595" t="str">
        <f aca="false">'Plant loading'!A50</f>
        <v>Kings Cross</v>
      </c>
      <c r="B31" s="595" t="str">
        <f aca="false">'Plant loading'!B50</f>
        <v>PEIKS</v>
      </c>
      <c r="C31" s="595" t="n">
        <f aca="false">'Plant loading'!E50</f>
        <v>485</v>
      </c>
      <c r="D31" s="450" t="n">
        <f aca="false">'Plant loading'!H50</f>
        <v>36</v>
      </c>
      <c r="E31" s="595" t="n">
        <f aca="false">C31/D31</f>
        <v>13.4722222222222</v>
      </c>
      <c r="F31" s="595" t="n">
        <f aca="false">E31*54.5</f>
        <v>734.236111111111</v>
      </c>
      <c r="G31" s="610" t="n">
        <f aca="false">CHOOSE(MATCH(F31,W$3:W$14,1),X$3,X$4,X$5,X$6,X$7,X$8,X$9,X$10,X$11,X$12,X$13,X$14)</f>
        <v>88.5162353305465</v>
      </c>
      <c r="H31" s="0" t="n">
        <f aca="false">((($D31*$E31)*54.5)*(1+(1-(G31/100)))/1000)</f>
        <v>29.4679460962533</v>
      </c>
      <c r="I31" s="884" t="n">
        <f aca="false">((($D31*$E31)*54.5)*(1+(1-0.92))/1000)</f>
        <v>28.5471</v>
      </c>
      <c r="J31" s="884" t="n">
        <f aca="false">H31-I31</f>
        <v>0.920846096253289</v>
      </c>
      <c r="K31" s="885" t="n">
        <f aca="false">(J31*24*365)*$V$18</f>
        <v>1041.39958379038</v>
      </c>
      <c r="L31" s="886" t="n">
        <f aca="false">CHOOSE(MATCH(F31,N$96:N$107,1),O$96,O$97,O$98,O$99,O$100,O$101,O$102,O$103,O$104,O$105,O$106,O$107)</f>
        <v>95</v>
      </c>
      <c r="M31" s="887" t="n">
        <f aca="false">((($D31*$E31)*54.5)*(1+(1-(L31/100)))/1000)</f>
        <v>27.754125</v>
      </c>
      <c r="N31" s="887" t="n">
        <f aca="false">H31-M31</f>
        <v>1.71382109625329</v>
      </c>
      <c r="O31" s="888" t="n">
        <f aca="false">(N31*24*365)*$V$18</f>
        <v>1938.18769889039</v>
      </c>
      <c r="P31" s="889" t="n">
        <f aca="false">((($D31*$E31)*54.5)*(1+(1-0.97))/1000)</f>
        <v>27.225475</v>
      </c>
      <c r="Q31" s="889" t="n">
        <f aca="false">H31-P31</f>
        <v>2.24247109625329</v>
      </c>
      <c r="R31" s="890" t="n">
        <f aca="false">(Q31*24*365)*$V$18</f>
        <v>2536.04644229039</v>
      </c>
      <c r="U31" s="442" t="s">
        <v>1520</v>
      </c>
    </row>
    <row r="32" customFormat="false" ht="10.15" hidden="false" customHeight="false" outlineLevel="0" collapsed="false">
      <c r="A32" s="595" t="str">
        <f aca="false">'Plant loading'!A51</f>
        <v>Kings Cross</v>
      </c>
      <c r="B32" s="595" t="str">
        <f aca="false">'Plant loading'!B51</f>
        <v>PEJKS</v>
      </c>
      <c r="C32" s="595" t="n">
        <f aca="false">'Plant loading'!E51</f>
        <v>238</v>
      </c>
      <c r="D32" s="450" t="n">
        <f aca="false">'Plant loading'!H51</f>
        <v>36</v>
      </c>
      <c r="E32" s="595" t="n">
        <f aca="false">C32/D32</f>
        <v>6.61111111111111</v>
      </c>
      <c r="F32" s="595" t="n">
        <f aca="false">E32*54.5</f>
        <v>360.305555555556</v>
      </c>
      <c r="G32" s="610" t="n">
        <f aca="false">CHOOSE(MATCH(F32,W$3:W$14,1),X$3,X$4,X$5,X$6,X$7,X$8,X$9,X$10,X$11,X$12,X$13,X$14)</f>
        <v>82.0732242562929</v>
      </c>
      <c r="H32" s="0" t="n">
        <f aca="false">((($D32*$E32)*54.5)*(1+(1-(G32/100)))/1000)</f>
        <v>15.2962820817163</v>
      </c>
      <c r="I32" s="884" t="n">
        <f aca="false">((($D32*$E32)*54.5)*(1+(1-0.92))/1000)</f>
        <v>14.00868</v>
      </c>
      <c r="J32" s="884" t="n">
        <f aca="false">H32-I32</f>
        <v>1.28760208171625</v>
      </c>
      <c r="K32" s="885" t="n">
        <f aca="false">(J32*24*365)*$V$18</f>
        <v>1456.16979584621</v>
      </c>
      <c r="L32" s="886" t="n">
        <f aca="false">CHOOSE(MATCH(F32,N$96:N$107,1),O$96,O$97,O$98,O$99,O$100,O$101,O$102,O$103,O$104,O$105,O$106,O$107)</f>
        <v>91</v>
      </c>
      <c r="M32" s="887" t="n">
        <f aca="false">((($D32*$E32)*54.5)*(1+(1-(L32/100)))/1000)</f>
        <v>14.13839</v>
      </c>
      <c r="N32" s="887" t="n">
        <f aca="false">H32-M32</f>
        <v>1.15789208171625</v>
      </c>
      <c r="O32" s="888" t="n">
        <f aca="false">(N32*24*365)*$V$18</f>
        <v>1309.47868148622</v>
      </c>
      <c r="P32" s="889" t="n">
        <f aca="false">((($D32*$E32)*54.5)*(1+(1-0.97))/1000)</f>
        <v>13.36013</v>
      </c>
      <c r="Q32" s="889" t="n">
        <f aca="false">H32-P32</f>
        <v>1.93615208171625</v>
      </c>
      <c r="R32" s="890" t="n">
        <f aca="false">(Q32*24*365)*$V$18</f>
        <v>2189.62536764621</v>
      </c>
      <c r="U32" s="620" t="s">
        <v>1499</v>
      </c>
      <c r="V32" s="620" t="s">
        <v>1517</v>
      </c>
      <c r="W32" s="620" t="s">
        <v>1518</v>
      </c>
      <c r="X32" s="620" t="s">
        <v>1519</v>
      </c>
    </row>
    <row r="33" customFormat="false" ht="10.15" hidden="false" customHeight="false" outlineLevel="0" collapsed="false">
      <c r="A33" s="595" t="str">
        <f aca="false">'Plant loading'!A52</f>
        <v>Kings Cross</v>
      </c>
      <c r="B33" s="595" t="str">
        <f aca="false">'Plant loading'!B52</f>
        <v>PEKKS</v>
      </c>
      <c r="C33" s="595" t="n">
        <f aca="false">'Plant loading'!E52</f>
        <v>428</v>
      </c>
      <c r="D33" s="450" t="n">
        <f aca="false">'Plant loading'!H52</f>
        <v>30</v>
      </c>
      <c r="E33" s="595" t="n">
        <f aca="false">C33/D33</f>
        <v>14.2666666666667</v>
      </c>
      <c r="F33" s="595" t="n">
        <f aca="false">E33*54.5</f>
        <v>777.533333333333</v>
      </c>
      <c r="G33" s="610" t="n">
        <f aca="false">CHOOSE(MATCH(F33,W$3:W$14,1),X$3,X$4,X$5,X$6,X$7,X$8,X$9,X$10,X$11,X$12,X$13,X$14)</f>
        <v>88.5162353305465</v>
      </c>
      <c r="H33" s="0" t="n">
        <f aca="false">((($D33*$E33)*54.5)*(1+(1-(G33/100)))/1000)</f>
        <v>26.0047029467967</v>
      </c>
      <c r="I33" s="884" t="n">
        <f aca="false">((($D33*$E33)*54.5)*(1+(1-0.92))/1000)</f>
        <v>25.19208</v>
      </c>
      <c r="J33" s="884" t="n">
        <f aca="false">H33-I33</f>
        <v>0.812622946796722</v>
      </c>
      <c r="K33" s="885" t="n">
        <f aca="false">(J33*24*365)*$V$18</f>
        <v>919.008292499562</v>
      </c>
      <c r="L33" s="886" t="n">
        <f aca="false">CHOOSE(MATCH(F33,N$96:N$107,1),O$96,O$97,O$98,O$99,O$100,O$101,O$102,O$103,O$104,O$105,O$106,O$107)</f>
        <v>95</v>
      </c>
      <c r="M33" s="887" t="n">
        <f aca="false">((($D33*$E33)*54.5)*(1+(1-(L33/100)))/1000)</f>
        <v>24.4923</v>
      </c>
      <c r="N33" s="887" t="n">
        <f aca="false">H33-M33</f>
        <v>1.51240294679672</v>
      </c>
      <c r="O33" s="888" t="n">
        <f aca="false">(N33*24*365)*$V$18</f>
        <v>1710.40069097956</v>
      </c>
      <c r="P33" s="889" t="n">
        <f aca="false">((($D33*$E33)*54.5)*(1+(1-0.97))/1000)</f>
        <v>24.02578</v>
      </c>
      <c r="Q33" s="889" t="n">
        <f aca="false">H33-P33</f>
        <v>1.97892294679673</v>
      </c>
      <c r="R33" s="890" t="n">
        <f aca="false">(Q33*24*365)*$V$18</f>
        <v>2237.99562329957</v>
      </c>
      <c r="U33" s="442"/>
      <c r="V33" s="442"/>
      <c r="W33" s="442" t="e">
        <f aca="false">SUM(Q2:Q56)</f>
        <v>#VALUE!</v>
      </c>
      <c r="X33" s="897" t="e">
        <f aca="false">SUM(R2:R56)</f>
        <v>#VALUE!</v>
      </c>
    </row>
    <row r="34" customFormat="false" ht="10.15" hidden="false" customHeight="false" outlineLevel="0" collapsed="false">
      <c r="A34" s="595" t="str">
        <f aca="false">'Plant loading'!A53</f>
        <v>Kings Cross</v>
      </c>
      <c r="B34" s="595" t="str">
        <f aca="false">'Plant loading'!B53</f>
        <v>PELKS</v>
      </c>
      <c r="C34" s="595" t="n">
        <f aca="false">'Plant loading'!E53</f>
        <v>155</v>
      </c>
      <c r="D34" s="450" t="n">
        <f aca="false">'Plant loading'!H53</f>
        <v>24</v>
      </c>
      <c r="E34" s="595" t="n">
        <f aca="false">C34/D34</f>
        <v>6.45833333333333</v>
      </c>
      <c r="F34" s="595" t="n">
        <f aca="false">E34*54.5</f>
        <v>351.979166666667</v>
      </c>
      <c r="G34" s="610" t="n">
        <f aca="false">CHOOSE(MATCH(F34,W$3:W$14,1),X$3,X$4,X$5,X$6,X$7,X$8,X$9,X$10,X$11,X$12,X$13,X$14)</f>
        <v>82.0732242562929</v>
      </c>
      <c r="H34" s="0" t="n">
        <f aca="false">((($D34*$E34)*54.5)*(1+(1-(G34/100)))/1000)</f>
        <v>9.96186438094966</v>
      </c>
      <c r="I34" s="884" t="n">
        <f aca="false">((($D34*$E34)*54.5)*(1+(1-0.92))/1000)</f>
        <v>9.1233</v>
      </c>
      <c r="J34" s="884" t="n">
        <f aca="false">H34-I34</f>
        <v>0.838564380949659</v>
      </c>
      <c r="K34" s="885" t="n">
        <f aca="false">(J34*24*365)*$V$18</f>
        <v>948.345875446065</v>
      </c>
      <c r="L34" s="886" t="n">
        <f aca="false">CHOOSE(MATCH(F34,N$96:N$107,1),O$96,O$97,O$98,O$99,O$100,O$101,O$102,O$103,O$104,O$105,O$106,O$107)</f>
        <v>91</v>
      </c>
      <c r="M34" s="887" t="n">
        <f aca="false">((($D34*$E34)*54.5)*(1+(1-(L34/100)))/1000)</f>
        <v>9.207775</v>
      </c>
      <c r="N34" s="887" t="n">
        <f aca="false">H34-M34</f>
        <v>0.75408938094966</v>
      </c>
      <c r="O34" s="888" t="n">
        <f aca="false">(N34*24*365)*$V$18</f>
        <v>852.811746346066</v>
      </c>
      <c r="P34" s="889" t="n">
        <f aca="false">((($D34*$E34)*54.5)*(1+(1-0.97))/1000)</f>
        <v>8.700925</v>
      </c>
      <c r="Q34" s="889" t="n">
        <f aca="false">H34-P34</f>
        <v>1.26093938094966</v>
      </c>
      <c r="R34" s="890" t="n">
        <f aca="false">(Q34*24*365)*$V$18</f>
        <v>1426.01652094606</v>
      </c>
    </row>
    <row r="35" customFormat="false" ht="10.15" hidden="false" customHeight="false" outlineLevel="0" collapsed="false">
      <c r="A35" s="595" t="str">
        <f aca="false">'Plant loading'!A54</f>
        <v>Kings Cross</v>
      </c>
      <c r="B35" s="595" t="str">
        <f aca="false">'Plant loading'!B54</f>
        <v>PEMKS</v>
      </c>
      <c r="C35" s="595" t="n">
        <f aca="false">'Plant loading'!E54</f>
        <v>137</v>
      </c>
      <c r="D35" s="450" t="n">
        <f aca="false">'Plant loading'!H54</f>
        <v>24</v>
      </c>
      <c r="E35" s="595" t="n">
        <f aca="false">C35/D35</f>
        <v>5.70833333333333</v>
      </c>
      <c r="F35" s="595" t="n">
        <f aca="false">E35*54.5</f>
        <v>311.104166666667</v>
      </c>
      <c r="G35" s="610" t="n">
        <f aca="false">CHOOSE(MATCH(F35,W$3:W$14,1),X$3,X$4,X$5,X$6,X$7,X$8,X$9,X$10,X$11,X$12,X$13,X$14)</f>
        <v>82.0732242562929</v>
      </c>
      <c r="H35" s="0" t="n">
        <f aca="false">((($D35*$E35)*54.5)*(1+(1-(G35/100)))/1000)</f>
        <v>8.80500271090389</v>
      </c>
      <c r="I35" s="884" t="n">
        <f aca="false">((($D35*$E35)*54.5)*(1+(1-0.92))/1000)</f>
        <v>8.06382</v>
      </c>
      <c r="J35" s="884" t="n">
        <f aca="false">H35-I35</f>
        <v>0.741182710903891</v>
      </c>
      <c r="K35" s="885" t="n">
        <f aca="false">(J35*24*365)*$V$18</f>
        <v>838.215386684585</v>
      </c>
      <c r="L35" s="886" t="e">
        <f aca="false">CHOOSE(MATCH(F35,N$96:N$107,1),O$96,O$97,O$98,O$99,O$100,O$101,O$102,O$103,O$104,O$105,O$106,O$107)</f>
        <v>#N/A</v>
      </c>
      <c r="M35" s="887" t="e">
        <f aca="false">((($D35*$E35)*54.5)*(1+(1-(L35/100)))/1000)</f>
        <v>#N/A</v>
      </c>
      <c r="N35" s="887" t="e">
        <f aca="false">H35-M35</f>
        <v>#N/A</v>
      </c>
      <c r="O35" s="888" t="e">
        <f aca="false">(N35*24*365)*$V$18</f>
        <v>#N/A</v>
      </c>
      <c r="P35" s="889" t="n">
        <f aca="false">((($D35*$E35)*54.5)*(1+(1-0.97))/1000)</f>
        <v>7.690495</v>
      </c>
      <c r="Q35" s="889" t="n">
        <f aca="false">H35-P35</f>
        <v>1.11450771090389</v>
      </c>
      <c r="R35" s="890" t="n">
        <f aca="false">(Q35*24*365)*$V$18</f>
        <v>1260.41460238458</v>
      </c>
      <c r="U35" s="442" t="s">
        <v>1521</v>
      </c>
    </row>
    <row r="36" customFormat="false" ht="10.15" hidden="false" customHeight="false" outlineLevel="0" collapsed="false">
      <c r="A36" s="892" t="str">
        <f aca="false">'Plant loading'!A55</f>
        <v>Kings Cross</v>
      </c>
      <c r="B36" s="892" t="str">
        <f aca="false">'Plant loading'!B55</f>
        <v>PENKS</v>
      </c>
      <c r="C36" s="892" t="n">
        <f aca="false">'Plant loading'!E55</f>
        <v>101</v>
      </c>
      <c r="D36" s="893" t="n">
        <f aca="false">'Plant loading'!H55</f>
        <v>12</v>
      </c>
      <c r="E36" s="892" t="n">
        <f aca="false">C36/D36</f>
        <v>8.41666666666667</v>
      </c>
      <c r="F36" s="892" t="n">
        <f aca="false">E36*54.5</f>
        <v>458.708333333333</v>
      </c>
      <c r="G36" s="894" t="n">
        <f aca="false">CHOOSE(MATCH(F36,W$3:W$14,1),X$3,X$4,X$5,X$6,X$7,X$8,X$9,X$10,X$11,X$12,X$13,X$14)</f>
        <v>82.0732242562929</v>
      </c>
      <c r="H36" s="895" t="n">
        <v>0</v>
      </c>
      <c r="I36" s="884" t="n">
        <v>0</v>
      </c>
      <c r="J36" s="884" t="n">
        <f aca="false">H36-I36</f>
        <v>0</v>
      </c>
      <c r="K36" s="885" t="n">
        <f aca="false">(J36*24*365)*$V$18</f>
        <v>0</v>
      </c>
      <c r="L36" s="886" t="n">
        <f aca="false">CHOOSE(MATCH(F36,N$96:N$107,1),O$96,O$97,O$98,O$99,O$100,O$101,O$102,O$103,O$104,O$105,O$106,O$107)</f>
        <v>91</v>
      </c>
      <c r="M36" s="887" t="n">
        <v>0</v>
      </c>
      <c r="N36" s="887" t="n">
        <f aca="false">H36-M36</f>
        <v>0</v>
      </c>
      <c r="O36" s="888" t="n">
        <f aca="false">(N36*24*365)*$V$18</f>
        <v>0</v>
      </c>
      <c r="P36" s="889" t="n">
        <v>0</v>
      </c>
      <c r="Q36" s="889" t="n">
        <f aca="false">H36-P36</f>
        <v>0</v>
      </c>
      <c r="R36" s="890" t="n">
        <f aca="false">(Q36*24*365)*$V$18</f>
        <v>0</v>
      </c>
      <c r="U36" s="620" t="s">
        <v>1499</v>
      </c>
      <c r="V36" s="620"/>
      <c r="W36" s="620" t="s">
        <v>1518</v>
      </c>
      <c r="X36" s="620" t="s">
        <v>1519</v>
      </c>
    </row>
    <row r="37" customFormat="false" ht="10.15" hidden="false" customHeight="false" outlineLevel="0" collapsed="false">
      <c r="A37" s="595" t="str">
        <f aca="false">'Plant loading'!A72</f>
        <v>Oldham</v>
      </c>
      <c r="B37" s="595" t="str">
        <f aca="false">'Plant loading'!B72</f>
        <v>OLDMTX-DCSYS01</v>
      </c>
      <c r="C37" s="595" t="n">
        <f aca="false">'Plant loading'!E72</f>
        <v>786</v>
      </c>
      <c r="D37" s="450" t="n">
        <f aca="false">'Plant loading'!H72</f>
        <v>44</v>
      </c>
      <c r="E37" s="595" t="n">
        <f aca="false">C37/D37</f>
        <v>17.8636363636364</v>
      </c>
      <c r="F37" s="595" t="n">
        <f aca="false">E37*54.5</f>
        <v>973.568181818182</v>
      </c>
      <c r="G37" s="610" t="n">
        <f aca="false">CHOOSE(MATCH(F37,W$3:W$14,1),X$3,X$4,X$5,X$6,X$7,X$8,X$9,X$10,X$11,X$12,X$13,X$14)</f>
        <v>90.745146605758</v>
      </c>
      <c r="H37" s="0" t="n">
        <f aca="false">((($D37*$E37)*54.5)*(1+(1-(G37/100)))/1000)</f>
        <v>46.8015015484914</v>
      </c>
      <c r="I37" s="884" t="n">
        <f aca="false">((($D37*$E37)*54.5)*(1+(1-0.92))/1000)</f>
        <v>46.26396</v>
      </c>
      <c r="J37" s="884" t="n">
        <f aca="false">H37-I37</f>
        <v>0.537541548491433</v>
      </c>
      <c r="K37" s="885" t="n">
        <f aca="false">(J37*24*365)*$V$18</f>
        <v>607.914337853737</v>
      </c>
      <c r="L37" s="886" t="n">
        <f aca="false">CHOOSE(MATCH(F37,N$96:N$107,1),O$96,O$97,O$98,O$99,O$100,O$101,O$102,O$103,O$104,O$105,O$106,O$107)</f>
        <v>95.5</v>
      </c>
      <c r="M37" s="887" t="n">
        <f aca="false">((($D37*$E37)*54.5)*(1+(1-(L37/100)))/1000)</f>
        <v>44.764665</v>
      </c>
      <c r="N37" s="887" t="n">
        <f aca="false">H37-M37</f>
        <v>2.03683654849144</v>
      </c>
      <c r="O37" s="888" t="n">
        <f aca="false">(N37*24*365)*$V$18</f>
        <v>2303.49104207375</v>
      </c>
      <c r="P37" s="889" t="n">
        <f aca="false">((($D37*$E37)*54.5)*(1+(1-0.97))/1000)</f>
        <v>44.12211</v>
      </c>
      <c r="Q37" s="889" t="n">
        <f aca="false">H37-P37</f>
        <v>2.67939154849144</v>
      </c>
      <c r="R37" s="890" t="n">
        <f aca="false">(Q37*24*365)*$V$18</f>
        <v>3030.16677245374</v>
      </c>
      <c r="U37" s="442" t="e">
        <f aca="false">SUM(M2:M56)</f>
        <v>#N/A</v>
      </c>
      <c r="V37" s="442"/>
      <c r="W37" s="442" t="e">
        <f aca="false">SUM(N2:N56)</f>
        <v>#N/A</v>
      </c>
      <c r="X37" s="897" t="e">
        <f aca="false">SUM(O2:O56)</f>
        <v>#N/A</v>
      </c>
    </row>
    <row r="38" customFormat="false" ht="10.15" hidden="false" customHeight="false" outlineLevel="0" collapsed="false">
      <c r="A38" s="595" t="str">
        <f aca="false">'Plant loading'!A73</f>
        <v>Oldham</v>
      </c>
      <c r="B38" s="595" t="str">
        <f aca="false">'Plant loading'!B73</f>
        <v>OLDMTX-DCSYS02</v>
      </c>
      <c r="C38" s="595" t="n">
        <f aca="false">'Plant loading'!E73</f>
        <v>727</v>
      </c>
      <c r="D38" s="450" t="n">
        <f aca="false">'Plant loading'!H73</f>
        <v>44</v>
      </c>
      <c r="E38" s="595" t="n">
        <f aca="false">C38/D38</f>
        <v>16.5227272727273</v>
      </c>
      <c r="F38" s="595" t="n">
        <f aca="false">E38*54.5</f>
        <v>900.488636363636</v>
      </c>
      <c r="G38" s="610" t="n">
        <f aca="false">CHOOSE(MATCH(F38,W$3:W$14,1),X$3,X$4,X$5,X$6,X$7,X$8,X$9,X$10,X$11,X$12,X$13,X$14)</f>
        <v>90.745146605758</v>
      </c>
      <c r="H38" s="0" t="n">
        <f aca="false">((($D38*$E38)*54.5)*(1+(1-(G38/100)))/1000)</f>
        <v>43.2884117375996</v>
      </c>
      <c r="I38" s="884" t="n">
        <f aca="false">((($D38*$E38)*54.5)*(1+(1-0.92))/1000)</f>
        <v>42.79122</v>
      </c>
      <c r="J38" s="884" t="n">
        <f aca="false">H38-I38</f>
        <v>0.497191737599586</v>
      </c>
      <c r="K38" s="885" t="n">
        <f aca="false">(J38*24*365)*$V$18</f>
        <v>562.282091119173</v>
      </c>
      <c r="L38" s="886" t="n">
        <f aca="false">CHOOSE(MATCH(F38,N$96:N$107,1),O$96,O$97,O$98,O$99,O$100,O$101,O$102,O$103,O$104,O$105,O$106,O$107)</f>
        <v>95.5</v>
      </c>
      <c r="M38" s="887" t="n">
        <f aca="false">((($D38*$E38)*54.5)*(1+(1-(L38/100)))/1000)</f>
        <v>41.4044675</v>
      </c>
      <c r="N38" s="887" t="n">
        <f aca="false">H38-M38</f>
        <v>1.88394423759959</v>
      </c>
      <c r="O38" s="888" t="n">
        <f aca="false">(N38*24*365)*$V$18</f>
        <v>2130.58268140918</v>
      </c>
      <c r="P38" s="889" t="n">
        <f aca="false">((($D38*$E38)*54.5)*(1+(1-0.97))/1000)</f>
        <v>40.810145</v>
      </c>
      <c r="Q38" s="889" t="n">
        <f aca="false">H38-P38</f>
        <v>2.47826673759958</v>
      </c>
      <c r="R38" s="890" t="n">
        <f aca="false">(Q38*24*365)*$V$18</f>
        <v>2802.71150581917</v>
      </c>
    </row>
    <row r="39" customFormat="false" ht="10.15" hidden="false" customHeight="false" outlineLevel="0" collapsed="false">
      <c r="A39" s="595" t="str">
        <f aca="false">'Plant loading'!A74</f>
        <v>Oldham</v>
      </c>
      <c r="B39" s="595" t="str">
        <f aca="false">'Plant loading'!B74</f>
        <v>OLDMTX-DCSYS03</v>
      </c>
      <c r="C39" s="595" t="n">
        <f aca="false">'Plant loading'!E74</f>
        <v>798</v>
      </c>
      <c r="D39" s="450" t="n">
        <f aca="false">'Plant loading'!H74</f>
        <v>44</v>
      </c>
      <c r="E39" s="595" t="n">
        <f aca="false">C39/D39</f>
        <v>18.1363636363636</v>
      </c>
      <c r="F39" s="595" t="n">
        <f aca="false">E39*54.5</f>
        <v>988.431818181818</v>
      </c>
      <c r="G39" s="610" t="n">
        <f aca="false">CHOOSE(MATCH(F39,W$3:W$14,1),X$3,X$4,X$5,X$6,X$7,X$8,X$9,X$10,X$11,X$12,X$13,X$14)</f>
        <v>90.745146605758</v>
      </c>
      <c r="H39" s="0" t="n">
        <f aca="false">((($D39*$E39)*54.5)*(1+(1-(G39/100)))/1000)</f>
        <v>47.5160282896898</v>
      </c>
      <c r="I39" s="884" t="n">
        <f aca="false">((($D39*$E39)*54.5)*(1+(1-0.92))/1000)</f>
        <v>46.97028</v>
      </c>
      <c r="J39" s="884" t="n">
        <f aca="false">H39-I39</f>
        <v>0.545748289689776</v>
      </c>
      <c r="K39" s="885" t="n">
        <f aca="false">(J39*24*365)*$V$18</f>
        <v>617.195472782803</v>
      </c>
      <c r="L39" s="886" t="n">
        <f aca="false">CHOOSE(MATCH(F39,N$96:N$107,1),O$96,O$97,O$98,O$99,O$100,O$101,O$102,O$103,O$104,O$105,O$106,O$107)</f>
        <v>95.5</v>
      </c>
      <c r="M39" s="887" t="n">
        <f aca="false">((($D39*$E39)*54.5)*(1+(1-(L39/100)))/1000)</f>
        <v>45.448095</v>
      </c>
      <c r="N39" s="887" t="n">
        <f aca="false">H39-M39</f>
        <v>2.06793328968979</v>
      </c>
      <c r="O39" s="888" t="n">
        <f aca="false">(N39*24*365)*$V$18</f>
        <v>2338.65884424282</v>
      </c>
      <c r="P39" s="889" t="n">
        <f aca="false">((($D39*$E39)*54.5)*(1+(1-0.97))/1000)</f>
        <v>44.79573</v>
      </c>
      <c r="Q39" s="889" t="n">
        <f aca="false">H39-P39</f>
        <v>2.72029828968978</v>
      </c>
      <c r="R39" s="890" t="n">
        <f aca="false">(Q39*24*365)*$V$18</f>
        <v>3076.42886058281</v>
      </c>
    </row>
    <row r="40" customFormat="false" ht="10.15" hidden="false" customHeight="false" outlineLevel="0" collapsed="false">
      <c r="A40" s="595" t="str">
        <f aca="false">'Plant loading'!A75</f>
        <v>Oldham</v>
      </c>
      <c r="B40" s="595" t="str">
        <f aca="false">'Plant loading'!B75</f>
        <v>OLDMTX-DCSYS04</v>
      </c>
      <c r="C40" s="595" t="n">
        <f aca="false">'Plant loading'!E75</f>
        <v>572</v>
      </c>
      <c r="D40" s="450" t="n">
        <f aca="false">'Plant loading'!H75</f>
        <v>34</v>
      </c>
      <c r="E40" s="595" t="n">
        <f aca="false">C40/D40</f>
        <v>16.8235294117647</v>
      </c>
      <c r="F40" s="595" t="n">
        <f aca="false">E40*54.5</f>
        <v>916.882352941176</v>
      </c>
      <c r="G40" s="610" t="n">
        <f aca="false">CHOOSE(MATCH(F40,W$3:W$14,1),X$3,X$4,X$5,X$6,X$7,X$8,X$9,X$10,X$11,X$12,X$13,X$14)</f>
        <v>90.745146605758</v>
      </c>
      <c r="H40" s="0" t="n">
        <f aca="false">((($D40*$E40)*54.5)*(1+(1-(G40/100)))/1000)</f>
        <v>34.059107997121</v>
      </c>
      <c r="I40" s="884" t="n">
        <f aca="false">((($D40*$E40)*54.5)*(1+(1-0.92))/1000)</f>
        <v>33.66792</v>
      </c>
      <c r="J40" s="884" t="n">
        <f aca="false">H40-I40</f>
        <v>0.391187997120994</v>
      </c>
      <c r="K40" s="885" t="n">
        <f aca="false">(J40*24*365)*$V$18</f>
        <v>442.400764952086</v>
      </c>
      <c r="L40" s="886" t="n">
        <f aca="false">CHOOSE(MATCH(F40,N$96:N$107,1),O$96,O$97,O$98,O$99,O$100,O$101,O$102,O$103,O$104,O$105,O$106,O$107)</f>
        <v>95.5</v>
      </c>
      <c r="M40" s="887" t="n">
        <f aca="false">((($D40*$E40)*54.5)*(1+(1-(L40/100)))/1000)</f>
        <v>32.57683</v>
      </c>
      <c r="N40" s="887" t="n">
        <f aca="false">H40-M40</f>
        <v>1.482277997121</v>
      </c>
      <c r="O40" s="888" t="n">
        <f aca="false">(N40*24*365)*$V$18</f>
        <v>1676.33190339209</v>
      </c>
      <c r="P40" s="889" t="n">
        <f aca="false">((($D40*$E40)*54.5)*(1+(1-0.97))/1000)</f>
        <v>32.10922</v>
      </c>
      <c r="Q40" s="889" t="n">
        <f aca="false">H40-P40</f>
        <v>1.949887997121</v>
      </c>
      <c r="R40" s="890" t="n">
        <f aca="false">(Q40*24*365)*$V$18</f>
        <v>2205.15953415209</v>
      </c>
    </row>
    <row r="41" customFormat="false" ht="10.15" hidden="false" customHeight="false" outlineLevel="0" collapsed="false">
      <c r="A41" s="595" t="str">
        <f aca="false">'Plant loading'!A76</f>
        <v>Oldham</v>
      </c>
      <c r="B41" s="595" t="str">
        <f aca="false">'Plant loading'!B76</f>
        <v>OLDMTX-DCSYS05</v>
      </c>
      <c r="C41" s="595" t="n">
        <f aca="false">'Plant loading'!E76</f>
        <v>522</v>
      </c>
      <c r="D41" s="450" t="n">
        <f aca="false">'Plant loading'!H76</f>
        <v>44</v>
      </c>
      <c r="E41" s="595" t="n">
        <f aca="false">C41/D41</f>
        <v>11.8636363636364</v>
      </c>
      <c r="F41" s="595" t="n">
        <f aca="false">E41*54.5</f>
        <v>646.568181818182</v>
      </c>
      <c r="G41" s="610" t="n">
        <f aca="false">CHOOSE(MATCH(F41,W$3:W$14,1),X$3,X$4,X$5,X$6,X$7,X$8,X$9,X$10,X$11,X$12,X$13,X$14)</f>
        <v>88.5162353305465</v>
      </c>
      <c r="H41" s="0" t="n">
        <f aca="false">((($D41*$E41)*54.5)*(1+(1-(G41/100)))/1000)</f>
        <v>31.7160162108128</v>
      </c>
      <c r="I41" s="884" t="n">
        <f aca="false">((($D41*$E41)*54.5)*(1+(1-0.92))/1000)</f>
        <v>30.72492</v>
      </c>
      <c r="J41" s="884" t="n">
        <f aca="false">H41-I41</f>
        <v>0.991096210812824</v>
      </c>
      <c r="K41" s="885" t="n">
        <f aca="false">(J41*24*365)*$V$18</f>
        <v>1120.8465623476</v>
      </c>
      <c r="L41" s="886" t="n">
        <f aca="false">CHOOSE(MATCH(F41,N$96:N$107,1),O$96,O$97,O$98,O$99,O$100,O$101,O$102,O$103,O$104,O$105,O$106,O$107)</f>
        <v>93</v>
      </c>
      <c r="M41" s="887" t="n">
        <f aca="false">((($D41*$E41)*54.5)*(1+(1-(L41/100)))/1000)</f>
        <v>30.44043</v>
      </c>
      <c r="N41" s="887" t="n">
        <f aca="false">H41-M41</f>
        <v>1.27558621081283</v>
      </c>
      <c r="O41" s="888" t="n">
        <f aca="false">(N41*24*365)*$V$18</f>
        <v>1442.5808551876</v>
      </c>
      <c r="P41" s="889" t="n">
        <f aca="false">((($D41*$E41)*54.5)*(1+(1-0.97))/1000)</f>
        <v>29.30247</v>
      </c>
      <c r="Q41" s="889" t="n">
        <f aca="false">H41-P41</f>
        <v>2.41354621081283</v>
      </c>
      <c r="R41" s="890" t="n">
        <f aca="false">(Q41*24*365)*$V$18</f>
        <v>2729.5180265476</v>
      </c>
    </row>
    <row r="42" customFormat="false" ht="40.9" hidden="false" customHeight="false" outlineLevel="0" collapsed="false">
      <c r="A42" s="595" t="str">
        <f aca="false">'Plant loading'!A77</f>
        <v>Oldham</v>
      </c>
      <c r="B42" s="595" t="str">
        <f aca="false">'Plant loading'!B77</f>
        <v>OLDMTX-DCSYS06</v>
      </c>
      <c r="C42" s="595" t="n">
        <f aca="false">'Plant loading'!E77</f>
        <v>629</v>
      </c>
      <c r="D42" s="450" t="n">
        <f aca="false">'Plant loading'!H77</f>
        <v>44</v>
      </c>
      <c r="E42" s="595" t="n">
        <f aca="false">C42/D42</f>
        <v>14.2954545454545</v>
      </c>
      <c r="F42" s="595" t="n">
        <f aca="false">E42*54.5</f>
        <v>779.102272727273</v>
      </c>
      <c r="G42" s="610" t="n">
        <f aca="false">CHOOSE(MATCH(F42,W$3:W$14,1),X$3,X$4,X$5,X$6,X$7,X$8,X$9,X$10,X$11,X$12,X$13,X$14)</f>
        <v>88.5162353305465</v>
      </c>
      <c r="H42" s="0" t="n">
        <f aca="false">((($D42*$E42)*54.5)*(1+(1-(G42/100)))/1000)</f>
        <v>38.217191947512</v>
      </c>
      <c r="I42" s="884" t="n">
        <f aca="false">((($D42*$E42)*54.5)*(1+(1-0.92))/1000)</f>
        <v>37.02294</v>
      </c>
      <c r="J42" s="884" t="n">
        <f aca="false">H42-I42</f>
        <v>1.19425194751199</v>
      </c>
      <c r="K42" s="885" t="n">
        <f aca="false">(J42*24*365)*$V$18</f>
        <v>1350.59863547247</v>
      </c>
      <c r="L42" s="886" t="n">
        <f aca="false">CHOOSE(MATCH(F42,N$96:N$107,1),O$96,O$97,O$98,O$99,O$100,O$101,O$102,O$103,O$104,O$105,O$106,O$107)</f>
        <v>95</v>
      </c>
      <c r="M42" s="887" t="n">
        <f aca="false">((($D42*$E42)*54.5)*(1+(1-(L42/100)))/1000)</f>
        <v>35.994525</v>
      </c>
      <c r="N42" s="887" t="n">
        <f aca="false">H42-M42</f>
        <v>2.222666947512</v>
      </c>
      <c r="O42" s="888" t="n">
        <f aca="false">(N42*24*365)*$V$18</f>
        <v>2513.64961361248</v>
      </c>
      <c r="P42" s="889" t="n">
        <f aca="false">((($D42*$E42)*54.5)*(1+(1-0.97))/1000)</f>
        <v>35.308915</v>
      </c>
      <c r="Q42" s="889" t="n">
        <f aca="false">H42-P42</f>
        <v>2.908276947512</v>
      </c>
      <c r="R42" s="890" t="n">
        <f aca="false">(Q42*24*365)*$V$18</f>
        <v>3289.01693237248</v>
      </c>
      <c r="U42" s="825" t="s">
        <v>524</v>
      </c>
      <c r="V42" s="898" t="s">
        <v>595</v>
      </c>
      <c r="W42" s="899" t="s">
        <v>1522</v>
      </c>
      <c r="X42" s="899" t="s">
        <v>1502</v>
      </c>
      <c r="Y42" s="900" t="s">
        <v>1522</v>
      </c>
      <c r="Z42" s="900" t="s">
        <v>1506</v>
      </c>
      <c r="AA42" s="901" t="s">
        <v>1522</v>
      </c>
      <c r="AB42" s="901" t="s">
        <v>1509</v>
      </c>
    </row>
    <row r="43" customFormat="false" ht="10.15" hidden="false" customHeight="false" outlineLevel="0" collapsed="false">
      <c r="A43" s="595" t="str">
        <f aca="false">'Plant loading'!A80</f>
        <v>Rotherham</v>
      </c>
      <c r="B43" s="595" t="str">
        <f aca="false">'Plant loading'!B80</f>
        <v>PEARM</v>
      </c>
      <c r="C43" s="595" t="n">
        <f aca="false">'Plant loading'!E80</f>
        <v>376</v>
      </c>
      <c r="D43" s="450" t="n">
        <f aca="false">'Plant loading'!H80</f>
        <v>36</v>
      </c>
      <c r="E43" s="595" t="n">
        <f aca="false">C43/D43</f>
        <v>10.4444444444444</v>
      </c>
      <c r="F43" s="595" t="n">
        <f aca="false">E43*54.5</f>
        <v>569.222222222222</v>
      </c>
      <c r="G43" s="610" t="n">
        <f aca="false">CHOOSE(MATCH(F43,W$3:W$14,1),X$3,X$4,X$5,X$6,X$7,X$8,X$9,X$10,X$11,X$12,X$13,X$14)</f>
        <v>82.0732242562929</v>
      </c>
      <c r="H43" s="0" t="n">
        <f aca="false">((($D43*$E43)*54.5)*(1+(1-(G43/100)))/1000)</f>
        <v>24.1655548854005</v>
      </c>
      <c r="I43" s="884" t="n">
        <f aca="false">((($D43*$E43)*54.5)*(1+(1-0.92))/1000)</f>
        <v>22.13136</v>
      </c>
      <c r="J43" s="884" t="n">
        <f aca="false">H43-I43</f>
        <v>2.03419488540046</v>
      </c>
      <c r="K43" s="885" t="n">
        <f aca="false">(J43*24*365)*$V$18</f>
        <v>2300.50354301755</v>
      </c>
      <c r="L43" s="886" t="n">
        <f aca="false">CHOOSE(MATCH(F43,N$96:N$107,1),O$96,O$97,O$98,O$99,O$100,O$101,O$102,O$103,O$104,O$105,O$106,O$107)</f>
        <v>93</v>
      </c>
      <c r="M43" s="887" t="n">
        <f aca="false">((($D43*$E43)*54.5)*(1+(1-(L43/100)))/1000)</f>
        <v>21.92644</v>
      </c>
      <c r="N43" s="887" t="n">
        <f aca="false">H43-M43</f>
        <v>2.23911488540047</v>
      </c>
      <c r="O43" s="888" t="n">
        <f aca="false">(N43*24*365)*$V$18</f>
        <v>2532.25084973756</v>
      </c>
      <c r="P43" s="889" t="n">
        <f aca="false">((($D43*$E43)*54.5)*(1+(1-0.97))/1000)</f>
        <v>21.10676</v>
      </c>
      <c r="Q43" s="889" t="n">
        <f aca="false">H43-P43</f>
        <v>3.05879488540046</v>
      </c>
      <c r="R43" s="890" t="n">
        <f aca="false">(Q43*24*365)*$V$18</f>
        <v>3459.24007661755</v>
      </c>
      <c r="U43" s="418" t="s">
        <v>37</v>
      </c>
      <c r="V43" s="902" t="n">
        <f aca="false">SUM(D2:D6)</f>
        <v>180</v>
      </c>
      <c r="W43" s="903" t="n">
        <f aca="false">SUM(J2:J6)</f>
        <v>3.2697896591943</v>
      </c>
      <c r="X43" s="904" t="n">
        <f aca="false">SUM(K2:K6)</f>
        <v>3697.85744221738</v>
      </c>
      <c r="Y43" s="903" t="n">
        <f aca="false">SUM(N2:N6)</f>
        <v>6.52816118039638</v>
      </c>
      <c r="Z43" s="904" t="n">
        <f aca="false">SUM(O2:O6)</f>
        <v>7382.80192948916</v>
      </c>
      <c r="AA43" s="903" t="n">
        <f aca="false">SUM(Q2:Q6)</f>
        <v>11.4774896591943</v>
      </c>
      <c r="AB43" s="904" t="n">
        <f aca="false">SUM(R2:R6)</f>
        <v>12980.0766954174</v>
      </c>
    </row>
    <row r="44" customFormat="false" ht="10.15" hidden="false" customHeight="false" outlineLevel="0" collapsed="false">
      <c r="A44" s="595" t="str">
        <f aca="false">'Plant loading'!A81</f>
        <v>Rotherham</v>
      </c>
      <c r="B44" s="595" t="str">
        <f aca="false">'Plant loading'!B81</f>
        <v>PEBRM</v>
      </c>
      <c r="C44" s="595" t="n">
        <f aca="false">'Plant loading'!E81</f>
        <v>469</v>
      </c>
      <c r="D44" s="450" t="n">
        <f aca="false">'Plant loading'!H81</f>
        <v>36</v>
      </c>
      <c r="E44" s="595" t="n">
        <f aca="false">C44/D44</f>
        <v>13.0277777777778</v>
      </c>
      <c r="F44" s="595" t="n">
        <f aca="false">E44*54.5</f>
        <v>710.013888888889</v>
      </c>
      <c r="G44" s="610" t="n">
        <f aca="false">CHOOSE(MATCH(F44,W$3:W$14,1),X$3,X$4,X$5,X$6,X$7,X$8,X$9,X$10,X$11,X$12,X$13,X$14)</f>
        <v>88.5162353305465</v>
      </c>
      <c r="H44" s="0" t="n">
        <f aca="false">((($D44*$E44)*54.5)*(1+(1-(G44/100)))/1000)</f>
        <v>28.4958076683357</v>
      </c>
      <c r="I44" s="884" t="n">
        <f aca="false">((($D44*$E44)*54.5)*(1+(1-0.92))/1000)</f>
        <v>27.60534</v>
      </c>
      <c r="J44" s="884" t="n">
        <f aca="false">H44-I44</f>
        <v>0.890467668335656</v>
      </c>
      <c r="K44" s="885" t="n">
        <f aca="false">(J44*24*365)*$V$18</f>
        <v>1007.04413360349</v>
      </c>
      <c r="L44" s="886" t="n">
        <f aca="false">CHOOSE(MATCH(F44,N$96:N$107,1),O$96,O$97,O$98,O$99,O$100,O$101,O$102,O$103,O$104,O$105,O$106,O$107)</f>
        <v>95</v>
      </c>
      <c r="M44" s="887" t="n">
        <f aca="false">((($D44*$E44)*54.5)*(1+(1-(L44/100)))/1000)</f>
        <v>26.838525</v>
      </c>
      <c r="N44" s="887" t="n">
        <f aca="false">H44-M44</f>
        <v>1.65728266833566</v>
      </c>
      <c r="O44" s="888" t="n">
        <f aca="false">(N44*24*365)*$V$18</f>
        <v>1874.24748614349</v>
      </c>
      <c r="P44" s="889" t="n">
        <f aca="false">((($D44*$E44)*54.5)*(1+(1-0.97))/1000)</f>
        <v>26.327315</v>
      </c>
      <c r="Q44" s="889" t="n">
        <f aca="false">H44-P44</f>
        <v>2.16849266833566</v>
      </c>
      <c r="R44" s="890" t="n">
        <f aca="false">(Q44*24*365)*$V$18</f>
        <v>2452.38305450349</v>
      </c>
      <c r="U44" s="418" t="s">
        <v>69</v>
      </c>
      <c r="V44" s="902" t="n">
        <f aca="false">SUM(D7:D11)</f>
        <v>180</v>
      </c>
      <c r="W44" s="903" t="n">
        <f aca="false">SUM(J7:J11)</f>
        <v>5.42375055091753</v>
      </c>
      <c r="X44" s="904" t="n">
        <f aca="false">SUM(K7:K11)</f>
        <v>6133.80627804145</v>
      </c>
      <c r="Y44" s="903" t="n">
        <f aca="false">SUM(N7:N11)</f>
        <v>7.24132555091755</v>
      </c>
      <c r="Z44" s="904" t="n">
        <f aca="false">SUM(O7:O11)</f>
        <v>8189.33092674147</v>
      </c>
      <c r="AA44" s="903" t="n">
        <f aca="false">SUM(Q7:Q11)</f>
        <v>11.1299005509175</v>
      </c>
      <c r="AB44" s="904" t="n">
        <f aca="false">SUM(R7:R11)</f>
        <v>12586.9826114415</v>
      </c>
    </row>
    <row r="45" customFormat="false" ht="10.15" hidden="false" customHeight="false" outlineLevel="0" collapsed="false">
      <c r="A45" s="595" t="str">
        <f aca="false">'Plant loading'!A82</f>
        <v>Rotherham</v>
      </c>
      <c r="B45" s="595" t="str">
        <f aca="false">'Plant loading'!B82</f>
        <v>PECRM</v>
      </c>
      <c r="C45" s="595" t="n">
        <f aca="false">'Plant loading'!E82</f>
        <v>532</v>
      </c>
      <c r="D45" s="450" t="n">
        <f aca="false">'Plant loading'!H82</f>
        <v>36</v>
      </c>
      <c r="E45" s="595" t="n">
        <f aca="false">C45/D45</f>
        <v>14.7777777777778</v>
      </c>
      <c r="F45" s="595" t="n">
        <f aca="false">E45*54.5</f>
        <v>805.388888888889</v>
      </c>
      <c r="G45" s="610" t="n">
        <f aca="false">CHOOSE(MATCH(F45,W$3:W$14,1),X$3,X$4,X$5,X$6,X$7,X$8,X$9,X$10,X$11,X$12,X$13,X$14)</f>
        <v>88.5162353305465</v>
      </c>
      <c r="H45" s="0" t="n">
        <f aca="false">((($D45*$E45)*54.5)*(1+(1-(G45/100)))/1000)</f>
        <v>32.3236027282613</v>
      </c>
      <c r="I45" s="884" t="n">
        <f aca="false">((($D45*$E45)*54.5)*(1+(1-0.92))/1000)</f>
        <v>31.31352</v>
      </c>
      <c r="J45" s="884" t="n">
        <f aca="false">H45-I45</f>
        <v>1.01008272826134</v>
      </c>
      <c r="K45" s="885" t="n">
        <f aca="false">(J45*24*365)*$V$18</f>
        <v>1142.3187187144</v>
      </c>
      <c r="L45" s="886" t="n">
        <f aca="false">CHOOSE(MATCH(F45,N$96:N$107,1),O$96,O$97,O$98,O$99,O$100,O$101,O$102,O$103,O$104,O$105,O$106,O$107)</f>
        <v>95</v>
      </c>
      <c r="M45" s="887" t="n">
        <f aca="false">((($D45*$E45)*54.5)*(1+(1-(L45/100)))/1000)</f>
        <v>30.4437</v>
      </c>
      <c r="N45" s="887" t="n">
        <f aca="false">H45-M45</f>
        <v>1.87990272826134</v>
      </c>
      <c r="O45" s="888" t="n">
        <f aca="false">(N45*24*365)*$V$18</f>
        <v>2126.0120738344</v>
      </c>
      <c r="P45" s="889" t="n">
        <f aca="false">((($D45*$E45)*54.5)*(1+(1-0.97))/1000)</f>
        <v>29.86382</v>
      </c>
      <c r="Q45" s="889" t="n">
        <f aca="false">H45-P45</f>
        <v>2.45978272826134</v>
      </c>
      <c r="R45" s="890" t="n">
        <f aca="false">(Q45*24*365)*$V$18</f>
        <v>2781.8076439144</v>
      </c>
      <c r="U45" s="418" t="s">
        <v>77</v>
      </c>
      <c r="V45" s="902" t="n">
        <f aca="false">SUM(D12:D16)</f>
        <v>180</v>
      </c>
      <c r="W45" s="903" t="n">
        <f aca="false">SUM(J12:J16)</f>
        <v>0.157401620781791</v>
      </c>
      <c r="X45" s="904" t="n">
        <f aca="false">SUM(K12:K16)</f>
        <v>178.008011368059</v>
      </c>
      <c r="Y45" s="903" t="n">
        <f aca="false">SUM(N12:N16)</f>
        <v>8.44031162078181</v>
      </c>
      <c r="Z45" s="904" t="n">
        <f aca="false">SUM(O12:O16)</f>
        <v>9545.28345692809</v>
      </c>
      <c r="AA45" s="903" t="n">
        <f aca="false">SUM(Q12:Q16)</f>
        <v>9.86385162078182</v>
      </c>
      <c r="AB45" s="904" t="n">
        <f aca="false">SUM(R12:R16)</f>
        <v>11155.1876195681</v>
      </c>
    </row>
    <row r="46" customFormat="false" ht="10.15" hidden="false" customHeight="false" outlineLevel="0" collapsed="false">
      <c r="A46" s="595" t="str">
        <f aca="false">'Plant loading'!A83</f>
        <v>Rotherham</v>
      </c>
      <c r="B46" s="595" t="str">
        <f aca="false">'Plant loading'!B83</f>
        <v>PEDRM</v>
      </c>
      <c r="C46" s="595" t="n">
        <f aca="false">'Plant loading'!E83</f>
        <v>253</v>
      </c>
      <c r="D46" s="450" t="n">
        <f aca="false">'Plant loading'!H83</f>
        <v>36</v>
      </c>
      <c r="E46" s="595" t="n">
        <f aca="false">C46/D46</f>
        <v>7.02777777777778</v>
      </c>
      <c r="F46" s="595" t="n">
        <f aca="false">E46*54.5</f>
        <v>383.013888888889</v>
      </c>
      <c r="G46" s="610" t="n">
        <f aca="false">CHOOSE(MATCH(F46,W$3:W$14,1),X$3,X$4,X$5,X$6,X$7,X$8,X$9,X$10,X$11,X$12,X$13,X$14)</f>
        <v>82.0732242562929</v>
      </c>
      <c r="H46" s="0" t="n">
        <f aca="false">((($D46*$E46)*54.5)*(1+(1-(G46/100)))/1000)</f>
        <v>16.2603334734211</v>
      </c>
      <c r="I46" s="884" t="n">
        <f aca="false">((($D46*$E46)*54.5)*(1+(1-0.92))/1000)</f>
        <v>14.89158</v>
      </c>
      <c r="J46" s="884" t="n">
        <f aca="false">H46-I46</f>
        <v>1.36875347342106</v>
      </c>
      <c r="K46" s="885" t="n">
        <f aca="false">(J46*24*365)*$V$18</f>
        <v>1547.94520314745</v>
      </c>
      <c r="L46" s="886" t="n">
        <f aca="false">CHOOSE(MATCH(F46,N$96:N$107,1),O$96,O$97,O$98,O$99,O$100,O$101,O$102,O$103,O$104,O$105,O$106,O$107)</f>
        <v>91</v>
      </c>
      <c r="M46" s="887" t="n">
        <f aca="false">((($D46*$E46)*54.5)*(1+(1-(L46/100)))/1000)</f>
        <v>15.029465</v>
      </c>
      <c r="N46" s="887" t="n">
        <f aca="false">H46-M46</f>
        <v>1.23086847342106</v>
      </c>
      <c r="O46" s="888" t="n">
        <f aca="false">(N46*24*365)*$V$18</f>
        <v>1392.00885048745</v>
      </c>
      <c r="P46" s="889" t="n">
        <f aca="false">((($D46*$E46)*54.5)*(1+(1-0.97))/1000)</f>
        <v>14.202155</v>
      </c>
      <c r="Q46" s="889" t="n">
        <f aca="false">H46-P46</f>
        <v>2.05817847342105</v>
      </c>
      <c r="R46" s="890" t="n">
        <f aca="false">(Q46*24*365)*$V$18</f>
        <v>2327.62696644745</v>
      </c>
      <c r="U46" s="418" t="s">
        <v>86</v>
      </c>
      <c r="V46" s="902" t="n">
        <f aca="false">SUM(D17:D20)</f>
        <v>144</v>
      </c>
      <c r="W46" s="903" t="n">
        <f aca="false">SUM(J17:J20)</f>
        <v>5.49129084354153</v>
      </c>
      <c r="X46" s="904" t="n">
        <f aca="false">SUM(K17:K20)</f>
        <v>6210.18867561461</v>
      </c>
      <c r="Y46" s="903" t="e">
        <f aca="false">SUM(N17:N20)</f>
        <v>#N/A</v>
      </c>
      <c r="Z46" s="904" t="e">
        <f aca="false">SUM(O17:O20)</f>
        <v>#N/A</v>
      </c>
      <c r="AA46" s="903" t="n">
        <f aca="false">SUM(Q17:Q20)</f>
        <v>8.92751584354154</v>
      </c>
      <c r="AB46" s="904" t="n">
        <f aca="false">SUM(R17:R20)</f>
        <v>10096.2705077146</v>
      </c>
    </row>
    <row r="47" customFormat="false" ht="10.15" hidden="false" customHeight="false" outlineLevel="0" collapsed="false">
      <c r="A47" s="595" t="str">
        <f aca="false">'Plant loading'!A84</f>
        <v>Rotherham</v>
      </c>
      <c r="B47" s="595" t="str">
        <f aca="false">'Plant loading'!B84</f>
        <v>PEERM</v>
      </c>
      <c r="C47" s="595" t="n">
        <f aca="false">'Plant loading'!E84</f>
        <v>212</v>
      </c>
      <c r="D47" s="450" t="n">
        <f aca="false">'Plant loading'!H84</f>
        <v>36</v>
      </c>
      <c r="E47" s="595" t="n">
        <f aca="false">C47/D47</f>
        <v>5.88888888888889</v>
      </c>
      <c r="F47" s="595" t="n">
        <f aca="false">E47*54.5</f>
        <v>320.944444444444</v>
      </c>
      <c r="G47" s="610" t="n">
        <f aca="false">CHOOSE(MATCH(F47,W$3:W$14,1),X$3,X$4,X$5,X$6,X$7,X$8,X$9,X$10,X$11,X$12,X$13,X$14)</f>
        <v>82.0732242562929</v>
      </c>
      <c r="H47" s="0" t="n">
        <f aca="false">((($D47*$E47)*54.5)*(1+(1-(G47/100)))/1000)</f>
        <v>13.6252596694279</v>
      </c>
      <c r="I47" s="884" t="n">
        <f aca="false">((($D47*$E47)*54.5)*(1+(1-0.92))/1000)</f>
        <v>12.47832</v>
      </c>
      <c r="J47" s="884" t="n">
        <f aca="false">H47-I47</f>
        <v>1.14693966942792</v>
      </c>
      <c r="K47" s="885" t="n">
        <f aca="false">(J47*24*365)*$V$18</f>
        <v>1297.09242319074</v>
      </c>
      <c r="L47" s="886" t="e">
        <f aca="false">CHOOSE(MATCH(F47,N$96:N$107,1),O$96,O$97,O$98,O$99,O$100,O$101,O$102,O$103,O$104,O$105,O$106,O$107)</f>
        <v>#N/A</v>
      </c>
      <c r="M47" s="887" t="e">
        <f aca="false">((($D47*$E47)*54.5)*(1+(1-(L47/100)))/1000)</f>
        <v>#N/A</v>
      </c>
      <c r="N47" s="887" t="e">
        <f aca="false">H47-M47</f>
        <v>#N/A</v>
      </c>
      <c r="O47" s="888" t="e">
        <f aca="false">(N47*24*365)*$V$18</f>
        <v>#N/A</v>
      </c>
      <c r="P47" s="889" t="n">
        <f aca="false">((($D47*$E47)*54.5)*(1+(1-0.97))/1000)</f>
        <v>11.90062</v>
      </c>
      <c r="Q47" s="889" t="n">
        <f aca="false">H47-P47</f>
        <v>1.72463966942792</v>
      </c>
      <c r="R47" s="890" t="n">
        <f aca="false">(Q47*24*365)*$V$18</f>
        <v>1950.42259639075</v>
      </c>
      <c r="U47" s="418" t="s">
        <v>93</v>
      </c>
      <c r="V47" s="902" t="n">
        <f aca="false">SUM(D21:D25)</f>
        <v>180</v>
      </c>
      <c r="W47" s="903" t="n">
        <f aca="false">SUM(J21:J25)</f>
        <v>0.785562110017757</v>
      </c>
      <c r="X47" s="904" t="n">
        <f aca="false">SUM(K21:K25)</f>
        <v>888.404759212842</v>
      </c>
      <c r="Y47" s="903" t="n">
        <f aca="false">SUM(N21:N25)</f>
        <v>7.17050961001775</v>
      </c>
      <c r="Z47" s="904" t="n">
        <f aca="false">SUM(O21:O25)</f>
        <v>8109.24404612284</v>
      </c>
      <c r="AA47" s="903" t="n">
        <f aca="false">SUM(Q21:Q25)</f>
        <v>8.99326211001777</v>
      </c>
      <c r="AB47" s="904" t="n">
        <f aca="false">SUM(R21:R25)</f>
        <v>10170.6240124129</v>
      </c>
    </row>
    <row r="48" customFormat="false" ht="10.15" hidden="false" customHeight="false" outlineLevel="0" collapsed="false">
      <c r="A48" s="595" t="str">
        <f aca="false">'Plant loading'!A85</f>
        <v>Southampton</v>
      </c>
      <c r="B48" s="595" t="str">
        <f aca="false">'Plant loading'!B85</f>
        <v>PEASN</v>
      </c>
      <c r="C48" s="595" t="n">
        <f aca="false">'Plant loading'!E85</f>
        <v>357</v>
      </c>
      <c r="D48" s="450" t="n">
        <f aca="false">'Plant loading'!H85</f>
        <v>36</v>
      </c>
      <c r="E48" s="595" t="n">
        <f aca="false">C48/D48</f>
        <v>9.91666666666667</v>
      </c>
      <c r="F48" s="595" t="n">
        <f aca="false">E48*54.5</f>
        <v>540.458333333333</v>
      </c>
      <c r="G48" s="610" t="n">
        <f aca="false">CHOOSE(MATCH(F48,W$3:W$14,1),X$3,X$4,X$5,X$6,X$7,X$8,X$9,X$10,X$11,X$12,X$13,X$14)</f>
        <v>82.0732242562929</v>
      </c>
      <c r="H48" s="0" t="n">
        <f aca="false">((($D48*$E48)*54.5)*(1+(1-(G48/100)))/1000)</f>
        <v>22.9444231225744</v>
      </c>
      <c r="I48" s="884" t="n">
        <f aca="false">((($D48*$E48)*54.5)*(1+(1-0.92))/1000)</f>
        <v>21.01302</v>
      </c>
      <c r="J48" s="884" t="n">
        <f aca="false">H48-I48</f>
        <v>1.93140312257437</v>
      </c>
      <c r="K48" s="885" t="n">
        <f aca="false">(J48*24*365)*$V$18</f>
        <v>2184.25469376932</v>
      </c>
      <c r="L48" s="886" t="n">
        <f aca="false">CHOOSE(MATCH(F48,N$96:N$107,1),O$96,O$97,O$98,O$99,O$100,O$101,O$102,O$103,O$104,O$105,O$106,O$107)</f>
        <v>93</v>
      </c>
      <c r="M48" s="887" t="n">
        <f aca="false">((($D48*$E48)*54.5)*(1+(1-(L48/100)))/1000)</f>
        <v>20.818455</v>
      </c>
      <c r="N48" s="887" t="n">
        <f aca="false">H48-M48</f>
        <v>2.12596812257438</v>
      </c>
      <c r="O48" s="888" t="n">
        <f aca="false">(N48*24*365)*$V$18</f>
        <v>2404.29136530933</v>
      </c>
      <c r="P48" s="889" t="n">
        <f aca="false">((($D48*$E48)*54.5)*(1+(1-0.97))/1000)</f>
        <v>20.040195</v>
      </c>
      <c r="Q48" s="889" t="n">
        <f aca="false">H48-P48</f>
        <v>2.90422812257437</v>
      </c>
      <c r="R48" s="890" t="n">
        <f aca="false">(Q48*24*365)*$V$18</f>
        <v>3284.43805146932</v>
      </c>
      <c r="U48" s="418" t="s">
        <v>122</v>
      </c>
      <c r="V48" s="902" t="e">
        <f aca="false">SUM(D26:D36)</f>
        <v>#VALUE!</v>
      </c>
      <c r="W48" s="903" t="e">
        <f aca="false">SUM(J26:J36)</f>
        <v>#VALUE!</v>
      </c>
      <c r="X48" s="904" t="e">
        <f aca="false">SUM(K26:K36)</f>
        <v>#VALUE!</v>
      </c>
      <c r="Y48" s="903" t="e">
        <f aca="false">SUM(N26:N36)</f>
        <v>#VALUE!</v>
      </c>
      <c r="Z48" s="904" t="e">
        <f aca="false">SUM(O26:O36)</f>
        <v>#VALUE!</v>
      </c>
      <c r="AA48" s="903" t="e">
        <f aca="false">SUM(Q26:Q36)</f>
        <v>#VALUE!</v>
      </c>
      <c r="AB48" s="904" t="e">
        <f aca="false">SUM(R26:R36)</f>
        <v>#VALUE!</v>
      </c>
    </row>
    <row r="49" customFormat="false" ht="10.15" hidden="false" customHeight="false" outlineLevel="0" collapsed="false">
      <c r="A49" s="595" t="str">
        <f aca="false">'Plant loading'!A86</f>
        <v>Southampton</v>
      </c>
      <c r="B49" s="595" t="str">
        <f aca="false">'Plant loading'!B86</f>
        <v>PEBSN</v>
      </c>
      <c r="C49" s="595" t="n">
        <f aca="false">'Plant loading'!E86</f>
        <v>488</v>
      </c>
      <c r="D49" s="450" t="n">
        <f aca="false">'Plant loading'!H86</f>
        <v>36</v>
      </c>
      <c r="E49" s="595" t="n">
        <f aca="false">C49/D49</f>
        <v>13.5555555555556</v>
      </c>
      <c r="F49" s="595" t="n">
        <f aca="false">E49*54.5</f>
        <v>738.777777777778</v>
      </c>
      <c r="G49" s="610" t="n">
        <f aca="false">CHOOSE(MATCH(F49,W$3:W$14,1),X$3,X$4,X$5,X$6,X$7,X$8,X$9,X$10,X$11,X$12,X$13,X$14)</f>
        <v>88.5162353305465</v>
      </c>
      <c r="H49" s="0" t="n">
        <f aca="false">((($D49*$E49)*54.5)*(1+(1-(G49/100)))/1000)</f>
        <v>29.6502220514879</v>
      </c>
      <c r="I49" s="884" t="n">
        <f aca="false">((($D49*$E49)*54.5)*(1+(1-0.92))/1000)</f>
        <v>28.72368</v>
      </c>
      <c r="J49" s="884" t="n">
        <f aca="false">H49-I49</f>
        <v>0.92654205148785</v>
      </c>
      <c r="K49" s="885" t="n">
        <f aca="false">(J49*24*365)*$V$18</f>
        <v>1047.84123070043</v>
      </c>
      <c r="L49" s="886" t="n">
        <f aca="false">CHOOSE(MATCH(F49,N$96:N$107,1),O$96,O$97,O$98,O$99,O$100,O$101,O$102,O$103,O$104,O$105,O$106,O$107)</f>
        <v>95</v>
      </c>
      <c r="M49" s="887" t="n">
        <f aca="false">((($D49*$E49)*54.5)*(1+(1-(L49/100)))/1000)</f>
        <v>27.9258</v>
      </c>
      <c r="N49" s="887" t="n">
        <f aca="false">H49-M49</f>
        <v>1.72442205148785</v>
      </c>
      <c r="O49" s="888" t="n">
        <f aca="false">(N49*24*365)*$V$18</f>
        <v>1950.17648878043</v>
      </c>
      <c r="P49" s="889" t="n">
        <f aca="false">((($D49*$E49)*54.5)*(1+(1-0.97))/1000)</f>
        <v>27.39388</v>
      </c>
      <c r="Q49" s="889" t="n">
        <f aca="false">H49-P49</f>
        <v>2.25634205148785</v>
      </c>
      <c r="R49" s="890" t="n">
        <f aca="false">(Q49*24*365)*$V$18</f>
        <v>2551.73332750044</v>
      </c>
      <c r="U49" s="418" t="s">
        <v>173</v>
      </c>
      <c r="V49" s="902" t="n">
        <f aca="false">SUM(D48:D51)</f>
        <v>144</v>
      </c>
      <c r="W49" s="903" t="n">
        <f aca="false">SUM(J48:J51)</f>
        <v>5.41461903330175</v>
      </c>
      <c r="X49" s="904" t="n">
        <f aca="false">SUM(K48:K51)</f>
        <v>6123.47929866548</v>
      </c>
      <c r="Y49" s="903" t="n">
        <f aca="false">SUM(N48:N51)</f>
        <v>6.48009403330176</v>
      </c>
      <c r="Z49" s="904" t="n">
        <f aca="false">SUM(O48:O51)</f>
        <v>7328.4420237655</v>
      </c>
      <c r="AA49" s="903" t="n">
        <f aca="false">SUM(Q48:Q51)</f>
        <v>9.79914403330175</v>
      </c>
      <c r="AB49" s="904" t="n">
        <f aca="false">SUM(R48:R51)</f>
        <v>11082.0087735655</v>
      </c>
    </row>
    <row r="50" customFormat="false" ht="10.15" hidden="false" customHeight="false" outlineLevel="0" collapsed="false">
      <c r="A50" s="595" t="str">
        <f aca="false">'Plant loading'!A87</f>
        <v>Southampton</v>
      </c>
      <c r="B50" s="595" t="str">
        <f aca="false">'Plant loading'!B87</f>
        <v>PECSN</v>
      </c>
      <c r="C50" s="595" t="n">
        <f aca="false">'Plant loading'!E87</f>
        <v>449</v>
      </c>
      <c r="D50" s="450" t="n">
        <f aca="false">'Plant loading'!H87</f>
        <v>36</v>
      </c>
      <c r="E50" s="595" t="n">
        <f aca="false">C50/D50</f>
        <v>12.4722222222222</v>
      </c>
      <c r="F50" s="595" t="n">
        <f aca="false">E50*54.5</f>
        <v>679.736111111111</v>
      </c>
      <c r="G50" s="610" t="n">
        <f aca="false">CHOOSE(MATCH(F50,W$3:W$14,1),X$3,X$4,X$5,X$6,X$7,X$8,X$9,X$10,X$11,X$12,X$13,X$14)</f>
        <v>88.5162353305465</v>
      </c>
      <c r="H50" s="0" t="n">
        <f aca="false">((($D50*$E50)*54.5)*(1+(1-(G50/100)))/1000)</f>
        <v>27.2806346334386</v>
      </c>
      <c r="I50" s="884" t="n">
        <f aca="false">((($D50*$E50)*54.5)*(1+(1-0.92))/1000)</f>
        <v>26.42814</v>
      </c>
      <c r="J50" s="884" t="n">
        <f aca="false">H50-I50</f>
        <v>0.85249463343861</v>
      </c>
      <c r="K50" s="885" t="n">
        <f aca="false">(J50*24*365)*$V$18</f>
        <v>964.099820869859</v>
      </c>
      <c r="L50" s="886" t="n">
        <f aca="false">CHOOSE(MATCH(F50,N$96:N$107,1),O$96,O$97,O$98,O$99,O$100,O$101,O$102,O$103,O$104,O$105,O$106,O$107)</f>
        <v>93</v>
      </c>
      <c r="M50" s="887" t="n">
        <f aca="false">((($D50*$E50)*54.5)*(1+(1-(L50/100)))/1000)</f>
        <v>26.183435</v>
      </c>
      <c r="N50" s="887" t="n">
        <f aca="false">H50-M50</f>
        <v>1.09719963343861</v>
      </c>
      <c r="O50" s="888" t="n">
        <f aca="false">(N50*24*365)*$V$18</f>
        <v>1240.84062064986</v>
      </c>
      <c r="P50" s="889" t="n">
        <f aca="false">((($D50*$E50)*54.5)*(1+(1-0.97))/1000)</f>
        <v>25.204615</v>
      </c>
      <c r="Q50" s="889" t="n">
        <f aca="false">H50-P50</f>
        <v>2.07601963343861</v>
      </c>
      <c r="R50" s="890" t="n">
        <f aca="false">(Q50*24*365)*$V$18</f>
        <v>2347.80381976986</v>
      </c>
      <c r="U50" s="418" t="s">
        <v>179</v>
      </c>
      <c r="V50" s="902" t="n">
        <f aca="false">SUM(D52:D56)+6</f>
        <v>180</v>
      </c>
      <c r="W50" s="903" t="n">
        <f aca="false">SUM(J52:J56)</f>
        <v>4.78183390647177</v>
      </c>
      <c r="X50" s="904" t="n">
        <f aca="false">SUM(K52:K56)</f>
        <v>5407.85247417143</v>
      </c>
      <c r="Y50" s="903" t="n">
        <f aca="false">SUM(N52:N56)</f>
        <v>6.65390890647178</v>
      </c>
      <c r="Z50" s="904" t="n">
        <f aca="false">SUM(O52:O56)</f>
        <v>7525.01204487145</v>
      </c>
      <c r="AA50" s="903" t="n">
        <f aca="false">SUM(Q52:Q56)</f>
        <v>10.2236589064718</v>
      </c>
      <c r="AB50" s="904" t="n">
        <f aca="false">SUM(R52:R56)</f>
        <v>11562.0994358714</v>
      </c>
    </row>
    <row r="51" customFormat="false" ht="10.15" hidden="false" customHeight="false" outlineLevel="0" collapsed="false">
      <c r="A51" s="595" t="str">
        <f aca="false">'Plant loading'!A88</f>
        <v>Southampton</v>
      </c>
      <c r="B51" s="595" t="str">
        <f aca="false">'Plant loading'!B88</f>
        <v>PEESN</v>
      </c>
      <c r="C51" s="595" t="n">
        <f aca="false">'Plant loading'!E88</f>
        <v>315</v>
      </c>
      <c r="D51" s="450" t="n">
        <f aca="false">'Plant loading'!H88</f>
        <v>36</v>
      </c>
      <c r="E51" s="595" t="n">
        <f aca="false">C51/D51</f>
        <v>8.75</v>
      </c>
      <c r="F51" s="595" t="n">
        <f aca="false">E51*54.5</f>
        <v>476.875</v>
      </c>
      <c r="G51" s="610" t="n">
        <f aca="false">CHOOSE(MATCH(F51,W$3:W$14,1),X$3,X$4,X$5,X$6,X$7,X$8,X$9,X$10,X$11,X$12,X$13,X$14)</f>
        <v>82.0732242562929</v>
      </c>
      <c r="H51" s="0" t="n">
        <f aca="false">((($D51*$E51)*54.5)*(1+(1-(G51/100)))/1000)</f>
        <v>20.2450792258009</v>
      </c>
      <c r="I51" s="884" t="n">
        <f aca="false">((($D51*$E51)*54.5)*(1+(1-0.92))/1000)</f>
        <v>18.5409</v>
      </c>
      <c r="J51" s="884" t="n">
        <f aca="false">H51-I51</f>
        <v>1.70417922580092</v>
      </c>
      <c r="K51" s="885" t="n">
        <f aca="false">(J51*24*365)*$V$18</f>
        <v>1927.28355332587</v>
      </c>
      <c r="L51" s="886" t="n">
        <f aca="false">CHOOSE(MATCH(F51,N$96:N$107,1),O$96,O$97,O$98,O$99,O$100,O$101,O$102,O$103,O$104,O$105,O$106,O$107)</f>
        <v>91</v>
      </c>
      <c r="M51" s="887" t="n">
        <f aca="false">((($D51*$E51)*54.5)*(1+(1-(L51/100)))/1000)</f>
        <v>18.712575</v>
      </c>
      <c r="N51" s="887" t="n">
        <f aca="false">H51-M51</f>
        <v>1.53250422580092</v>
      </c>
      <c r="O51" s="888" t="n">
        <f aca="false">(N51*24*365)*$V$18</f>
        <v>1733.13354902587</v>
      </c>
      <c r="P51" s="889" t="n">
        <f aca="false">((($D51*$E51)*54.5)*(1+(1-0.97))/1000)</f>
        <v>17.682525</v>
      </c>
      <c r="Q51" s="889" t="n">
        <f aca="false">H51-P51</f>
        <v>2.56255422580092</v>
      </c>
      <c r="R51" s="890" t="n">
        <f aca="false">(Q51*24*365)*$V$18</f>
        <v>2898.03357482587</v>
      </c>
      <c r="U51" s="666" t="s">
        <v>1523</v>
      </c>
      <c r="V51" s="905" t="e">
        <f aca="false">SUM(V43:V50)</f>
        <v>#VALUE!</v>
      </c>
      <c r="W51" s="905" t="e">
        <f aca="false">SUM(W43:W50)</f>
        <v>#VALUE!</v>
      </c>
      <c r="X51" s="897" t="e">
        <f aca="false">ROUNDDOWN(SUM(X43:X50),-3)</f>
        <v>#VALUE!</v>
      </c>
      <c r="Y51" s="906" t="e">
        <f aca="false">SUM(Y43:Y50)</f>
        <v>#N/A</v>
      </c>
      <c r="Z51" s="897" t="e">
        <f aca="false">ROUNDDOWN(SUM(Z43:Z50),-3)</f>
        <v>#N/A</v>
      </c>
      <c r="AA51" s="906" t="e">
        <f aca="false">SUM(AA43:AA50)</f>
        <v>#VALUE!</v>
      </c>
      <c r="AB51" s="897" t="e">
        <f aca="false">ROUNDDOWN(SUM(AB43:AB50),-3)</f>
        <v>#VALUE!</v>
      </c>
    </row>
    <row r="52" customFormat="false" ht="10.15" hidden="false" customHeight="false" outlineLevel="0" collapsed="false">
      <c r="A52" s="595" t="str">
        <f aca="false">'Plant loading'!A89</f>
        <v>Swanley</v>
      </c>
      <c r="B52" s="595" t="str">
        <f aca="false">'Plant loading'!B89</f>
        <v>PEASY</v>
      </c>
      <c r="C52" s="595" t="n">
        <f aca="false">'Plant loading'!E89</f>
        <v>539</v>
      </c>
      <c r="D52" s="450" t="n">
        <f aca="false">'Plant loading'!H89</f>
        <v>36</v>
      </c>
      <c r="E52" s="595" t="n">
        <f aca="false">C52/D52</f>
        <v>14.9722222222222</v>
      </c>
      <c r="F52" s="595" t="n">
        <f aca="false">E52*54.5</f>
        <v>815.986111111111</v>
      </c>
      <c r="G52" s="610" t="n">
        <f aca="false">CHOOSE(MATCH(F52,W$3:W$14,1),X$3,X$4,X$5,X$6,X$7,X$8,X$9,X$10,X$11,X$12,X$13,X$14)</f>
        <v>88.5162353305465</v>
      </c>
      <c r="H52" s="0" t="n">
        <f aca="false">((($D52*$E52)*54.5)*(1+(1-(G52/100)))/1000)</f>
        <v>32.7489132904753</v>
      </c>
      <c r="I52" s="884" t="n">
        <f aca="false">((($D52*$E52)*54.5)*(1+(1-0.92))/1000)</f>
        <v>31.72554</v>
      </c>
      <c r="J52" s="884" t="n">
        <f aca="false">H52-I52</f>
        <v>1.02337329047531</v>
      </c>
      <c r="K52" s="885" t="n">
        <f aca="false">(J52*24*365)*$V$18</f>
        <v>1157.34922817117</v>
      </c>
      <c r="L52" s="886" t="n">
        <f aca="false">CHOOSE(MATCH(F52,N$96:N$107,1),O$96,O$97,O$98,O$99,O$100,O$101,O$102,O$103,O$104,O$105,O$106,O$107)</f>
        <v>95</v>
      </c>
      <c r="M52" s="887" t="n">
        <f aca="false">((($D52*$E52)*54.5)*(1+(1-(L52/100)))/1000)</f>
        <v>30.844275</v>
      </c>
      <c r="N52" s="887" t="n">
        <f aca="false">H52-M52</f>
        <v>1.9046382904753</v>
      </c>
      <c r="O52" s="888" t="n">
        <f aca="false">(N52*24*365)*$V$18</f>
        <v>2153.98591691117</v>
      </c>
      <c r="P52" s="889" t="n">
        <f aca="false">((($D52*$E52)*54.5)*(1+(1-0.97))/1000)</f>
        <v>30.256765</v>
      </c>
      <c r="Q52" s="889" t="n">
        <f aca="false">H52-P52</f>
        <v>2.49214829047531</v>
      </c>
      <c r="R52" s="890" t="n">
        <f aca="false">(Q52*24*365)*$V$18</f>
        <v>2818.41037607118</v>
      </c>
    </row>
    <row r="53" customFormat="false" ht="10.15" hidden="false" customHeight="false" outlineLevel="0" collapsed="false">
      <c r="A53" s="595" t="str">
        <f aca="false">'Plant loading'!A90</f>
        <v>Swanley</v>
      </c>
      <c r="B53" s="595" t="str">
        <f aca="false">'Plant loading'!B90</f>
        <v>PEBSY</v>
      </c>
      <c r="C53" s="595" t="n">
        <f aca="false">'Plant loading'!E90</f>
        <v>462</v>
      </c>
      <c r="D53" s="450" t="n">
        <f aca="false">'Plant loading'!H90</f>
        <v>36</v>
      </c>
      <c r="E53" s="595" t="n">
        <f aca="false">C53/D53</f>
        <v>12.8333333333333</v>
      </c>
      <c r="F53" s="595" t="n">
        <f aca="false">E53*54.5</f>
        <v>699.416666666667</v>
      </c>
      <c r="G53" s="610" t="n">
        <f aca="false">CHOOSE(MATCH(F53,W$3:W$14,1),X$3,X$4,X$5,X$6,X$7,X$8,X$9,X$10,X$11,X$12,X$13,X$14)</f>
        <v>88.5162353305465</v>
      </c>
      <c r="H53" s="0" t="n">
        <f aca="false">((($D53*$E53)*54.5)*(1+(1-(G53/100)))/1000)</f>
        <v>28.0704971061217</v>
      </c>
      <c r="I53" s="884" t="n">
        <f aca="false">((($D53*$E53)*54.5)*(1+(1-0.92))/1000)</f>
        <v>27.19332</v>
      </c>
      <c r="J53" s="884" t="n">
        <f aca="false">H53-I53</f>
        <v>0.877177106121689</v>
      </c>
      <c r="K53" s="885" t="n">
        <f aca="false">(J53*24*365)*$V$18</f>
        <v>992.013624146716</v>
      </c>
      <c r="L53" s="886" t="n">
        <f aca="false">CHOOSE(MATCH(F53,N$96:N$107,1),O$96,O$97,O$98,O$99,O$100,O$101,O$102,O$103,O$104,O$105,O$106,O$107)</f>
        <v>95</v>
      </c>
      <c r="M53" s="887" t="n">
        <f aca="false">((($D53*$E53)*54.5)*(1+(1-(L53/100)))/1000)</f>
        <v>26.43795</v>
      </c>
      <c r="N53" s="887" t="n">
        <f aca="false">H53-M53</f>
        <v>1.63254710612169</v>
      </c>
      <c r="O53" s="888" t="n">
        <f aca="false">(N53*24*365)*$V$18</f>
        <v>1846.27364306672</v>
      </c>
      <c r="P53" s="889" t="n">
        <f aca="false">((($D53*$E53)*54.5)*(1+(1-0.97))/1000)</f>
        <v>25.93437</v>
      </c>
      <c r="Q53" s="889" t="n">
        <f aca="false">H53-P53</f>
        <v>2.13612710612169</v>
      </c>
      <c r="R53" s="890" t="n">
        <f aca="false">(Q53*24*365)*$V$18</f>
        <v>2415.78032234672</v>
      </c>
    </row>
    <row r="54" customFormat="false" ht="10.15" hidden="false" customHeight="false" outlineLevel="0" collapsed="false">
      <c r="A54" s="595" t="str">
        <f aca="false">'Plant loading'!A91</f>
        <v>Swanley</v>
      </c>
      <c r="B54" s="595" t="str">
        <f aca="false">'Plant loading'!B91</f>
        <v>PECSY</v>
      </c>
      <c r="C54" s="595" t="n">
        <f aca="false">'Plant loading'!E91</f>
        <v>397</v>
      </c>
      <c r="D54" s="450" t="n">
        <f aca="false">'Plant loading'!H91</f>
        <v>36</v>
      </c>
      <c r="E54" s="595" t="n">
        <f aca="false">C54/D54</f>
        <v>11.0277777777778</v>
      </c>
      <c r="F54" s="595" t="n">
        <f aca="false">E54*54.5</f>
        <v>601.013888888889</v>
      </c>
      <c r="G54" s="610" t="n">
        <f aca="false">CHOOSE(MATCH(F54,W$3:W$14,1),X$3,X$4,X$5,X$6,X$7,X$8,X$9,X$10,X$11,X$12,X$13,X$14)</f>
        <v>88.5162353305465</v>
      </c>
      <c r="H54" s="0" t="n">
        <f aca="false">((($D54*$E54)*54.5)*(1+(1-(G54/100)))/1000)</f>
        <v>24.1211847427063</v>
      </c>
      <c r="I54" s="884" t="n">
        <f aca="false">((($D54*$E54)*54.5)*(1+(1-0.92))/1000)</f>
        <v>23.36742</v>
      </c>
      <c r="J54" s="884" t="n">
        <f aca="false">H54-I54</f>
        <v>0.753764742706302</v>
      </c>
      <c r="K54" s="885" t="n">
        <f aca="false">(J54*24*365)*$V$18</f>
        <v>852.44460776244</v>
      </c>
      <c r="L54" s="886" t="n">
        <f aca="false">CHOOSE(MATCH(F54,N$96:N$107,1),O$96,O$97,O$98,O$99,O$100,O$101,O$102,O$103,O$104,O$105,O$106,O$107)</f>
        <v>93</v>
      </c>
      <c r="M54" s="887" t="n">
        <f aca="false">((($D54*$E54)*54.5)*(1+(1-(L54/100)))/1000)</f>
        <v>23.151055</v>
      </c>
      <c r="N54" s="887" t="n">
        <f aca="false">H54-M54</f>
        <v>0.970129742706309</v>
      </c>
      <c r="O54" s="888" t="n">
        <f aca="false">(N54*24*365)*$V$18</f>
        <v>1097.13524810245</v>
      </c>
      <c r="P54" s="889" t="n">
        <f aca="false">((($D54*$E54)*54.5)*(1+(1-0.97))/1000)</f>
        <v>22.285595</v>
      </c>
      <c r="Q54" s="889" t="n">
        <f aca="false">H54-P54</f>
        <v>1.8355897427063</v>
      </c>
      <c r="R54" s="890" t="n">
        <f aca="false">(Q54*24*365)*$V$18</f>
        <v>2075.89780946244</v>
      </c>
    </row>
    <row r="55" customFormat="false" ht="10.15" hidden="false" customHeight="false" outlineLevel="0" collapsed="false">
      <c r="A55" s="595" t="str">
        <f aca="false">'Plant loading'!A92</f>
        <v>Swanley</v>
      </c>
      <c r="B55" s="595" t="str">
        <f aca="false">'Plant loading'!B92</f>
        <v>PEDSY</v>
      </c>
      <c r="C55" s="595" t="n">
        <f aca="false">'Plant loading'!E92</f>
        <v>282</v>
      </c>
      <c r="D55" s="450" t="n">
        <f aca="false">'Plant loading'!H92</f>
        <v>36</v>
      </c>
      <c r="E55" s="595" t="n">
        <f aca="false">C55/D55</f>
        <v>7.83333333333333</v>
      </c>
      <c r="F55" s="595" t="n">
        <f aca="false">E55*54.5</f>
        <v>426.916666666667</v>
      </c>
      <c r="G55" s="610" t="n">
        <f aca="false">CHOOSE(MATCH(F55,W$3:W$14,1),X$3,X$4,X$5,X$6,X$7,X$8,X$9,X$10,X$11,X$12,X$13,X$14)</f>
        <v>82.0732242562929</v>
      </c>
      <c r="H55" s="0" t="n">
        <f aca="false">((($D55*$E55)*54.5)*(1+(1-(G55/100)))/1000)</f>
        <v>18.1241661640503</v>
      </c>
      <c r="I55" s="884" t="n">
        <f aca="false">((($D55*$E55)*54.5)*(1+(1-0.92))/1000)</f>
        <v>16.59852</v>
      </c>
      <c r="J55" s="884" t="n">
        <f aca="false">H55-I55</f>
        <v>1.52564616405034</v>
      </c>
      <c r="K55" s="885" t="n">
        <f aca="false">(J55*24*365)*$V$18</f>
        <v>1725.37765726316</v>
      </c>
      <c r="L55" s="886" t="n">
        <f aca="false">CHOOSE(MATCH(F55,N$96:N$107,1),O$96,O$97,O$98,O$99,O$100,O$101,O$102,O$103,O$104,O$105,O$106,O$107)</f>
        <v>91</v>
      </c>
      <c r="M55" s="887" t="n">
        <f aca="false">((($D55*$E55)*54.5)*(1+(1-(L55/100)))/1000)</f>
        <v>16.75221</v>
      </c>
      <c r="N55" s="887" t="n">
        <f aca="false">H55-M55</f>
        <v>1.37195616405035</v>
      </c>
      <c r="O55" s="888" t="n">
        <f aca="false">(N55*24*365)*$V$18</f>
        <v>1551.56717722316</v>
      </c>
      <c r="P55" s="889" t="n">
        <f aca="false">((($D55*$E55)*54.5)*(1+(1-0.97))/1000)</f>
        <v>15.83007</v>
      </c>
      <c r="Q55" s="889" t="n">
        <f aca="false">H55-P55</f>
        <v>2.29409616405034</v>
      </c>
      <c r="R55" s="890" t="n">
        <f aca="false">(Q55*24*365)*$V$18</f>
        <v>2594.43005746316</v>
      </c>
      <c r="U55" s="442" t="s">
        <v>1524</v>
      </c>
    </row>
    <row r="56" customFormat="false" ht="10.15" hidden="false" customHeight="false" outlineLevel="0" collapsed="false">
      <c r="A56" s="595" t="str">
        <f aca="false">'Plant loading'!A93</f>
        <v>Swanley</v>
      </c>
      <c r="B56" s="595" t="str">
        <f aca="false">'Plant loading'!B93</f>
        <v>PEESY</v>
      </c>
      <c r="C56" s="595" t="n">
        <f aca="false">'Plant loading'!E93</f>
        <v>317</v>
      </c>
      <c r="D56" s="450" t="n">
        <f aca="false">'Plant loading'!H93</f>
        <v>30</v>
      </c>
      <c r="E56" s="595" t="n">
        <f aca="false">C56/D56</f>
        <v>10.5666666666667</v>
      </c>
      <c r="F56" s="595" t="n">
        <f aca="false">E56*54.5</f>
        <v>575.883333333333</v>
      </c>
      <c r="G56" s="610" t="n">
        <f aca="false">CHOOSE(MATCH(F56,W$3:W$14,1),X$3,X$4,X$5,X$6,X$7,X$8,X$9,X$10,X$11,X$12,X$13,X$14)</f>
        <v>88.5162353305465</v>
      </c>
      <c r="H56" s="0" t="n">
        <f aca="false">((($D56*$E56)*54.5)*(1+(1-(G56/100)))/1000)</f>
        <v>19.2604926031181</v>
      </c>
      <c r="I56" s="884" t="n">
        <f aca="false">((($D56*$E56)*54.5)*(1+(1-0.92))/1000)</f>
        <v>18.65862</v>
      </c>
      <c r="J56" s="884" t="n">
        <f aca="false">H56-I56</f>
        <v>0.601872603118128</v>
      </c>
      <c r="K56" s="885" t="n">
        <f aca="false">(J56*24*365)*$V$18</f>
        <v>680.667356827941</v>
      </c>
      <c r="L56" s="886" t="n">
        <f aca="false">CHOOSE(MATCH(F56,N$96:N$107,1),O$96,O$97,O$98,O$99,O$100,O$101,O$102,O$103,O$104,O$105,O$106,O$107)</f>
        <v>93</v>
      </c>
      <c r="M56" s="887" t="n">
        <f aca="false">((($D56*$E56)*54.5)*(1+(1-(L56/100)))/1000)</f>
        <v>18.485855</v>
      </c>
      <c r="N56" s="887" t="n">
        <f aca="false">H56-M56</f>
        <v>0.774637603118133</v>
      </c>
      <c r="O56" s="888" t="n">
        <f aca="false">(N56*24*365)*$V$18</f>
        <v>876.050059567947</v>
      </c>
      <c r="P56" s="889" t="n">
        <f aca="false">((($D56*$E56)*54.5)*(1+(1-0.97))/1000)</f>
        <v>17.794795</v>
      </c>
      <c r="Q56" s="889" t="n">
        <f aca="false">H56-P56</f>
        <v>1.46569760311813</v>
      </c>
      <c r="R56" s="890" t="n">
        <f aca="false">(Q56*24*365)*$V$18</f>
        <v>1657.58087052794</v>
      </c>
    </row>
    <row r="57" customFormat="false" ht="40.9" hidden="false" customHeight="false" outlineLevel="0" collapsed="false">
      <c r="A57" s="595" t="str">
        <f aca="false">'Plant loading'!A94</f>
        <v>Bristol</v>
      </c>
      <c r="B57" s="595" t="str">
        <f aca="false">'Plant loading'!B94</f>
        <v>PEFBL</v>
      </c>
      <c r="C57" s="595" t="n">
        <f aca="false">'Plant loading'!E94</f>
        <v>436</v>
      </c>
      <c r="D57" s="450" t="n">
        <f aca="false">'Plant loading'!H94</f>
        <v>36</v>
      </c>
      <c r="E57" s="595" t="n">
        <f aca="false">C57/D57</f>
        <v>12.1111111111111</v>
      </c>
      <c r="F57" s="595" t="n">
        <f aca="false">E57*54.5</f>
        <v>660.055555555556</v>
      </c>
      <c r="G57" s="610" t="n">
        <f aca="false">CHOOSE(MATCH(F57,W$3:W$14,1),X$3,X$4,X$5,X$6,X$7,X$8,X$9,X$10,X$11,X$12,X$13,X$14)</f>
        <v>88.5162353305465</v>
      </c>
      <c r="H57" s="0" t="n">
        <f aca="false">((($D57*$E57)*54.5)*(1+(1-(G57/100)))/1000)</f>
        <v>26.4907721607555</v>
      </c>
      <c r="I57" s="884" t="n">
        <f aca="false">((($D57*$E57)*54.5)*(1+(1-0.92))/1000)</f>
        <v>25.66296</v>
      </c>
      <c r="J57" s="884" t="n">
        <f aca="false">H57-I57</f>
        <v>0.827812160755538</v>
      </c>
      <c r="K57" s="885" t="n">
        <f aca="false">(J57*24*365)*$V$18</f>
        <v>936.186017593011</v>
      </c>
      <c r="L57" s="691"/>
      <c r="M57" s="691"/>
      <c r="N57" s="691"/>
      <c r="O57" s="691"/>
      <c r="P57" s="889" t="n">
        <f aca="false">((($D57*$E57)*54.5)*(1+(1-0.97))/1000)</f>
        <v>24.47486</v>
      </c>
      <c r="Q57" s="889" t="n">
        <f aca="false">H57-P57</f>
        <v>2.01591216075554</v>
      </c>
      <c r="R57" s="890" t="n">
        <f aca="false">(Q57*24*365)*$V$18</f>
        <v>2279.82731719301</v>
      </c>
      <c r="U57" s="825" t="s">
        <v>524</v>
      </c>
      <c r="V57" s="898" t="s">
        <v>595</v>
      </c>
      <c r="W57" s="899" t="s">
        <v>1502</v>
      </c>
      <c r="X57" s="900" t="s">
        <v>1506</v>
      </c>
      <c r="Y57" s="901" t="s">
        <v>1509</v>
      </c>
      <c r="Z57" s="907" t="s">
        <v>1525</v>
      </c>
    </row>
    <row r="58" customFormat="false" ht="10.15" hidden="false" customHeight="false" outlineLevel="0" collapsed="false">
      <c r="A58" s="595" t="str">
        <f aca="false">'Plant loading'!A95</f>
        <v>Bristol</v>
      </c>
      <c r="B58" s="595" t="str">
        <f aca="false">'Plant loading'!B95</f>
        <v>PEHBL</v>
      </c>
      <c r="C58" s="595" t="n">
        <f aca="false">'Plant loading'!E95</f>
        <v>321</v>
      </c>
      <c r="D58" s="450" t="n">
        <f aca="false">'Plant loading'!H95</f>
        <v>36</v>
      </c>
      <c r="E58" s="595" t="n">
        <f aca="false">C58/D58</f>
        <v>8.91666666666667</v>
      </c>
      <c r="F58" s="595" t="n">
        <f aca="false">E58*54.5</f>
        <v>485.958333333333</v>
      </c>
      <c r="G58" s="610" t="n">
        <f aca="false">CHOOSE(MATCH(F58,W$3:W$14,1),X$3,X$4,X$5,X$6,X$7,X$8,X$9,X$10,X$11,X$12,X$13,X$14)</f>
        <v>82.0732242562929</v>
      </c>
      <c r="H58" s="0" t="n">
        <f aca="false">((($D58*$E58)*54.5)*(1+(1-(G58/100)))/1000)</f>
        <v>20.6306997824828</v>
      </c>
      <c r="I58" s="884" t="n">
        <f aca="false">((($D58*$E58)*54.5)*(1+(1-0.92))/1000)</f>
        <v>18.89406</v>
      </c>
      <c r="J58" s="884" t="n">
        <f aca="false">H58-I58</f>
        <v>1.73663978248284</v>
      </c>
      <c r="K58" s="885" t="n">
        <f aca="false">(J58*24*365)*$V$18</f>
        <v>1963.99371624636</v>
      </c>
      <c r="L58" s="691"/>
      <c r="M58" s="691"/>
      <c r="N58" s="691"/>
      <c r="O58" s="691"/>
      <c r="P58" s="889" t="n">
        <f aca="false">((($D58*$E58)*54.5)*(1+(1-0.97))/1000)</f>
        <v>18.019335</v>
      </c>
      <c r="Q58" s="889" t="n">
        <f aca="false">H58-P58</f>
        <v>2.61136478248284</v>
      </c>
      <c r="R58" s="890" t="n">
        <f aca="false">(Q58*24*365)*$V$18</f>
        <v>2953.23421434637</v>
      </c>
      <c r="U58" s="418" t="s">
        <v>154</v>
      </c>
      <c r="V58" s="902" t="n">
        <f aca="false">SUM(D37:D42)</f>
        <v>254</v>
      </c>
      <c r="W58" s="904" t="n">
        <f aca="false">SUM(K37:K42)</f>
        <v>4701.23786452787</v>
      </c>
      <c r="X58" s="904" t="n">
        <f aca="false">SUM(O37:O42)</f>
        <v>12405.2949399179</v>
      </c>
      <c r="Y58" s="904" t="n">
        <f aca="false">SUM(R37:R42)</f>
        <v>17133.0016319279</v>
      </c>
      <c r="Z58" s="904" t="n">
        <f aca="false">Y58-X58</f>
        <v>4727.70669200997</v>
      </c>
    </row>
    <row r="59" customFormat="false" ht="10.15" hidden="false" customHeight="false" outlineLevel="0" collapsed="false">
      <c r="A59" s="595" t="str">
        <f aca="false">'Plant loading'!A96</f>
        <v>Cardiff</v>
      </c>
      <c r="B59" s="595" t="str">
        <f aca="false">'Plant loading'!B96</f>
        <v>PECCF</v>
      </c>
      <c r="C59" s="595" t="n">
        <f aca="false">'Plant loading'!E96</f>
        <v>353</v>
      </c>
      <c r="D59" s="450" t="n">
        <f aca="false">'Plant loading'!H96</f>
        <v>36</v>
      </c>
      <c r="E59" s="595" t="n">
        <f aca="false">C59/D59</f>
        <v>9.80555555555556</v>
      </c>
      <c r="F59" s="595" t="n">
        <f aca="false">E59*54.5</f>
        <v>534.402777777778</v>
      </c>
      <c r="G59" s="610" t="n">
        <f aca="false">CHOOSE(MATCH(F59,W$3:W$14,1),X$3,X$4,X$5,X$6,X$7,X$8,X$9,X$10,X$11,X$12,X$13,X$14)</f>
        <v>82.0732242562929</v>
      </c>
      <c r="H59" s="0" t="n">
        <f aca="false">((($D59*$E59)*54.5)*(1+(1-(G59/100)))/1000)</f>
        <v>22.6873427514531</v>
      </c>
      <c r="I59" s="884" t="n">
        <f aca="false">((($D59*$E59)*54.5)*(1+(1-0.92))/1000)</f>
        <v>20.77758</v>
      </c>
      <c r="J59" s="884" t="n">
        <f aca="false">H59-I59</f>
        <v>1.90976275145309</v>
      </c>
      <c r="K59" s="885" t="n">
        <f aca="false">(J59*24*365)*$V$18</f>
        <v>2159.78125182232</v>
      </c>
      <c r="L59" s="691"/>
      <c r="M59" s="691"/>
      <c r="N59" s="691"/>
      <c r="O59" s="691"/>
      <c r="P59" s="889" t="n">
        <f aca="false">((($D59*$E59)*54.5)*(1+(1-0.97))/1000)</f>
        <v>19.815655</v>
      </c>
      <c r="Q59" s="889" t="n">
        <f aca="false">H59-P59</f>
        <v>2.87168775145309</v>
      </c>
      <c r="R59" s="890" t="n">
        <f aca="false">(Q59*24*365)*$V$18</f>
        <v>3247.63762512233</v>
      </c>
      <c r="U59" s="418" t="s">
        <v>164</v>
      </c>
      <c r="V59" s="902" t="n">
        <f aca="false">SUM(D43:D47)</f>
        <v>180</v>
      </c>
      <c r="W59" s="904" t="n">
        <f aca="false">SUM(K43:K47)</f>
        <v>7294.90402167363</v>
      </c>
      <c r="X59" s="904" t="e">
        <f aca="false">SUM(O43:O47)</f>
        <v>#N/A</v>
      </c>
      <c r="Y59" s="904" t="n">
        <f aca="false">SUM(R43:R47)</f>
        <v>12971.4803378736</v>
      </c>
      <c r="Z59" s="904" t="e">
        <f aca="false">Y59-X59</f>
        <v>#N/A</v>
      </c>
    </row>
    <row r="60" customFormat="false" ht="10.15" hidden="false" customHeight="false" outlineLevel="0" collapsed="false">
      <c r="A60" s="595" t="str">
        <f aca="false">'Plant loading'!A97</f>
        <v>Cardiff</v>
      </c>
      <c r="B60" s="595" t="str">
        <f aca="false">'Plant loading'!B97</f>
        <v>PEDCF</v>
      </c>
      <c r="C60" s="595" t="n">
        <f aca="false">'Plant loading'!E97</f>
        <v>168</v>
      </c>
      <c r="D60" s="450" t="n">
        <f aca="false">'Plant loading'!H97</f>
        <v>18</v>
      </c>
      <c r="E60" s="595" t="n">
        <f aca="false">C60/D60</f>
        <v>9.33333333333333</v>
      </c>
      <c r="F60" s="595" t="n">
        <f aca="false">E60*54.5</f>
        <v>508.666666666667</v>
      </c>
      <c r="G60" s="610" t="n">
        <f aca="false">CHOOSE(MATCH(F60,W$3:W$14,1),X$3,X$4,X$5,X$6,X$7,X$8,X$9,X$10,X$11,X$12,X$13,X$14)</f>
        <v>82.0732242562929</v>
      </c>
      <c r="H60" s="0" t="n">
        <f aca="false">((($D60*$E60)*54.5)*(1+(1-(G60/100)))/1000)</f>
        <v>10.7973755870938</v>
      </c>
      <c r="I60" s="884" t="n">
        <f aca="false">((($D60*$E60)*54.5)*(1+(1-0.92))/1000)</f>
        <v>9.88848</v>
      </c>
      <c r="J60" s="884" t="n">
        <f aca="false">H60-I60</f>
        <v>0.908895587093822</v>
      </c>
      <c r="K60" s="885" t="n">
        <f aca="false">(J60*24*365)*$V$18</f>
        <v>1027.8845617738</v>
      </c>
      <c r="L60" s="691"/>
      <c r="M60" s="691"/>
      <c r="N60" s="691"/>
      <c r="O60" s="691"/>
      <c r="P60" s="889" t="n">
        <f aca="false">((($D60*$E60)*54.5)*(1+(1-0.97))/1000)</f>
        <v>9.43068</v>
      </c>
      <c r="Q60" s="889" t="n">
        <f aca="false">H60-P60</f>
        <v>1.36669558709382</v>
      </c>
      <c r="R60" s="890" t="n">
        <f aca="false">(Q60*24*365)*$V$18</f>
        <v>1545.6179065738</v>
      </c>
      <c r="V60" s="666" t="s">
        <v>1523</v>
      </c>
      <c r="W60" s="897" t="n">
        <f aca="false">SUM(W58:W59)</f>
        <v>11996.1418862015</v>
      </c>
      <c r="X60" s="897" t="e">
        <f aca="false">SUM(X58:X59)</f>
        <v>#N/A</v>
      </c>
      <c r="Y60" s="897" t="n">
        <f aca="false">SUM(Y58:Y59)</f>
        <v>30104.4819698015</v>
      </c>
      <c r="Z60" s="897" t="e">
        <f aca="false">SUM(Z58:Z59)</f>
        <v>#N/A</v>
      </c>
    </row>
    <row r="61" customFormat="false" ht="10.15" hidden="false" customHeight="false" outlineLevel="0" collapsed="false">
      <c r="A61" s="595" t="str">
        <f aca="false">'Plant loading'!A98</f>
        <v>Cardiff</v>
      </c>
      <c r="B61" s="595" t="str">
        <f aca="false">'Plant loading'!B98</f>
        <v>PEECF</v>
      </c>
      <c r="C61" s="595" t="n">
        <f aca="false">'Plant loading'!E98</f>
        <v>204</v>
      </c>
      <c r="D61" s="450" t="n">
        <f aca="false">'Plant loading'!H98</f>
        <v>18</v>
      </c>
      <c r="E61" s="595" t="n">
        <f aca="false">C61/D61</f>
        <v>11.3333333333333</v>
      </c>
      <c r="F61" s="595" t="n">
        <f aca="false">E61*54.5</f>
        <v>617.666666666667</v>
      </c>
      <c r="G61" s="610" t="n">
        <f aca="false">CHOOSE(MATCH(F61,W$3:W$14,1),X$3,X$4,X$5,X$6,X$7,X$8,X$9,X$10,X$11,X$12,X$13,X$14)</f>
        <v>88.5162353305465</v>
      </c>
      <c r="H61" s="0" t="n">
        <f aca="false">((($D61*$E61)*54.5)*(1+(1-(G61/100)))/1000)</f>
        <v>12.3947649559498</v>
      </c>
      <c r="I61" s="884" t="n">
        <f aca="false">((($D61*$E61)*54.5)*(1+(1-0.92))/1000)</f>
        <v>12.00744</v>
      </c>
      <c r="J61" s="884" t="n">
        <f aca="false">H61-I61</f>
        <v>0.387324955949838</v>
      </c>
      <c r="K61" s="885" t="n">
        <f aca="false">(J61*24*365)*$V$18</f>
        <v>438.031989882967</v>
      </c>
      <c r="L61" s="691"/>
      <c r="M61" s="691"/>
      <c r="N61" s="691"/>
      <c r="O61" s="691"/>
      <c r="P61" s="889" t="n">
        <f aca="false">((($D61*$E61)*54.5)*(1+(1-0.97))/1000)</f>
        <v>11.45154</v>
      </c>
      <c r="Q61" s="889" t="n">
        <f aca="false">H61-P61</f>
        <v>0.943224955949837</v>
      </c>
      <c r="R61" s="890" t="n">
        <f aca="false">(Q61*24*365)*$V$18</f>
        <v>1066.70819428297</v>
      </c>
    </row>
    <row r="62" customFormat="false" ht="10.15" hidden="false" customHeight="false" outlineLevel="0" collapsed="false">
      <c r="A62" s="595" t="str">
        <f aca="false">'Plant loading'!A99</f>
        <v>Carlisle</v>
      </c>
      <c r="B62" s="595" t="str">
        <f aca="false">'Plant loading'!B99</f>
        <v>PEACE</v>
      </c>
      <c r="C62" s="595" t="n">
        <f aca="false">'Plant loading'!E99</f>
        <v>377</v>
      </c>
      <c r="D62" s="450" t="n">
        <f aca="false">'Plant loading'!H99</f>
        <v>36</v>
      </c>
      <c r="E62" s="595" t="n">
        <f aca="false">C62/D62</f>
        <v>10.4722222222222</v>
      </c>
      <c r="F62" s="595" t="n">
        <f aca="false">E62*54.5</f>
        <v>570.736111111111</v>
      </c>
      <c r="G62" s="610" t="n">
        <f aca="false">CHOOSE(MATCH(F62,W$3:W$14,1),X$3,X$4,X$5,X$6,X$7,X$8,X$9,X$10,X$11,X$12,X$13,X$14)</f>
        <v>82.0732242562929</v>
      </c>
      <c r="H62" s="0" t="n">
        <f aca="false">((($D62*$E62)*54.5)*(1+(1-(G62/100)))/1000)</f>
        <v>24.2298249781808</v>
      </c>
      <c r="I62" s="884" t="n">
        <f aca="false">((($D62*$E62)*54.5)*(1+(1-0.92))/1000)</f>
        <v>22.19022</v>
      </c>
      <c r="J62" s="884" t="n">
        <f aca="false">H62-I62</f>
        <v>2.03960497818078</v>
      </c>
      <c r="K62" s="885" t="n">
        <f aca="false">(J62*24*365)*$V$18</f>
        <v>2306.6219035043</v>
      </c>
      <c r="L62" s="691"/>
      <c r="M62" s="691"/>
      <c r="N62" s="691"/>
      <c r="O62" s="691"/>
      <c r="P62" s="889" t="n">
        <f aca="false">((($D62*$E62)*54.5)*(1+(1-0.97))/1000)</f>
        <v>21.162895</v>
      </c>
      <c r="Q62" s="889" t="n">
        <f aca="false">H62-P62</f>
        <v>3.06692997818078</v>
      </c>
      <c r="R62" s="890" t="n">
        <f aca="false">(Q62*24*365)*$V$18</f>
        <v>3468.4401832043</v>
      </c>
    </row>
    <row r="63" customFormat="false" ht="10.15" hidden="false" customHeight="false" outlineLevel="0" collapsed="false">
      <c r="A63" s="595" t="str">
        <f aca="false">'Plant loading'!A100</f>
        <v>Carlisle</v>
      </c>
      <c r="B63" s="595" t="str">
        <f aca="false">'Plant loading'!B100</f>
        <v>PEBCE</v>
      </c>
      <c r="C63" s="595" t="n">
        <f aca="false">'Plant loading'!E100</f>
        <v>432</v>
      </c>
      <c r="D63" s="450" t="n">
        <f aca="false">'Plant loading'!H100</f>
        <v>36</v>
      </c>
      <c r="E63" s="595" t="n">
        <f aca="false">C63/D63</f>
        <v>12</v>
      </c>
      <c r="F63" s="595" t="n">
        <f aca="false">E63*54.5</f>
        <v>654</v>
      </c>
      <c r="G63" s="610" t="n">
        <f aca="false">CHOOSE(MATCH(F63,W$3:W$14,1),X$3,X$4,X$5,X$6,X$7,X$8,X$9,X$10,X$11,X$12,X$13,X$14)</f>
        <v>88.5162353305465</v>
      </c>
      <c r="H63" s="0" t="n">
        <f aca="false">((($D63*$E63)*54.5)*(1+(1-(G63/100)))/1000)</f>
        <v>26.2477375537761</v>
      </c>
      <c r="I63" s="884" t="n">
        <f aca="false">((($D63*$E63)*54.5)*(1+(1-0.92))/1000)</f>
        <v>25.42752</v>
      </c>
      <c r="J63" s="884" t="n">
        <f aca="false">H63-I63</f>
        <v>0.820217553776129</v>
      </c>
      <c r="K63" s="885" t="n">
        <f aca="false">(J63*24*365)*$V$18</f>
        <v>927.597155046284</v>
      </c>
      <c r="L63" s="691"/>
      <c r="M63" s="691"/>
      <c r="N63" s="691"/>
      <c r="O63" s="691"/>
      <c r="P63" s="889" t="n">
        <f aca="false">((($D63*$E63)*54.5)*(1+(1-0.97))/1000)</f>
        <v>24.25032</v>
      </c>
      <c r="Q63" s="889" t="n">
        <f aca="false">H63-P63</f>
        <v>1.99741755377613</v>
      </c>
      <c r="R63" s="890" t="n">
        <f aca="false">(Q63*24*365)*$V$18</f>
        <v>2258.91147024629</v>
      </c>
    </row>
    <row r="64" customFormat="false" ht="10.15" hidden="false" customHeight="false" outlineLevel="0" collapsed="false">
      <c r="A64" s="595" t="str">
        <f aca="false">'Plant loading'!A101</f>
        <v>Croydon</v>
      </c>
      <c r="B64" s="595" t="str">
        <f aca="false">'Plant loading'!B101</f>
        <v>PEFCN</v>
      </c>
      <c r="C64" s="595" t="n">
        <f aca="false">'Plant loading'!E101</f>
        <v>261</v>
      </c>
      <c r="D64" s="450" t="n">
        <f aca="false">'Plant loading'!H101</f>
        <v>36</v>
      </c>
      <c r="E64" s="595" t="n">
        <f aca="false">C64/D64</f>
        <v>7.25</v>
      </c>
      <c r="F64" s="595" t="n">
        <f aca="false">E64*54.5</f>
        <v>395.125</v>
      </c>
      <c r="G64" s="610" t="n">
        <f aca="false">CHOOSE(MATCH(F64,W$3:W$14,1),X$3,X$4,X$5,X$6,X$7,X$8,X$9,X$10,X$11,X$12,X$13,X$14)</f>
        <v>82.0732242562929</v>
      </c>
      <c r="H64" s="0" t="n">
        <f aca="false">((($D64*$E64)*54.5)*(1+(1-(G64/100)))/1000)</f>
        <v>16.7744942156636</v>
      </c>
      <c r="I64" s="884" t="n">
        <f aca="false">((($D64*$E64)*54.5)*(1+(1-0.92))/1000)</f>
        <v>15.36246</v>
      </c>
      <c r="J64" s="884" t="n">
        <f aca="false">H64-I64</f>
        <v>1.41203421566362</v>
      </c>
      <c r="K64" s="885" t="n">
        <f aca="false">(J64*24*365)*$V$18</f>
        <v>1596.89208704143</v>
      </c>
      <c r="L64" s="691"/>
      <c r="M64" s="691"/>
      <c r="N64" s="691"/>
      <c r="O64" s="691"/>
      <c r="P64" s="889" t="n">
        <f aca="false">((($D64*$E64)*54.5)*(1+(1-0.97))/1000)</f>
        <v>14.651235</v>
      </c>
      <c r="Q64" s="889" t="n">
        <f aca="false">H64-P64</f>
        <v>2.12325921566362</v>
      </c>
      <c r="R64" s="890" t="n">
        <f aca="false">(Q64*24*365)*$V$18</f>
        <v>2401.22781914143</v>
      </c>
    </row>
    <row r="65" customFormat="false" ht="10.15" hidden="false" customHeight="false" outlineLevel="0" collapsed="false">
      <c r="A65" s="595" t="str">
        <f aca="false">'Plant loading'!A102</f>
        <v>Croydon</v>
      </c>
      <c r="B65" s="595" t="str">
        <f aca="false">'Plant loading'!B102</f>
        <v>PEGCN</v>
      </c>
      <c r="C65" s="595" t="n">
        <f aca="false">'Plant loading'!E102</f>
        <v>347</v>
      </c>
      <c r="D65" s="450" t="n">
        <f aca="false">'Plant loading'!H102</f>
        <v>36</v>
      </c>
      <c r="E65" s="595" t="n">
        <f aca="false">C65/D65</f>
        <v>9.63888888888889</v>
      </c>
      <c r="F65" s="595" t="n">
        <f aca="false">E65*54.5</f>
        <v>525.319444444444</v>
      </c>
      <c r="G65" s="610" t="n">
        <f aca="false">CHOOSE(MATCH(F65,W$3:W$14,1),X$3,X$4,X$5,X$6,X$7,X$8,X$9,X$10,X$11,X$12,X$13,X$14)</f>
        <v>82.0732242562929</v>
      </c>
      <c r="H65" s="0" t="n">
        <f aca="false">((($D65*$E65)*54.5)*(1+(1-(G65/100)))/1000)</f>
        <v>22.3017221947712</v>
      </c>
      <c r="I65" s="884" t="n">
        <f aca="false">((($D65*$E65)*54.5)*(1+(1-0.92))/1000)</f>
        <v>20.42442</v>
      </c>
      <c r="J65" s="884" t="n">
        <f aca="false">H65-I65</f>
        <v>1.87730219477117</v>
      </c>
      <c r="K65" s="885" t="n">
        <f aca="false">(J65*24*365)*$V$18</f>
        <v>2123.07108890183</v>
      </c>
      <c r="L65" s="691"/>
      <c r="M65" s="691"/>
      <c r="N65" s="691"/>
      <c r="O65" s="691"/>
      <c r="P65" s="889" t="n">
        <f aca="false">((($D65*$E65)*54.5)*(1+(1-0.97))/1000)</f>
        <v>19.478845</v>
      </c>
      <c r="Q65" s="889" t="n">
        <f aca="false">H65-P65</f>
        <v>2.82287719477117</v>
      </c>
      <c r="R65" s="890" t="n">
        <f aca="false">(Q65*24*365)*$V$18</f>
        <v>3192.43698560183</v>
      </c>
    </row>
    <row r="66" customFormat="false" ht="10.15" hidden="false" customHeight="false" outlineLevel="0" collapsed="false">
      <c r="A66" s="595" t="str">
        <f aca="false">'Plant loading'!A103</f>
        <v>Glasgow TXO</v>
      </c>
      <c r="B66" s="595" t="str">
        <f aca="false">'Plant loading'!B103</f>
        <v>PEJGW</v>
      </c>
      <c r="C66" s="595" t="n">
        <f aca="false">'Plant loading'!E103</f>
        <v>92</v>
      </c>
      <c r="D66" s="450" t="n">
        <f aca="false">'Plant loading'!H103</f>
        <v>9</v>
      </c>
      <c r="E66" s="595" t="n">
        <f aca="false">C66/D66</f>
        <v>10.2222222222222</v>
      </c>
      <c r="F66" s="595" t="n">
        <f aca="false">E66*54.5</f>
        <v>557.111111111111</v>
      </c>
      <c r="G66" s="610" t="n">
        <f aca="false">CHOOSE(MATCH(F66,N$96:N$107,1),O$96,O$97,O$98,O$99,O$100,O$101,O$102,O$103,O$104,O$105,O$106,O$107)</f>
        <v>93</v>
      </c>
      <c r="H66" s="0" t="n">
        <f aca="false">((($D66*$E66)*54.5)*(1+(1-(G66/100)))/1000)</f>
        <v>5.36498</v>
      </c>
      <c r="I66" s="884" t="n">
        <f aca="false">((($D66*$E66)*54.5)*(1+(1-0.92))/1000)</f>
        <v>5.41512</v>
      </c>
      <c r="J66" s="884" t="n">
        <f aca="false">H66-I66</f>
        <v>-0.0501400000000016</v>
      </c>
      <c r="K66" s="885" t="n">
        <f aca="false">(J66*24*365)*$V$18</f>
        <v>-56.7041282400019</v>
      </c>
      <c r="L66" s="691"/>
      <c r="M66" s="691"/>
      <c r="N66" s="691"/>
      <c r="O66" s="691"/>
      <c r="P66" s="889" t="n">
        <f aca="false">((($D66*$E66)*54.5)*(1+(1-0.97))/1000)</f>
        <v>5.16442</v>
      </c>
      <c r="Q66" s="889" t="n">
        <f aca="false">H66-P66</f>
        <v>0.200559999999999</v>
      </c>
      <c r="R66" s="890" t="n">
        <f aca="false">(Q66*24*365)*$V$18</f>
        <v>226.816512959999</v>
      </c>
    </row>
    <row r="67" customFormat="false" ht="10.15" hidden="false" customHeight="false" outlineLevel="0" collapsed="false">
      <c r="A67" s="595" t="str">
        <f aca="false">'Plant loading'!A104</f>
        <v>Glasgow TXO</v>
      </c>
      <c r="B67" s="595" t="str">
        <f aca="false">'Plant loading'!B104</f>
        <v>PEKGW</v>
      </c>
      <c r="C67" s="595" t="n">
        <f aca="false">'Plant loading'!E104</f>
        <v>87</v>
      </c>
      <c r="D67" s="450" t="n">
        <f aca="false">'Plant loading'!H104</f>
        <v>9</v>
      </c>
      <c r="E67" s="595" t="n">
        <f aca="false">C67/D67</f>
        <v>9.66666666666667</v>
      </c>
      <c r="F67" s="595" t="n">
        <f aca="false">E67*54.5</f>
        <v>526.833333333333</v>
      </c>
      <c r="G67" s="610" t="n">
        <f aca="false">CHOOSE(MATCH(F67,N$96:N$107,1),O$96,O$97,O$98,O$99,O$100,O$101,O$102,O$103,O$104,O$105,O$106,O$107)</f>
        <v>93</v>
      </c>
      <c r="H67" s="0" t="n">
        <f aca="false">((($D67*$E67)*54.5)*(1+(1-(G67/100)))/1000)</f>
        <v>5.073405</v>
      </c>
      <c r="I67" s="884" t="n">
        <f aca="false">((($D67*$E67)*54.5)*(1+(1-0.92))/1000)</f>
        <v>5.12082</v>
      </c>
      <c r="J67" s="884" t="n">
        <f aca="false">H67-I67</f>
        <v>-0.0474150000000018</v>
      </c>
      <c r="K67" s="885" t="n">
        <f aca="false">(J67*24*365)*$V$18</f>
        <v>-53.622382140002</v>
      </c>
      <c r="L67" s="691"/>
      <c r="M67" s="691"/>
      <c r="N67" s="691"/>
      <c r="O67" s="691"/>
      <c r="P67" s="889" t="n">
        <f aca="false">((($D67*$E67)*54.5)*(1+(1-0.97))/1000)</f>
        <v>4.883745</v>
      </c>
      <c r="Q67" s="889" t="n">
        <f aca="false">H67-P67</f>
        <v>0.189659999999999</v>
      </c>
      <c r="R67" s="890" t="n">
        <f aca="false">(Q67*24*365)*$V$18</f>
        <v>214.489528559999</v>
      </c>
    </row>
    <row r="68" customFormat="false" ht="10.15" hidden="false" customHeight="false" outlineLevel="0" collapsed="false">
      <c r="A68" s="595" t="e">
        <f aca="false">'plant loading'!#ref!</f>
        <v>#VALUE!</v>
      </c>
      <c r="B68" s="595" t="e">
        <f aca="false">'plant loading'!#ref!</f>
        <v>#VALUE!</v>
      </c>
      <c r="C68" s="595" t="e">
        <f aca="false">'plant loading'!#ref!</f>
        <v>#VALUE!</v>
      </c>
      <c r="D68" s="450" t="e">
        <f aca="false">'plant loading'!#ref!</f>
        <v>#VALUE!</v>
      </c>
      <c r="E68" s="595" t="e">
        <f aca="false">C68/D68</f>
        <v>#VALUE!</v>
      </c>
      <c r="F68" s="595" t="e">
        <f aca="false">E68*54.5</f>
        <v>#VALUE!</v>
      </c>
      <c r="G68" s="610" t="e">
        <f aca="false">CHOOSE(MATCH(F68,W$3:W$14,1),X$3,X$4,X$5,X$6,X$7,X$8,X$9,X$10,X$11,X$12,X$13,X$14)</f>
        <v>#VALUE!</v>
      </c>
      <c r="H68" s="0" t="n">
        <v>0</v>
      </c>
      <c r="I68" s="884" t="n">
        <v>0</v>
      </c>
      <c r="J68" s="884" t="n">
        <f aca="false">H68-I68</f>
        <v>0</v>
      </c>
      <c r="K68" s="885" t="n">
        <f aca="false">(J68*24*365)*$V$18</f>
        <v>0</v>
      </c>
      <c r="L68" s="691"/>
      <c r="M68" s="691"/>
      <c r="N68" s="691"/>
      <c r="O68" s="691"/>
      <c r="P68" s="889" t="n">
        <v>0</v>
      </c>
      <c r="Q68" s="889" t="n">
        <f aca="false">H68-P68</f>
        <v>0</v>
      </c>
      <c r="R68" s="890" t="n">
        <f aca="false">(Q68*24*365)*$V$18</f>
        <v>0</v>
      </c>
    </row>
    <row r="69" customFormat="false" ht="10.15" hidden="false" customHeight="false" outlineLevel="0" collapsed="false">
      <c r="A69" s="595" t="e">
        <f aca="false">'plant loading'!#ref!</f>
        <v>#VALUE!</v>
      </c>
      <c r="B69" s="595" t="e">
        <f aca="false">'plant loading'!#ref!</f>
        <v>#VALUE!</v>
      </c>
      <c r="C69" s="595" t="e">
        <f aca="false">'plant loading'!#ref!</f>
        <v>#VALUE!</v>
      </c>
      <c r="D69" s="450" t="e">
        <f aca="false">'plant loading'!#ref!</f>
        <v>#VALUE!</v>
      </c>
      <c r="E69" s="595" t="e">
        <f aca="false">C69/D69</f>
        <v>#VALUE!</v>
      </c>
      <c r="F69" s="595" t="e">
        <f aca="false">E69*54.5</f>
        <v>#VALUE!</v>
      </c>
      <c r="G69" s="610" t="e">
        <f aca="false">CHOOSE(MATCH(F69,W$3:W$14,1),X$3,X$4,X$5,X$6,X$7,X$8,X$9,X$10,X$11,X$12,X$13,X$14)</f>
        <v>#VALUE!</v>
      </c>
      <c r="H69" s="0" t="e">
        <f aca="false">((($D69*$E69)*54.5)*(1+(1-(G69/100)))/1000)</f>
        <v>#VALUE!</v>
      </c>
      <c r="I69" s="884" t="e">
        <f aca="false">((($D69*$E69)*54.5)*(1+(1-0.92))/1000)</f>
        <v>#VALUE!</v>
      </c>
      <c r="J69" s="884" t="e">
        <f aca="false">H69-I69</f>
        <v>#VALUE!</v>
      </c>
      <c r="K69" s="885" t="e">
        <f aca="false">(J69*24*365)*$V$18</f>
        <v>#VALUE!</v>
      </c>
      <c r="L69" s="691"/>
      <c r="M69" s="691"/>
      <c r="N69" s="691"/>
      <c r="O69" s="691"/>
      <c r="P69" s="889" t="e">
        <f aca="false">((($D69*$E69)*54.5)*(1+(1-0.97))/1000)</f>
        <v>#VALUE!</v>
      </c>
      <c r="Q69" s="889" t="e">
        <f aca="false">H69-P69</f>
        <v>#VALUE!</v>
      </c>
      <c r="R69" s="890" t="e">
        <f aca="false">(Q69*24*365)*$V$18</f>
        <v>#VALUE!</v>
      </c>
    </row>
    <row r="70" customFormat="false" ht="10.15" hidden="false" customHeight="false" outlineLevel="0" collapsed="false">
      <c r="A70" s="595" t="e">
        <f aca="false">'plant loading'!#ref!</f>
        <v>#VALUE!</v>
      </c>
      <c r="B70" s="595" t="e">
        <f aca="false">'plant loading'!#ref!</f>
        <v>#VALUE!</v>
      </c>
      <c r="C70" s="595" t="e">
        <f aca="false">'plant loading'!#ref!</f>
        <v>#VALUE!</v>
      </c>
      <c r="D70" s="450" t="e">
        <f aca="false">'plant loading'!#ref!</f>
        <v>#VALUE!</v>
      </c>
      <c r="E70" s="595" t="e">
        <f aca="false">C70/D70</f>
        <v>#VALUE!</v>
      </c>
      <c r="F70" s="595" t="e">
        <f aca="false">E70*54.5</f>
        <v>#VALUE!</v>
      </c>
      <c r="G70" s="610" t="e">
        <f aca="false">CHOOSE(MATCH(F70,W$3:W$14,1),X$3,X$4,X$5,X$6,X$7,X$8,X$9,X$10,X$11,X$12,X$13,X$14)</f>
        <v>#VALUE!</v>
      </c>
      <c r="H70" s="0" t="e">
        <f aca="false">((($D70*$E70)*54.5)*(1+(1-(G70/100)))/1000)</f>
        <v>#VALUE!</v>
      </c>
      <c r="I70" s="884" t="e">
        <f aca="false">((($D70*$E70)*54.5)*(1+(1-0.92))/1000)</f>
        <v>#VALUE!</v>
      </c>
      <c r="J70" s="884" t="e">
        <f aca="false">H70-I70</f>
        <v>#VALUE!</v>
      </c>
      <c r="K70" s="885" t="e">
        <f aca="false">(J70*24*365)*$V$18</f>
        <v>#VALUE!</v>
      </c>
      <c r="L70" s="691"/>
      <c r="M70" s="691"/>
      <c r="N70" s="691"/>
      <c r="O70" s="691"/>
      <c r="P70" s="889" t="e">
        <f aca="false">((($D70*$E70)*54.5)*(1+(1-0.97))/1000)</f>
        <v>#VALUE!</v>
      </c>
      <c r="Q70" s="889" t="e">
        <f aca="false">H70-P70</f>
        <v>#VALUE!</v>
      </c>
      <c r="R70" s="890" t="e">
        <f aca="false">(Q70*24*365)*$V$18</f>
        <v>#VALUE!</v>
      </c>
    </row>
    <row r="71" customFormat="false" ht="10.15" hidden="false" customHeight="false" outlineLevel="0" collapsed="false">
      <c r="A71" s="595" t="e">
        <f aca="false">'plant loading'!#ref!</f>
        <v>#VALUE!</v>
      </c>
      <c r="B71" s="595" t="e">
        <f aca="false">'plant loading'!#ref!</f>
        <v>#VALUE!</v>
      </c>
      <c r="C71" s="595" t="e">
        <f aca="false">'plant loading'!#ref!</f>
        <v>#VALUE!</v>
      </c>
      <c r="D71" s="450" t="e">
        <f aca="false">'plant loading'!#ref!</f>
        <v>#VALUE!</v>
      </c>
      <c r="E71" s="595" t="e">
        <f aca="false">C71/D71</f>
        <v>#VALUE!</v>
      </c>
      <c r="F71" s="595" t="e">
        <f aca="false">E71*54.5</f>
        <v>#VALUE!</v>
      </c>
      <c r="G71" s="610" t="e">
        <f aca="false">CHOOSE(MATCH(F71,W$3:W$14,1),X$3,X$4,X$5,X$6,X$7,X$8,X$9,X$10,X$11,X$12,X$13,X$14)</f>
        <v>#VALUE!</v>
      </c>
      <c r="H71" s="0" t="e">
        <f aca="false">((($D71*$E71)*54.5)*(1+(1-(G71/100)))/1000)</f>
        <v>#VALUE!</v>
      </c>
      <c r="I71" s="884" t="e">
        <f aca="false">((($D71*$E71)*54.5)*(1+(1-0.92))/1000)</f>
        <v>#VALUE!</v>
      </c>
      <c r="J71" s="884" t="e">
        <f aca="false">H71-I71</f>
        <v>#VALUE!</v>
      </c>
      <c r="K71" s="885" t="e">
        <f aca="false">(J71*24*365)*$V$18</f>
        <v>#VALUE!</v>
      </c>
      <c r="L71" s="691"/>
      <c r="M71" s="691"/>
      <c r="N71" s="691"/>
      <c r="O71" s="691"/>
      <c r="P71" s="889" t="e">
        <f aca="false">((($D71*$E71)*54.5)*(1+(1-0.97))/1000)</f>
        <v>#VALUE!</v>
      </c>
      <c r="Q71" s="889" t="e">
        <f aca="false">H71-P71</f>
        <v>#VALUE!</v>
      </c>
      <c r="R71" s="890" t="e">
        <f aca="false">(Q71*24*365)*$V$18</f>
        <v>#VALUE!</v>
      </c>
    </row>
    <row r="72" customFormat="false" ht="10.15" hidden="false" customHeight="false" outlineLevel="0" collapsed="false">
      <c r="A72" s="595" t="str">
        <f aca="false">'Plant loading'!A105</f>
        <v>Leicester</v>
      </c>
      <c r="B72" s="595" t="str">
        <f aca="false">'Plant loading'!B105</f>
        <v>PEFLR</v>
      </c>
      <c r="C72" s="595" t="n">
        <f aca="false">'Plant loading'!E105</f>
        <v>546</v>
      </c>
      <c r="D72" s="450" t="n">
        <f aca="false">'Plant loading'!H105</f>
        <v>36</v>
      </c>
      <c r="E72" s="595" t="n">
        <f aca="false">C72/D72</f>
        <v>15.1666666666667</v>
      </c>
      <c r="F72" s="595" t="n">
        <f aca="false">E72*54.5</f>
        <v>826.583333333333</v>
      </c>
      <c r="G72" s="610" t="n">
        <f aca="false">CHOOSE(MATCH(F72,W$3:W$14,1),X$3,X$4,X$5,X$6,X$7,X$8,X$9,X$10,X$11,X$12,X$13,X$14)</f>
        <v>88.5162353305465</v>
      </c>
      <c r="H72" s="0" t="n">
        <f aca="false">((($D72*$E72)*54.5)*(1+(1-(G72/100)))/1000)</f>
        <v>33.1742238526893</v>
      </c>
      <c r="I72" s="884" t="n">
        <f aca="false">((($D72*$E72)*54.5)*(1+(1-0.92))/1000)</f>
        <v>32.13756</v>
      </c>
      <c r="J72" s="884" t="n">
        <f aca="false">H72-I72</f>
        <v>1.03666385268927</v>
      </c>
      <c r="K72" s="885" t="n">
        <f aca="false">(J72*24*365)*$V$18</f>
        <v>1172.37973762794</v>
      </c>
      <c r="L72" s="691"/>
      <c r="M72" s="691"/>
      <c r="N72" s="691"/>
      <c r="O72" s="691"/>
      <c r="P72" s="889" t="n">
        <f aca="false">((($D72*$E72)*54.5)*(1+(1-0.97))/1000)</f>
        <v>30.64971</v>
      </c>
      <c r="Q72" s="889" t="n">
        <f aca="false">H72-P72</f>
        <v>2.52451385268927</v>
      </c>
      <c r="R72" s="890" t="n">
        <f aca="false">(Q72*24*365)*$V$18</f>
        <v>2855.01310822794</v>
      </c>
    </row>
    <row r="73" customFormat="false" ht="10.15" hidden="false" customHeight="false" outlineLevel="0" collapsed="false">
      <c r="A73" s="595" t="str">
        <f aca="false">'Plant loading'!A106</f>
        <v>Leicester</v>
      </c>
      <c r="B73" s="595" t="str">
        <f aca="false">'Plant loading'!B106</f>
        <v>PEGLR</v>
      </c>
      <c r="C73" s="595" t="n">
        <f aca="false">'Plant loading'!E106</f>
        <v>455</v>
      </c>
      <c r="D73" s="450" t="n">
        <f aca="false">'Plant loading'!H106</f>
        <v>36</v>
      </c>
      <c r="E73" s="595" t="n">
        <f aca="false">C73/D73</f>
        <v>12.6388888888889</v>
      </c>
      <c r="F73" s="595" t="n">
        <f aca="false">E73*54.5</f>
        <v>688.819444444444</v>
      </c>
      <c r="G73" s="610" t="n">
        <f aca="false">CHOOSE(MATCH(F73,W$3:W$14,1),X$3,X$4,X$5,X$6,X$7,X$8,X$9,X$10,X$11,X$12,X$13,X$14)</f>
        <v>88.5162353305465</v>
      </c>
      <c r="H73" s="0" t="n">
        <f aca="false">((($D73*$E73)*54.5)*(1+(1-(G73/100)))/1000)</f>
        <v>27.6451865439077</v>
      </c>
      <c r="I73" s="884" t="n">
        <f aca="false">((($D73*$E73)*54.5)*(1+(1-0.92))/1000)</f>
        <v>26.7813</v>
      </c>
      <c r="J73" s="884" t="n">
        <f aca="false">H73-I73</f>
        <v>0.863886543907729</v>
      </c>
      <c r="K73" s="885" t="n">
        <f aca="false">(J73*24*365)*$V$18</f>
        <v>976.983114689953</v>
      </c>
      <c r="L73" s="691"/>
      <c r="M73" s="691"/>
      <c r="N73" s="691"/>
      <c r="O73" s="691"/>
      <c r="P73" s="889" t="n">
        <f aca="false">((($D73*$E73)*54.5)*(1+(1-0.97))/1000)</f>
        <v>25.541425</v>
      </c>
      <c r="Q73" s="889" t="n">
        <f aca="false">H73-P73</f>
        <v>2.10376154390773</v>
      </c>
      <c r="R73" s="890" t="n">
        <f aca="false">(Q73*24*365)*$V$18</f>
        <v>2379.17759018995</v>
      </c>
    </row>
    <row r="74" customFormat="false" ht="10.15" hidden="false" customHeight="false" outlineLevel="0" collapsed="false">
      <c r="A74" s="595" t="str">
        <f aca="false">'Plant loading'!A107</f>
        <v>Newbury</v>
      </c>
      <c r="B74" s="595" t="str">
        <f aca="false">'Plant loading'!B107</f>
        <v>PEGNY</v>
      </c>
      <c r="C74" s="595" t="n">
        <f aca="false">'Plant loading'!E107</f>
        <v>276</v>
      </c>
      <c r="D74" s="450" t="n">
        <f aca="false">'Plant loading'!H107</f>
        <v>36</v>
      </c>
      <c r="E74" s="595" t="n">
        <f aca="false">C74/D74</f>
        <v>7.66666666666667</v>
      </c>
      <c r="F74" s="595" t="n">
        <f aca="false">E74*54.5</f>
        <v>417.833333333333</v>
      </c>
      <c r="G74" s="610" t="n">
        <f aca="false">CHOOSE(MATCH(F74,W$3:W$14,1),X$3,X$4,X$5,X$6,X$7,X$8,X$9,X$10,X$11,X$12,X$13,X$14)</f>
        <v>82.0732242562929</v>
      </c>
      <c r="H74" s="0" t="n">
        <f aca="false">((($D74*$E74)*54.5)*(1+(1-(G74/100)))/1000)</f>
        <v>17.7385456073684</v>
      </c>
      <c r="I74" s="884" t="n">
        <f aca="false">((($D74*$E74)*54.5)*(1+(1-0.92))/1000)</f>
        <v>16.24536</v>
      </c>
      <c r="J74" s="884" t="n">
        <f aca="false">H74-I74</f>
        <v>1.49318560736842</v>
      </c>
      <c r="K74" s="885" t="n">
        <f aca="false">(J74*24*365)*$V$18</f>
        <v>1688.66749434267</v>
      </c>
      <c r="L74" s="691"/>
      <c r="M74" s="691"/>
      <c r="N74" s="691"/>
      <c r="O74" s="691"/>
      <c r="P74" s="889" t="n">
        <f aca="false">((($D74*$E74)*54.5)*(1+(1-0.97))/1000)</f>
        <v>15.49326</v>
      </c>
      <c r="Q74" s="889" t="n">
        <f aca="false">H74-P74</f>
        <v>2.24528560736843</v>
      </c>
      <c r="R74" s="890" t="n">
        <f aca="false">(Q74*24*365)*$V$18</f>
        <v>2539.22941794267</v>
      </c>
    </row>
    <row r="75" customFormat="false" ht="10.15" hidden="false" customHeight="false" outlineLevel="0" collapsed="false">
      <c r="A75" s="595" t="str">
        <f aca="false">'Plant loading'!A108</f>
        <v>Newbury</v>
      </c>
      <c r="B75" s="595" t="str">
        <f aca="false">'Plant loading'!B108</f>
        <v>PEHNY</v>
      </c>
      <c r="C75" s="595" t="n">
        <f aca="false">'Plant loading'!E108</f>
        <v>260</v>
      </c>
      <c r="D75" s="450" t="n">
        <f aca="false">'Plant loading'!H108</f>
        <v>36</v>
      </c>
      <c r="E75" s="595" t="n">
        <f aca="false">C75/D75</f>
        <v>7.22222222222222</v>
      </c>
      <c r="F75" s="595" t="n">
        <f aca="false">E75*54.5</f>
        <v>393.611111111111</v>
      </c>
      <c r="G75" s="610" t="n">
        <f aca="false">CHOOSE(MATCH(F75,W$3:W$14,1),X$3,X$4,X$5,X$6,X$7,X$8,X$9,X$10,X$11,X$12,X$13,X$14)</f>
        <v>82.0732242562929</v>
      </c>
      <c r="H75" s="0" t="n">
        <f aca="false">((($D75*$E75)*54.5)*(1+(1-(G75/100)))/1000)</f>
        <v>16.7102241228833</v>
      </c>
      <c r="I75" s="884" t="n">
        <f aca="false">((($D75*$E75)*54.5)*(1+(1-0.92))/1000)</f>
        <v>15.3036</v>
      </c>
      <c r="J75" s="884" t="n">
        <f aca="false">H75-I75</f>
        <v>1.4066241228833</v>
      </c>
      <c r="K75" s="885" t="n">
        <f aca="false">(J75*24*365)*$V$18</f>
        <v>1590.77372655469</v>
      </c>
      <c r="L75" s="691"/>
      <c r="M75" s="691"/>
      <c r="N75" s="691"/>
      <c r="O75" s="691"/>
      <c r="P75" s="889" t="n">
        <f aca="false">((($D75*$E75)*54.5)*(1+(1-0.97))/1000)</f>
        <v>14.5951</v>
      </c>
      <c r="Q75" s="889" t="n">
        <f aca="false">H75-P75</f>
        <v>2.1151241228833</v>
      </c>
      <c r="R75" s="890" t="n">
        <f aca="false">(Q75*24*365)*$V$18</f>
        <v>2392.02771255469</v>
      </c>
    </row>
    <row r="76" customFormat="false" ht="10.15" hidden="false" customHeight="false" outlineLevel="0" collapsed="false">
      <c r="A76" s="595" t="str">
        <f aca="false">'Plant loading'!A109</f>
        <v>Newcastle</v>
      </c>
      <c r="B76" s="595" t="str">
        <f aca="false">'Plant loading'!B109</f>
        <v>PEENE</v>
      </c>
      <c r="C76" s="595" t="n">
        <f aca="false">'Plant loading'!E109</f>
        <v>244</v>
      </c>
      <c r="D76" s="450" t="n">
        <f aca="false">'Plant loading'!H109</f>
        <v>36</v>
      </c>
      <c r="E76" s="595" t="n">
        <f aca="false">C76/D76</f>
        <v>6.77777777777778</v>
      </c>
      <c r="F76" s="595" t="n">
        <f aca="false">E76*54.5</f>
        <v>369.388888888889</v>
      </c>
      <c r="G76" s="610" t="n">
        <f aca="false">CHOOSE(MATCH(F76,W$3:W$14,1),X$3,X$4,X$5,X$6,X$7,X$8,X$9,X$10,X$11,X$12,X$13,X$14)</f>
        <v>82.0732242562929</v>
      </c>
      <c r="H76" s="0" t="n">
        <f aca="false">((($D76*$E76)*54.5)*(1+(1-(G76/100)))/1000)</f>
        <v>15.6819026383982</v>
      </c>
      <c r="I76" s="884" t="n">
        <f aca="false">((($D76*$E76)*54.5)*(1+(1-0.92))/1000)</f>
        <v>14.36184</v>
      </c>
      <c r="J76" s="884" t="n">
        <f aca="false">H76-I76</f>
        <v>1.32006263839817</v>
      </c>
      <c r="K76" s="885" t="n">
        <f aca="false">(J76*24*365)*$V$18</f>
        <v>1492.87995876671</v>
      </c>
      <c r="L76" s="691"/>
      <c r="M76" s="691"/>
      <c r="N76" s="691"/>
      <c r="O76" s="691"/>
      <c r="P76" s="889" t="n">
        <f aca="false">((($D76*$E76)*54.5)*(1+(1-0.97))/1000)</f>
        <v>13.69694</v>
      </c>
      <c r="Q76" s="889" t="n">
        <f aca="false">H76-P76</f>
        <v>1.98496263839817</v>
      </c>
      <c r="R76" s="890" t="n">
        <f aca="false">(Q76*24*365)*$V$18</f>
        <v>2244.82600716671</v>
      </c>
    </row>
    <row r="77" customFormat="false" ht="10.15" hidden="false" customHeight="false" outlineLevel="0" collapsed="false">
      <c r="A77" s="595" t="str">
        <f aca="false">'Plant loading'!A110</f>
        <v>Newcastle</v>
      </c>
      <c r="B77" s="595" t="str">
        <f aca="false">'Plant loading'!B110</f>
        <v>PEFNE</v>
      </c>
      <c r="C77" s="595" t="n">
        <f aca="false">'Plant loading'!E110</f>
        <v>341</v>
      </c>
      <c r="D77" s="450" t="n">
        <f aca="false">'Plant loading'!H110</f>
        <v>36</v>
      </c>
      <c r="E77" s="595" t="n">
        <f aca="false">C77/D77</f>
        <v>9.47222222222222</v>
      </c>
      <c r="F77" s="595" t="n">
        <f aca="false">E77*54.5</f>
        <v>516.236111111111</v>
      </c>
      <c r="G77" s="610" t="n">
        <f aca="false">CHOOSE(MATCH(F77,W$3:W$14,1),X$3,X$4,X$5,X$6,X$7,X$8,X$9,X$10,X$11,X$12,X$13,X$14)</f>
        <v>82.0732242562929</v>
      </c>
      <c r="H77" s="0" t="n">
        <f aca="false">((($D77*$E77)*54.5)*(1+(1-(G77/100)))/1000)</f>
        <v>21.9161016380892</v>
      </c>
      <c r="I77" s="884" t="n">
        <f aca="false">((($D77*$E77)*54.5)*(1+(1-0.92))/1000)</f>
        <v>20.07126</v>
      </c>
      <c r="J77" s="884" t="n">
        <f aca="false">H77-I77</f>
        <v>1.84484163808925</v>
      </c>
      <c r="K77" s="885" t="n">
        <f aca="false">(J77*24*365)*$V$18</f>
        <v>2086.36092598134</v>
      </c>
      <c r="L77" s="691"/>
      <c r="M77" s="691"/>
      <c r="N77" s="691"/>
      <c r="O77" s="691"/>
      <c r="P77" s="889" t="n">
        <f aca="false">((($D77*$E77)*54.5)*(1+(1-0.97))/1000)</f>
        <v>19.142035</v>
      </c>
      <c r="Q77" s="889" t="n">
        <f aca="false">H77-P77</f>
        <v>2.77406663808925</v>
      </c>
      <c r="R77" s="890" t="n">
        <f aca="false">(Q77*24*365)*$V$18</f>
        <v>3137.23634608134</v>
      </c>
    </row>
    <row r="78" customFormat="false" ht="10.15" hidden="false" customHeight="false" outlineLevel="0" collapsed="false">
      <c r="A78" s="595" t="str">
        <f aca="false">'Plant loading'!A111</f>
        <v>Newcastle</v>
      </c>
      <c r="B78" s="595" t="str">
        <f aca="false">'Plant loading'!B111</f>
        <v>PEGNE</v>
      </c>
      <c r="C78" s="595" t="n">
        <f aca="false">'Plant loading'!E111</f>
        <v>125</v>
      </c>
      <c r="D78" s="450" t="n">
        <f aca="false">'Plant loading'!H111</f>
        <v>18</v>
      </c>
      <c r="E78" s="595" t="n">
        <f aca="false">C78/D78</f>
        <v>6.94444444444444</v>
      </c>
      <c r="F78" s="595" t="n">
        <f aca="false">E78*54.5</f>
        <v>378.472222222222</v>
      </c>
      <c r="G78" s="610" t="n">
        <f aca="false">CHOOSE(MATCH(F78,W$3:W$14,1),X$3,X$4,X$5,X$6,X$7,X$8,X$9,X$10,X$11,X$12,X$13,X$14)</f>
        <v>82.0732242562929</v>
      </c>
      <c r="H78" s="0" t="n">
        <f aca="false">((($D78*$E78)*54.5)*(1+(1-(G78/100)))/1000)</f>
        <v>8.03376159754005</v>
      </c>
      <c r="I78" s="884" t="n">
        <f aca="false">((($D78*$E78)*54.5)*(1+(1-0.92))/1000)</f>
        <v>7.3575</v>
      </c>
      <c r="J78" s="884" t="n">
        <f aca="false">H78-I78</f>
        <v>0.676261597540045</v>
      </c>
      <c r="K78" s="885" t="n">
        <f aca="false">(J78*24*365)*$V$18</f>
        <v>764.795060843598</v>
      </c>
      <c r="L78" s="691"/>
      <c r="M78" s="691"/>
      <c r="N78" s="691"/>
      <c r="O78" s="691"/>
      <c r="P78" s="889" t="n">
        <f aca="false">((($D78*$E78)*54.5)*(1+(1-0.97))/1000)</f>
        <v>7.016875</v>
      </c>
      <c r="Q78" s="889" t="n">
        <f aca="false">H78-P78</f>
        <v>1.01688659754005</v>
      </c>
      <c r="R78" s="890" t="n">
        <f aca="false">(Q78*24*365)*$V$18</f>
        <v>1150.0133233436</v>
      </c>
    </row>
    <row r="79" customFormat="false" ht="10.15" hidden="false" customHeight="false" outlineLevel="0" collapsed="false">
      <c r="A79" s="595" t="str">
        <f aca="false">'Plant loading'!A112</f>
        <v>Oxford</v>
      </c>
      <c r="B79" s="595" t="str">
        <f aca="false">'Plant loading'!B112</f>
        <v>PECOD</v>
      </c>
      <c r="C79" s="595" t="n">
        <f aca="false">'Plant loading'!E112</f>
        <v>187</v>
      </c>
      <c r="D79" s="450" t="n">
        <f aca="false">'Plant loading'!H112</f>
        <v>36</v>
      </c>
      <c r="E79" s="595" t="n">
        <f aca="false">C79/D79</f>
        <v>5.19444444444444</v>
      </c>
      <c r="F79" s="595" t="n">
        <f aca="false">E79*54.5</f>
        <v>283.097222222222</v>
      </c>
      <c r="G79" s="610" t="n">
        <f aca="false">CHOOSE(MATCH(F79,W$3:W$14,1),X$3,X$4,X$5,X$6,X$7,X$8,X$9,X$10,X$11,X$12,X$13,X$14)</f>
        <v>74.9132005208333</v>
      </c>
      <c r="H79" s="0" t="n">
        <f aca="false">((($D79*$E79)*54.5)*(1+(1-(G79/100)))/1000)</f>
        <v>12.7482211689193</v>
      </c>
      <c r="I79" s="884" t="n">
        <f aca="false">((($D79*$E79)*54.5)*(1+(1-0.92))/1000)</f>
        <v>11.00682</v>
      </c>
      <c r="J79" s="884" t="n">
        <f aca="false">H79-I79</f>
        <v>1.74140116891927</v>
      </c>
      <c r="K79" s="885" t="n">
        <f aca="false">(J79*24*365)*$V$18</f>
        <v>1969.37844434951</v>
      </c>
      <c r="L79" s="691"/>
      <c r="M79" s="691"/>
      <c r="N79" s="691"/>
      <c r="O79" s="691"/>
      <c r="P79" s="889" t="n">
        <f aca="false">((($D79*$E79)*54.5)*(1+(1-0.97))/1000)</f>
        <v>10.497245</v>
      </c>
      <c r="Q79" s="889" t="n">
        <f aca="false">H79-P79</f>
        <v>2.25097616891927</v>
      </c>
      <c r="R79" s="890" t="n">
        <f aca="false">(Q79*24*365)*$V$18</f>
        <v>2545.66496504951</v>
      </c>
    </row>
    <row r="80" customFormat="false" ht="10.15" hidden="false" customHeight="false" outlineLevel="0" collapsed="false">
      <c r="A80" s="595" t="str">
        <f aca="false">'Plant loading'!A113</f>
        <v>Oxford</v>
      </c>
      <c r="B80" s="595" t="str">
        <f aca="false">'Plant loading'!B113</f>
        <v>PEFOD</v>
      </c>
      <c r="C80" s="595" t="n">
        <f aca="false">'Plant loading'!E113</f>
        <v>109</v>
      </c>
      <c r="D80" s="450" t="n">
        <f aca="false">'Plant loading'!H113</f>
        <v>30</v>
      </c>
      <c r="E80" s="595" t="n">
        <f aca="false">C80/D80</f>
        <v>3.63333333333333</v>
      </c>
      <c r="F80" s="595" t="n">
        <f aca="false">E80*54.5</f>
        <v>198.016666666667</v>
      </c>
      <c r="G80" s="610" t="n">
        <f aca="false">CHOOSE(MATCH(F80,W$3:W$14,1),X$3,X$4,X$5,X$6,X$7,X$8,X$9,X$10,X$11,X$12,X$13,X$14)</f>
        <v>74.9132005208333</v>
      </c>
      <c r="H80" s="0" t="n">
        <f aca="false">((($D80*$E80)*54.5)*(1+(1-(G80/100)))/1000)</f>
        <v>7.4307813230599</v>
      </c>
      <c r="I80" s="884" t="n">
        <f aca="false">((($D80*$E80)*54.5)*(1+(1-0.92))/1000)</f>
        <v>6.41574</v>
      </c>
      <c r="J80" s="884" t="n">
        <f aca="false">H80-I80</f>
        <v>1.0150413230599</v>
      </c>
      <c r="K80" s="885" t="n">
        <f aca="false">(J80*24*365)*$V$18</f>
        <v>1147.92647290961</v>
      </c>
      <c r="L80" s="691"/>
      <c r="M80" s="691"/>
      <c r="N80" s="691"/>
      <c r="O80" s="691"/>
      <c r="P80" s="889" t="n">
        <f aca="false">((($D80*$E80)*54.5)*(1+(1-0.97))/1000)</f>
        <v>6.118715</v>
      </c>
      <c r="Q80" s="889" t="n">
        <f aca="false">H80-P80</f>
        <v>1.3120663230599</v>
      </c>
      <c r="R80" s="890" t="n">
        <f aca="false">(Q80*24*365)*$V$18</f>
        <v>1483.83679780961</v>
      </c>
    </row>
    <row r="81" customFormat="false" ht="10.15" hidden="false" customHeight="false" outlineLevel="0" collapsed="false">
      <c r="A81" s="595" t="str">
        <f aca="false">'Plant loading'!A114</f>
        <v>Stafford</v>
      </c>
      <c r="B81" s="595" t="str">
        <f aca="false">'Plant loading'!B114</f>
        <v>PEESD</v>
      </c>
      <c r="C81" s="595" t="n">
        <f aca="false">'Plant loading'!E114</f>
        <v>383</v>
      </c>
      <c r="D81" s="450" t="n">
        <f aca="false">'Plant loading'!H114</f>
        <v>36</v>
      </c>
      <c r="E81" s="595" t="n">
        <f aca="false">C81/D81</f>
        <v>10.6388888888889</v>
      </c>
      <c r="F81" s="595" t="n">
        <f aca="false">E81*54.5</f>
        <v>579.819444444444</v>
      </c>
      <c r="G81" s="610" t="n">
        <f aca="false">CHOOSE(MATCH(F81,W$3:W$14,1),X$3,X$4,X$5,X$6,X$7,X$8,X$9,X$10,X$11,X$12,X$13,X$14)</f>
        <v>88.5162353305465</v>
      </c>
      <c r="H81" s="0" t="n">
        <f aca="false">((($D81*$E81)*54.5)*(1+(1-(G81/100)))/1000)</f>
        <v>23.2705636182784</v>
      </c>
      <c r="I81" s="884" t="n">
        <f aca="false">((($D81*$E81)*54.5)*(1+(1-0.92))/1000)</f>
        <v>22.54338</v>
      </c>
      <c r="J81" s="884" t="n">
        <f aca="false">H81-I81</f>
        <v>0.727183618278371</v>
      </c>
      <c r="K81" s="885" t="n">
        <f aca="false">(J81*24*365)*$V$18</f>
        <v>822.383588848902</v>
      </c>
      <c r="L81" s="691"/>
      <c r="M81" s="691"/>
      <c r="N81" s="691"/>
      <c r="O81" s="691"/>
      <c r="P81" s="889" t="n">
        <f aca="false">((($D81*$E81)*54.5)*(1+(1-0.97))/1000)</f>
        <v>21.499705</v>
      </c>
      <c r="Q81" s="889" t="n">
        <f aca="false">H81-P81</f>
        <v>1.77085861827837</v>
      </c>
      <c r="R81" s="890" t="n">
        <f aca="false">(Q81*24*365)*$V$18</f>
        <v>2002.6923451489</v>
      </c>
    </row>
    <row r="82" customFormat="false" ht="10.15" hidden="false" customHeight="false" outlineLevel="0" collapsed="false">
      <c r="A82" s="595" t="str">
        <f aca="false">'Plant loading'!A115</f>
        <v>Stafford</v>
      </c>
      <c r="B82" s="595" t="str">
        <f aca="false">'Plant loading'!B115</f>
        <v>PEGSD</v>
      </c>
      <c r="C82" s="595" t="n">
        <f aca="false">'Plant loading'!E115</f>
        <v>423</v>
      </c>
      <c r="D82" s="450" t="n">
        <f aca="false">'Plant loading'!H115</f>
        <v>36</v>
      </c>
      <c r="E82" s="595" t="n">
        <f aca="false">C82/D82</f>
        <v>11.75</v>
      </c>
      <c r="F82" s="595" t="n">
        <f aca="false">E82*54.5</f>
        <v>640.375</v>
      </c>
      <c r="G82" s="610" t="n">
        <f aca="false">CHOOSE(MATCH(F82,W$3:W$14,1),X$3,X$4,X$5,X$6,X$7,X$8,X$9,X$10,X$11,X$12,X$13,X$14)</f>
        <v>88.5162353305465</v>
      </c>
      <c r="H82" s="0" t="n">
        <f aca="false">((($D82*$E82)*54.5)*(1+(1-(G82/100)))/1000)</f>
        <v>25.7009096880725</v>
      </c>
      <c r="I82" s="884" t="n">
        <f aca="false">((($D82*$E82)*54.5)*(1+(1-0.92))/1000)</f>
        <v>24.89778</v>
      </c>
      <c r="J82" s="884" t="n">
        <f aca="false">H82-I82</f>
        <v>0.80312968807246</v>
      </c>
      <c r="K82" s="885" t="n">
        <f aca="false">(J82*24*365)*$V$18</f>
        <v>908.272214316154</v>
      </c>
      <c r="L82" s="691"/>
      <c r="M82" s="691"/>
      <c r="N82" s="691"/>
      <c r="O82" s="691"/>
      <c r="P82" s="889" t="n">
        <f aca="false">((($D82*$E82)*54.5)*(1+(1-0.97))/1000)</f>
        <v>23.745105</v>
      </c>
      <c r="Q82" s="889" t="n">
        <f aca="false">H82-P82</f>
        <v>1.95580468807246</v>
      </c>
      <c r="R82" s="890" t="n">
        <f aca="false">(Q82*24*365)*$V$18</f>
        <v>2211.85081461616</v>
      </c>
    </row>
    <row r="83" customFormat="false" ht="10.15" hidden="false" customHeight="false" outlineLevel="0" collapsed="false">
      <c r="A83" s="595" t="str">
        <f aca="false">'Plant loading'!A116</f>
        <v>Warrington TXO</v>
      </c>
      <c r="B83" s="595" t="str">
        <f aca="false">'Plant loading'!B116</f>
        <v>PELWN</v>
      </c>
      <c r="C83" s="595" t="n">
        <f aca="false">'Plant loading'!E116</f>
        <v>207</v>
      </c>
      <c r="D83" s="450" t="n">
        <f aca="false">'Plant loading'!H116</f>
        <v>18</v>
      </c>
      <c r="E83" s="595" t="n">
        <f aca="false">C83/D83</f>
        <v>11.5</v>
      </c>
      <c r="F83" s="595" t="n">
        <f aca="false">E83*54.5</f>
        <v>626.75</v>
      </c>
      <c r="G83" s="610" t="n">
        <f aca="false">CHOOSE(MATCH(F83,W$3:W$14,1),X$3,X$4,X$5,X$6,X$7,X$8,X$9,X$10,X$11,X$12,X$13,X$14)</f>
        <v>88.5162353305465</v>
      </c>
      <c r="H83" s="0" t="n">
        <f aca="false">((($D83*$E83)*54.5)*(1+(1-(G83/100)))/1000)</f>
        <v>12.5770409111844</v>
      </c>
      <c r="I83" s="884" t="n">
        <f aca="false">((($D83*$E83)*54.5)*(1+(1-0.92))/1000)</f>
        <v>12.18402</v>
      </c>
      <c r="J83" s="884" t="n">
        <f aca="false">H83-I83</f>
        <v>0.393020911184394</v>
      </c>
      <c r="K83" s="885" t="n">
        <f aca="false">(J83*24*365)*$V$18</f>
        <v>444.47363679301</v>
      </c>
      <c r="L83" s="691"/>
      <c r="M83" s="691"/>
      <c r="N83" s="691"/>
      <c r="O83" s="691"/>
      <c r="P83" s="889" t="n">
        <f aca="false">((($D83*$E83)*54.5)*(1+(1-0.97))/1000)</f>
        <v>11.619945</v>
      </c>
      <c r="Q83" s="889" t="n">
        <f aca="false">H83-P83</f>
        <v>0.957095911184394</v>
      </c>
      <c r="R83" s="890" t="n">
        <f aca="false">(Q83*24*365)*$V$18</f>
        <v>1082.39507949301</v>
      </c>
    </row>
    <row r="84" customFormat="false" ht="10.15" hidden="false" customHeight="false" outlineLevel="0" collapsed="false">
      <c r="A84" s="595" t="str">
        <f aca="false">'Plant loading'!A117</f>
        <v>Warrington TXO</v>
      </c>
      <c r="B84" s="595" t="str">
        <f aca="false">'Plant loading'!B117</f>
        <v>PEMWN</v>
      </c>
      <c r="C84" s="595" t="n">
        <f aca="false">'Plant loading'!E117</f>
        <v>189</v>
      </c>
      <c r="D84" s="450" t="n">
        <f aca="false">'Plant loading'!H117</f>
        <v>18</v>
      </c>
      <c r="E84" s="595" t="n">
        <f aca="false">C84/D84</f>
        <v>10.5</v>
      </c>
      <c r="F84" s="595" t="n">
        <f aca="false">E84*54.5</f>
        <v>572.25</v>
      </c>
      <c r="G84" s="610" t="n">
        <f aca="false">CHOOSE(MATCH(F84,W$3:W$14,1),X$3,X$4,X$5,X$6,X$7,X$8,X$9,X$10,X$11,X$12,X$13,X$14)</f>
        <v>88.5162353305465</v>
      </c>
      <c r="H84" s="0" t="n">
        <f aca="false">((($D84*$E84)*54.5)*(1+(1-(G84/100)))/1000)</f>
        <v>11.4833851797771</v>
      </c>
      <c r="I84" s="884" t="n">
        <f aca="false">((($D84*$E84)*54.5)*(1+(1-0.92))/1000)</f>
        <v>11.12454</v>
      </c>
      <c r="J84" s="884" t="n">
        <f aca="false">H84-I84</f>
        <v>0.358845179777056</v>
      </c>
      <c r="K84" s="885" t="n">
        <f aca="false">(J84*24*365)*$V$18</f>
        <v>405.823755332749</v>
      </c>
      <c r="L84" s="691"/>
      <c r="M84" s="691"/>
      <c r="N84" s="691"/>
      <c r="O84" s="691"/>
      <c r="P84" s="889" t="n">
        <f aca="false">((($D84*$E84)*54.5)*(1+(1-0.97))/1000)</f>
        <v>10.609515</v>
      </c>
      <c r="Q84" s="889" t="n">
        <f aca="false">H84-P84</f>
        <v>0.873870179777057</v>
      </c>
      <c r="R84" s="890" t="n">
        <f aca="false">(Q84*24*365)*$V$18</f>
        <v>988.273768232751</v>
      </c>
    </row>
    <row r="85" customFormat="false" ht="10.15" hidden="false" customHeight="false" outlineLevel="0" collapsed="false">
      <c r="A85" s="595" t="str">
        <f aca="false">'Plant loading'!A118</f>
        <v>Warrington TXO</v>
      </c>
      <c r="B85" s="595" t="str">
        <f aca="false">'Plant loading'!B118</f>
        <v>PENWN</v>
      </c>
      <c r="C85" s="595" t="n">
        <f aca="false">'Plant loading'!E118</f>
        <v>432</v>
      </c>
      <c r="D85" s="450" t="n">
        <f aca="false">'Plant loading'!H118</f>
        <v>18</v>
      </c>
      <c r="E85" s="595" t="n">
        <f aca="false">C85/D85</f>
        <v>24</v>
      </c>
      <c r="F85" s="595" t="n">
        <f aca="false">E85*54.5</f>
        <v>1308</v>
      </c>
      <c r="G85" s="610" t="n">
        <f aca="false">CHOOSE(MATCH(F85,W$3:W$14,1),X$3,X$4,X$5,X$6,X$7,X$8,X$9,X$10,X$11,X$12,X$13,X$14)</f>
        <v>91.7414056839224</v>
      </c>
      <c r="H85" s="0" t="n">
        <f aca="false">((($D85*$E85)*54.5)*(1+(1-(G85/100)))/1000)</f>
        <v>25.4884034457773</v>
      </c>
      <c r="I85" s="884" t="n">
        <f aca="false">((($D85*$E85)*54.5)*(1+(1-0.92))/1000)</f>
        <v>25.42752</v>
      </c>
      <c r="J85" s="884" t="n">
        <f aca="false">H85-I85</f>
        <v>0.0608834457773106</v>
      </c>
      <c r="K85" s="885" t="n">
        <f aca="false">(J85*24*365)*$V$18</f>
        <v>68.8540629646931</v>
      </c>
      <c r="L85" s="691"/>
      <c r="M85" s="691"/>
      <c r="N85" s="691"/>
      <c r="O85" s="691"/>
      <c r="P85" s="889" t="n">
        <f aca="false">((($D85*$E85)*54.5)*(1+(1-0.97))/1000)</f>
        <v>24.25032</v>
      </c>
      <c r="Q85" s="889" t="n">
        <f aca="false">H85-P85</f>
        <v>1.23808344577731</v>
      </c>
      <c r="R85" s="890" t="n">
        <f aca="false">(Q85*24*365)*$V$18</f>
        <v>1400.1683781647</v>
      </c>
    </row>
    <row r="86" customFormat="false" ht="10.15" hidden="false" customHeight="false" outlineLevel="0" collapsed="false">
      <c r="A86" s="595" t="e">
        <f aca="false">'plant loading'!#ref!</f>
        <v>#VALUE!</v>
      </c>
      <c r="B86" s="595" t="e">
        <f aca="false">'plant loading'!#ref!</f>
        <v>#VALUE!</v>
      </c>
      <c r="C86" s="595" t="e">
        <f aca="false">'plant loading'!#ref!</f>
        <v>#VALUE!</v>
      </c>
      <c r="D86" s="450" t="e">
        <f aca="false">'plant loading'!#ref!</f>
        <v>#VALUE!</v>
      </c>
      <c r="E86" s="595" t="e">
        <f aca="false">C86/D86</f>
        <v>#VALUE!</v>
      </c>
      <c r="F86" s="595" t="e">
        <f aca="false">E86*54.5</f>
        <v>#VALUE!</v>
      </c>
      <c r="G86" s="610" t="e">
        <f aca="false">CHOOSE(MATCH(F86,W$3:W$14,1),X$3,X$4,X$5,X$6,X$7,X$8,X$9,X$10,X$11,X$12,X$13,X$14)</f>
        <v>#VALUE!</v>
      </c>
      <c r="H86" s="0" t="e">
        <f aca="false">((($D86*$E86)*54.5)*(1+(1-(G86/100)))/1000)</f>
        <v>#VALUE!</v>
      </c>
      <c r="I86" s="884" t="e">
        <f aca="false">((($D86*$E86)*54.5)*(1+(1-0.92))/1000)</f>
        <v>#VALUE!</v>
      </c>
      <c r="J86" s="884" t="e">
        <f aca="false">H86-I86</f>
        <v>#VALUE!</v>
      </c>
      <c r="K86" s="885" t="e">
        <f aca="false">(J86*24*365)*$V$18</f>
        <v>#VALUE!</v>
      </c>
      <c r="L86" s="691"/>
      <c r="M86" s="691"/>
      <c r="N86" s="691"/>
      <c r="O86" s="691"/>
      <c r="P86" s="889" t="e">
        <f aca="false">((($D86*$E86)*54.5)*(1+(1-0.97))/1000)</f>
        <v>#VALUE!</v>
      </c>
      <c r="Q86" s="889" t="e">
        <f aca="false">H86-P86</f>
        <v>#VALUE!</v>
      </c>
      <c r="R86" s="890" t="e">
        <f aca="false">(Q86*24*365)*$V$18</f>
        <v>#VALUE!</v>
      </c>
    </row>
    <row r="87" customFormat="false" ht="10.15" hidden="false" customHeight="false" outlineLevel="0" collapsed="false">
      <c r="A87" s="595"/>
      <c r="H87" s="0" t="e">
        <f aca="false">SUM(H2:H86)</f>
        <v>#VALUE!</v>
      </c>
      <c r="I87" s="884" t="e">
        <f aca="false">SUM(I2:I86)</f>
        <v>#VALUE!</v>
      </c>
      <c r="J87" s="884" t="e">
        <f aca="false">SUM(J2:J86)</f>
        <v>#VALUE!</v>
      </c>
      <c r="K87" s="908" t="e">
        <f aca="false">SUM(K2:K86)</f>
        <v>#VALUE!</v>
      </c>
      <c r="L87" s="897"/>
      <c r="M87" s="897"/>
      <c r="N87" s="897"/>
      <c r="O87" s="897"/>
      <c r="P87" s="897"/>
      <c r="Q87" s="897"/>
    </row>
    <row r="88" customFormat="false" ht="10.15" hidden="false" customHeight="false" outlineLevel="0" collapsed="false">
      <c r="H88" s="691" t="e">
        <f aca="false">(H87*24*365)*0.09</f>
        <v>#VALUE!</v>
      </c>
      <c r="I88" s="691" t="e">
        <f aca="false">(I87*24*365)*0.09</f>
        <v>#VALUE!</v>
      </c>
      <c r="K88" s="838" t="e">
        <f aca="false">K87/H88</f>
        <v>#VALUE!</v>
      </c>
      <c r="L88" s="838"/>
      <c r="M88" s="838"/>
      <c r="N88" s="838"/>
      <c r="O88" s="838"/>
      <c r="P88" s="838"/>
      <c r="Q88" s="838"/>
    </row>
    <row r="94" customFormat="false" ht="40.9" hidden="false" customHeight="false" outlineLevel="0" collapsed="false">
      <c r="B94" s="617" t="s">
        <v>592</v>
      </c>
      <c r="C94" s="617" t="s">
        <v>1494</v>
      </c>
      <c r="D94" s="617" t="s">
        <v>1495</v>
      </c>
      <c r="E94" s="617" t="s">
        <v>1496</v>
      </c>
      <c r="F94" s="617" t="s">
        <v>1497</v>
      </c>
      <c r="G94" s="880" t="s">
        <v>1498</v>
      </c>
      <c r="H94" s="617" t="s">
        <v>1499</v>
      </c>
      <c r="I94" s="881" t="s">
        <v>1526</v>
      </c>
      <c r="J94" s="881" t="s">
        <v>1527</v>
      </c>
      <c r="K94" s="881" t="s">
        <v>1528</v>
      </c>
    </row>
    <row r="95" customFormat="false" ht="10.15" hidden="false" customHeight="false" outlineLevel="0" collapsed="false">
      <c r="A95" s="595" t="str">
        <f aca="false">'Plant loading'!A9</f>
        <v>Basingstoke</v>
      </c>
      <c r="B95" s="595" t="str">
        <f aca="false">'Plant loading'!B9</f>
        <v>PEABE</v>
      </c>
      <c r="C95" s="595" t="n">
        <f aca="false">'Plant loading'!E9</f>
        <v>759</v>
      </c>
      <c r="D95" s="450" t="n">
        <f aca="false">'Plant loading'!H9</f>
        <v>36</v>
      </c>
      <c r="E95" s="595" t="n">
        <f aca="false">C95/D95</f>
        <v>21.0833333333333</v>
      </c>
      <c r="F95" s="595" t="n">
        <f aca="false">E95*54.5</f>
        <v>1149.04166666667</v>
      </c>
      <c r="G95" s="610" t="n">
        <f aca="false">CHOOSE(MATCH(F95,N$96:N$107,1),O96,O$97,O$98,O$99,O$100,O$101,O$102,O$103,O$104,O$105,O$106,O$107)</f>
        <v>96</v>
      </c>
      <c r="H95" s="0" t="n">
        <f aca="false">((($D95*$E95)*54.5)*(1+(1-(G95/100)))/1000)</f>
        <v>43.02012</v>
      </c>
      <c r="I95" s="0" t="n">
        <f aca="false">((($D95*$E95)*54.5)*(1+(1-0.97))/1000)</f>
        <v>42.606465</v>
      </c>
      <c r="J95" s="0" t="n">
        <f aca="false">H95-I95</f>
        <v>0.413654999999999</v>
      </c>
      <c r="K95" s="691" t="n">
        <f aca="false">(J95*24*365)*$V$18</f>
        <v>467.809057979998</v>
      </c>
      <c r="L95" s="691"/>
      <c r="M95" s="609" t="s">
        <v>1511</v>
      </c>
      <c r="N95" s="609" t="s">
        <v>1529</v>
      </c>
      <c r="O95" s="609" t="s">
        <v>1530</v>
      </c>
      <c r="P95" s="691"/>
      <c r="Q95" s="691"/>
    </row>
    <row r="96" customFormat="false" ht="10.15" hidden="false" customHeight="false" outlineLevel="0" collapsed="false">
      <c r="A96" s="595" t="str">
        <f aca="false">'Plant loading'!A10</f>
        <v>Basingstoke</v>
      </c>
      <c r="B96" s="595" t="str">
        <f aca="false">'Plant loading'!B10</f>
        <v>PEBBE</v>
      </c>
      <c r="C96" s="595" t="n">
        <f aca="false">'Plant loading'!E10</f>
        <v>902</v>
      </c>
      <c r="D96" s="450" t="n">
        <f aca="false">'Plant loading'!H10</f>
        <v>36</v>
      </c>
      <c r="E96" s="595" t="n">
        <f aca="false">C96/D96</f>
        <v>25.0555555555556</v>
      </c>
      <c r="F96" s="595" t="n">
        <f aca="false">E96*54.5</f>
        <v>1365.52777777778</v>
      </c>
      <c r="G96" s="610" t="n">
        <f aca="false">CHOOSE(MATCH(F96,N$96:N$107,1),O97,O$97,O$98,O$99,O$100,O$101,O$102,O$103,O$104,O$105,O$106,O$107)</f>
        <v>96</v>
      </c>
      <c r="H96" s="0" t="n">
        <f aca="false">((($D96*$E96)*54.5)*(1+(1-(G96/100)))/1000)</f>
        <v>51.12536</v>
      </c>
      <c r="I96" s="0" t="n">
        <f aca="false">((($D96*$E96)*54.5)*(1+(1-0.97))/1000)</f>
        <v>50.63377</v>
      </c>
      <c r="J96" s="0" t="n">
        <f aca="false">H96-I96</f>
        <v>0.491589999999995</v>
      </c>
      <c r="K96" s="691" t="n">
        <f aca="false">(J96*24*365)*$V$18</f>
        <v>555.946996439995</v>
      </c>
      <c r="L96" s="691"/>
      <c r="M96" s="595" t="n">
        <f aca="false">64*0.1</f>
        <v>6.4</v>
      </c>
      <c r="N96" s="449" t="n">
        <f aca="false">M96*54.4</f>
        <v>348.16</v>
      </c>
      <c r="O96" s="595" t="n">
        <v>91</v>
      </c>
      <c r="P96" s="691"/>
      <c r="Q96" s="691"/>
    </row>
    <row r="97" customFormat="false" ht="10.15" hidden="false" customHeight="false" outlineLevel="0" collapsed="false">
      <c r="A97" s="595" t="str">
        <f aca="false">'Plant loading'!A11</f>
        <v>Basingstoke</v>
      </c>
      <c r="B97" s="595" t="str">
        <f aca="false">'Plant loading'!B11</f>
        <v>PECBE</v>
      </c>
      <c r="C97" s="595" t="n">
        <f aca="false">'Plant loading'!E11</f>
        <v>849</v>
      </c>
      <c r="D97" s="450" t="n">
        <f aca="false">'Plant loading'!H11</f>
        <v>36</v>
      </c>
      <c r="E97" s="595" t="n">
        <f aca="false">C97/D97</f>
        <v>23.5833333333333</v>
      </c>
      <c r="F97" s="595" t="n">
        <f aca="false">E97*54.5</f>
        <v>1285.29166666667</v>
      </c>
      <c r="G97" s="610" t="n">
        <f aca="false">CHOOSE(MATCH(F97,N$96:N$107,1),O$96,O$97,O$98,O$99,O$100,O$101,O$102,O$103,O$104,O$105,O$106,O$107)</f>
        <v>96</v>
      </c>
      <c r="H97" s="0" t="n">
        <f aca="false">((($D97*$E97)*54.5)*(1+(1-(G97/100)))/1000)</f>
        <v>48.12132</v>
      </c>
      <c r="I97" s="0" t="n">
        <f aca="false">((($D97*$E97)*54.5)*(1+(1-0.97))/1000)</f>
        <v>47.658615</v>
      </c>
      <c r="J97" s="0" t="n">
        <f aca="false">H97-I97</f>
        <v>0.462705</v>
      </c>
      <c r="K97" s="691" t="n">
        <f aca="false">(J97*24*365)*$V$18</f>
        <v>523.28048778</v>
      </c>
      <c r="L97" s="691"/>
      <c r="M97" s="595" t="n">
        <f aca="false">64*0.15</f>
        <v>9.6</v>
      </c>
      <c r="N97" s="449" t="n">
        <f aca="false">M97*54.4</f>
        <v>522.24</v>
      </c>
      <c r="O97" s="595" t="n">
        <v>93</v>
      </c>
    </row>
    <row r="98" customFormat="false" ht="10.15" hidden="false" customHeight="false" outlineLevel="0" collapsed="false">
      <c r="A98" s="595" t="str">
        <f aca="false">'Plant loading'!A12</f>
        <v>Basingstoke</v>
      </c>
      <c r="B98" s="595" t="str">
        <f aca="false">'Plant loading'!B12</f>
        <v>PEEBE</v>
      </c>
      <c r="C98" s="595" t="n">
        <f aca="false">'Plant loading'!E12</f>
        <v>895</v>
      </c>
      <c r="D98" s="450" t="n">
        <f aca="false">'Plant loading'!H12</f>
        <v>36</v>
      </c>
      <c r="E98" s="595" t="n">
        <f aca="false">C98/D98</f>
        <v>24.8611111111111</v>
      </c>
      <c r="F98" s="595" t="n">
        <f aca="false">E98*54.5</f>
        <v>1354.93055555556</v>
      </c>
      <c r="G98" s="610" t="n">
        <f aca="false">CHOOSE(MATCH(F98,N$96:N$107,1),O99,O$97,O$98,O$99,O$100,O$101,O$102,O$103,O$104,O$105,O$106,O$107)</f>
        <v>96</v>
      </c>
      <c r="H98" s="0" t="n">
        <f aca="false">((($D98*$E98)*54.5)*(1+(1-(G98/100)))/1000)</f>
        <v>50.7286</v>
      </c>
      <c r="I98" s="0" t="n">
        <f aca="false">((($D98*$E98)*54.5)*(1+(1-0.97))/1000)</f>
        <v>50.240825</v>
      </c>
      <c r="J98" s="0" t="n">
        <f aca="false">H98-I98</f>
        <v>0.487774999999999</v>
      </c>
      <c r="K98" s="691" t="n">
        <f aca="false">(J98*24*365)*$V$18</f>
        <v>551.632551899999</v>
      </c>
      <c r="L98" s="691"/>
      <c r="M98" s="595" t="n">
        <f aca="false">64*0.2</f>
        <v>12.8</v>
      </c>
      <c r="N98" s="449" t="n">
        <f aca="false">M98*54.4</f>
        <v>696.32</v>
      </c>
      <c r="O98" s="595" t="n">
        <v>95</v>
      </c>
    </row>
    <row r="99" customFormat="false" ht="10.15" hidden="false" customHeight="false" outlineLevel="0" collapsed="false">
      <c r="A99" s="595" t="str">
        <f aca="false">'Plant loading'!A13</f>
        <v>Basingstoke</v>
      </c>
      <c r="B99" s="595" t="str">
        <f aca="false">'Plant loading'!B13</f>
        <v>PEFBE</v>
      </c>
      <c r="C99" s="595" t="n">
        <f aca="false">'Plant loading'!E13</f>
        <v>856</v>
      </c>
      <c r="D99" s="450" t="n">
        <f aca="false">'Plant loading'!H13</f>
        <v>36</v>
      </c>
      <c r="E99" s="595" t="n">
        <f aca="false">C99/D99</f>
        <v>23.7777777777778</v>
      </c>
      <c r="F99" s="595" t="n">
        <f aca="false">E99*54.5</f>
        <v>1295.88888888889</v>
      </c>
      <c r="G99" s="610" t="n">
        <f aca="false">CHOOSE(MATCH(F99,N$96:N$107,1),O100,O$97,O$98,O$99,O$100,O$101,O$102,O$103,O$104,O$105,O$106,O$107)</f>
        <v>96</v>
      </c>
      <c r="H99" s="0" t="n">
        <f aca="false">((($D99*$E99)*54.5)*(1+(1-(G99/100)))/1000)</f>
        <v>48.51808</v>
      </c>
      <c r="I99" s="0" t="n">
        <f aca="false">((($D99*$E99)*54.5)*(1+(1-0.97))/1000)</f>
        <v>48.05156</v>
      </c>
      <c r="J99" s="0" t="n">
        <f aca="false">H99-I99</f>
        <v>0.46652000000001</v>
      </c>
      <c r="K99" s="691" t="n">
        <f aca="false">(J99*24*365)*$V$18</f>
        <v>527.594932320011</v>
      </c>
      <c r="L99" s="691"/>
      <c r="M99" s="595" t="n">
        <f aca="false">64*0.25</f>
        <v>16</v>
      </c>
      <c r="N99" s="449" t="n">
        <f aca="false">M99*54.4</f>
        <v>870.4</v>
      </c>
      <c r="O99" s="595" t="n">
        <v>95.5</v>
      </c>
    </row>
    <row r="100" customFormat="false" ht="10.15" hidden="false" customHeight="false" outlineLevel="0" collapsed="false">
      <c r="A100" s="595" t="str">
        <f aca="false">'Plant loading'!A14</f>
        <v>Basingstoke</v>
      </c>
      <c r="B100" s="595" t="str">
        <f aca="false">'Plant loading'!B14</f>
        <v>PEGBE</v>
      </c>
      <c r="C100" s="595" t="n">
        <f aca="false">'Plant loading'!E14</f>
        <v>935</v>
      </c>
      <c r="D100" s="450" t="n">
        <f aca="false">'Plant loading'!H14</f>
        <v>36</v>
      </c>
      <c r="E100" s="595" t="n">
        <f aca="false">C100/D100</f>
        <v>25.9722222222222</v>
      </c>
      <c r="F100" s="595" t="n">
        <f aca="false">E100*54.5</f>
        <v>1415.48611111111</v>
      </c>
      <c r="G100" s="610" t="n">
        <f aca="false">CHOOSE(MATCH(F100,N$96:N$107,1),O101,O$97,O$98,O$99,O$100,O$101,O$102,O$103,O$104,O$105,O$106,O$107)</f>
        <v>97</v>
      </c>
      <c r="H100" s="0" t="n">
        <f aca="false">((($D100*$E100)*54.5)*(1+(1-(G100/100)))/1000)</f>
        <v>52.486225</v>
      </c>
      <c r="I100" s="0" t="n">
        <f aca="false">((($D100*$E100)*54.5)*(1+(1-0.97))/1000)</f>
        <v>52.486225</v>
      </c>
      <c r="J100" s="0" t="n">
        <f aca="false">H100-I100</f>
        <v>0</v>
      </c>
      <c r="K100" s="691" t="n">
        <f aca="false">(J100*24*365)*$V$18</f>
        <v>0</v>
      </c>
      <c r="L100" s="691"/>
      <c r="M100" s="595" t="n">
        <f aca="false">64*0.3</f>
        <v>19.2</v>
      </c>
      <c r="N100" s="449" t="n">
        <f aca="false">M100*54.4</f>
        <v>1044.48</v>
      </c>
      <c r="O100" s="595" t="n">
        <v>96</v>
      </c>
    </row>
    <row r="101" customFormat="false" ht="10.15" hidden="false" customHeight="false" outlineLevel="0" collapsed="false">
      <c r="A101" s="595" t="str">
        <f aca="false">'Plant loading'!A15</f>
        <v>Basingstoke</v>
      </c>
      <c r="B101" s="595" t="str">
        <f aca="false">'Plant loading'!B15</f>
        <v>PEHBE</v>
      </c>
      <c r="C101" s="595" t="n">
        <f aca="false">'Plant loading'!E15</f>
        <v>886</v>
      </c>
      <c r="D101" s="450" t="n">
        <f aca="false">'Plant loading'!H15</f>
        <v>36</v>
      </c>
      <c r="E101" s="595" t="n">
        <f aca="false">C101/D101</f>
        <v>24.6111111111111</v>
      </c>
      <c r="F101" s="595" t="n">
        <f aca="false">E101*54.5</f>
        <v>1341.30555555556</v>
      </c>
      <c r="G101" s="610" t="n">
        <f aca="false">CHOOSE(MATCH(F101,N$96:N$107,1),O102,O$97,O$98,O$99,O$100,O$101,O$102,O$103,O$104,O$105,O$106,O$107)</f>
        <v>96</v>
      </c>
      <c r="H101" s="0" t="n">
        <f aca="false">((($D101*$E101)*54.5)*(1+(1-(G101/100)))/1000)</f>
        <v>50.21848</v>
      </c>
      <c r="I101" s="0" t="n">
        <f aca="false">((($D101*$E101)*54.5)*(1+(1-0.97))/1000)</f>
        <v>49.73561</v>
      </c>
      <c r="J101" s="0" t="n">
        <f aca="false">H101-I101</f>
        <v>0.482870000000005</v>
      </c>
      <c r="K101" s="691" t="n">
        <f aca="false">(J101*24*365)*$V$18</f>
        <v>546.085408920006</v>
      </c>
      <c r="L101" s="691"/>
      <c r="M101" s="595" t="n">
        <f aca="false">64*0.4</f>
        <v>25.6</v>
      </c>
      <c r="N101" s="449" t="n">
        <f aca="false">M101*54.4</f>
        <v>1392.64</v>
      </c>
      <c r="O101" s="595" t="n">
        <v>97</v>
      </c>
    </row>
    <row r="102" customFormat="false" ht="10.15" hidden="false" customHeight="false" outlineLevel="0" collapsed="false">
      <c r="A102" s="595" t="str">
        <f aca="false">'Plant loading'!A16</f>
        <v>Basingstoke</v>
      </c>
      <c r="B102" s="595" t="str">
        <f aca="false">'Plant loading'!B16</f>
        <v>PEIBE</v>
      </c>
      <c r="C102" s="595" t="n">
        <f aca="false">'Plant loading'!E16</f>
        <v>934</v>
      </c>
      <c r="D102" s="450" t="n">
        <f aca="false">'Plant loading'!H16</f>
        <v>36</v>
      </c>
      <c r="E102" s="595" t="n">
        <f aca="false">C102/D102</f>
        <v>25.9444444444444</v>
      </c>
      <c r="F102" s="595" t="n">
        <f aca="false">E102*54.5</f>
        <v>1413.97222222222</v>
      </c>
      <c r="G102" s="610" t="n">
        <f aca="false">CHOOSE(MATCH(F102,N$96:N$107,1),O103,O$97,O$98,O$99,O$100,O$101,O$102,O$103,O$104,O$105,O$106,O$107)</f>
        <v>97</v>
      </c>
      <c r="H102" s="0" t="n">
        <f aca="false">((($D102*$E102)*54.5)*(1+(1-(G102/100)))/1000)</f>
        <v>52.43009</v>
      </c>
      <c r="I102" s="0" t="n">
        <f aca="false">((($D102*$E102)*54.5)*(1+(1-0.97))/1000)</f>
        <v>52.43009</v>
      </c>
      <c r="J102" s="0" t="n">
        <f aca="false">H102-I102</f>
        <v>0</v>
      </c>
      <c r="K102" s="691" t="n">
        <f aca="false">(J102*24*365)*$V$18</f>
        <v>0</v>
      </c>
      <c r="L102" s="691"/>
      <c r="M102" s="595" t="n">
        <f aca="false">64*0.5</f>
        <v>32</v>
      </c>
      <c r="N102" s="449" t="n">
        <f aca="false">M102*54.4</f>
        <v>1740.8</v>
      </c>
      <c r="O102" s="595" t="n">
        <v>97</v>
      </c>
    </row>
    <row r="103" customFormat="false" ht="10.15" hidden="false" customHeight="false" outlineLevel="0" collapsed="false">
      <c r="A103" s="595" t="str">
        <f aca="false">'Plant loading'!A39</f>
        <v>Gravelly Hill</v>
      </c>
      <c r="B103" s="595" t="str">
        <f aca="false">'Plant loading'!B39</f>
        <v>BMGMTX-DCSYS01</v>
      </c>
      <c r="C103" s="595" t="n">
        <f aca="false">'Plant loading'!E39</f>
        <v>663</v>
      </c>
      <c r="D103" s="450" t="n">
        <f aca="false">'Plant loading'!H39</f>
        <v>44</v>
      </c>
      <c r="E103" s="595" t="n">
        <f aca="false">C103/D103</f>
        <v>15.0681818181818</v>
      </c>
      <c r="F103" s="595" t="n">
        <f aca="false">E103*54.5</f>
        <v>821.215909090909</v>
      </c>
      <c r="G103" s="610" t="n">
        <f aca="false">CHOOSE(MATCH(F103,N$96:N$107,1),O104,O$97,O$98,O$99,O$100,O$101,O$102,O$103,O$104,O$105,O$106,O$107)</f>
        <v>95</v>
      </c>
      <c r="H103" s="0" t="n">
        <f aca="false">((($D103*$E103)*54.5)*(1+(1-(G103/100)))/1000)</f>
        <v>37.940175</v>
      </c>
      <c r="I103" s="0" t="n">
        <f aca="false">((($D103*$E103)*54.5)*(1+(1-0.97))/1000)</f>
        <v>37.217505</v>
      </c>
      <c r="J103" s="0" t="n">
        <f aca="false">H103-I103</f>
        <v>0.722670000000008</v>
      </c>
      <c r="K103" s="691" t="n">
        <f aca="false">(J103*24*365)*$V$18</f>
        <v>817.279065720009</v>
      </c>
      <c r="L103" s="691"/>
      <c r="M103" s="595" t="n">
        <f aca="false">64*0.6</f>
        <v>38.4</v>
      </c>
      <c r="N103" s="449" t="n">
        <f aca="false">M103*54.4</f>
        <v>2088.96</v>
      </c>
      <c r="O103" s="595" t="n">
        <v>97</v>
      </c>
    </row>
    <row r="104" customFormat="false" ht="10.15" hidden="false" customHeight="false" outlineLevel="0" collapsed="false">
      <c r="A104" s="595" t="str">
        <f aca="false">'Plant loading'!A40</f>
        <v>Gravelly Hill</v>
      </c>
      <c r="B104" s="595" t="str">
        <f aca="false">'Plant loading'!B40</f>
        <v>BMGMTX-DCSYS02</v>
      </c>
      <c r="C104" s="595" t="n">
        <f aca="false">'Plant loading'!E40</f>
        <v>704</v>
      </c>
      <c r="D104" s="450" t="n">
        <f aca="false">'Plant loading'!H40</f>
        <v>44</v>
      </c>
      <c r="E104" s="595" t="n">
        <f aca="false">C104/D104</f>
        <v>16</v>
      </c>
      <c r="F104" s="595" t="n">
        <f aca="false">E104*54.5</f>
        <v>872</v>
      </c>
      <c r="G104" s="610" t="n">
        <f aca="false">CHOOSE(MATCH(F104,N$96:N$107,1),O105,O$97,O$98,O$99,O$100,O$101,O$102,O$103,O$104,O$105,O$106,O$107)</f>
        <v>95.5</v>
      </c>
      <c r="H104" s="0" t="n">
        <f aca="false">((($D104*$E104)*54.5)*(1+(1-(G104/100)))/1000)</f>
        <v>40.09456</v>
      </c>
      <c r="I104" s="0" t="n">
        <f aca="false">((($D104*$E104)*54.5)*(1+(1-0.97))/1000)</f>
        <v>39.51904</v>
      </c>
      <c r="J104" s="0" t="n">
        <f aca="false">H104-I104</f>
        <v>0.57551999999999</v>
      </c>
      <c r="K104" s="691" t="n">
        <f aca="false">(J104*24*365)*$V$18</f>
        <v>650.864776319989</v>
      </c>
      <c r="L104" s="691"/>
      <c r="M104" s="595" t="n">
        <f aca="false">64*0.7</f>
        <v>44.8</v>
      </c>
      <c r="N104" s="449" t="n">
        <f aca="false">M104*54.4</f>
        <v>2437.12</v>
      </c>
      <c r="O104" s="595" t="n">
        <v>96.2</v>
      </c>
    </row>
    <row r="105" customFormat="false" ht="10.15" hidden="false" customHeight="false" outlineLevel="0" collapsed="false">
      <c r="A105" s="595" t="str">
        <f aca="false">'Plant loading'!A41</f>
        <v>Gravelly Hill</v>
      </c>
      <c r="B105" s="595" t="str">
        <f aca="false">'Plant loading'!B41</f>
        <v>BMGMTX-DCSYS03</v>
      </c>
      <c r="C105" s="595" t="n">
        <f aca="false">'Plant loading'!E41</f>
        <v>751</v>
      </c>
      <c r="D105" s="450" t="n">
        <f aca="false">'Plant loading'!H41</f>
        <v>44</v>
      </c>
      <c r="E105" s="595" t="n">
        <f aca="false">C105/D105</f>
        <v>17.0681818181818</v>
      </c>
      <c r="F105" s="595" t="n">
        <f aca="false">E105*54.5</f>
        <v>930.215909090909</v>
      </c>
      <c r="G105" s="610" t="n">
        <f aca="false">CHOOSE(MATCH(F105,N$96:N$107,1),O106,O$97,O$98,O$99,O$100,O$101,O$102,O$103,O$104,O$105,O$106,O$107)</f>
        <v>95.5</v>
      </c>
      <c r="H105" s="0" t="n">
        <f aca="false">((($D105*$E105)*54.5)*(1+(1-(G105/100)))/1000)</f>
        <v>42.7713275</v>
      </c>
      <c r="I105" s="0" t="n">
        <f aca="false">((($D105*$E105)*54.5)*(1+(1-0.97))/1000)</f>
        <v>42.157385</v>
      </c>
      <c r="J105" s="0" t="n">
        <f aca="false">H105-I105</f>
        <v>0.613942499999993</v>
      </c>
      <c r="K105" s="691" t="n">
        <f aca="false">(J105*24*365)*$V$18</f>
        <v>694.317396329992</v>
      </c>
      <c r="L105" s="691"/>
      <c r="M105" s="595" t="n">
        <f aca="false">64*0.8</f>
        <v>51.2</v>
      </c>
      <c r="N105" s="449" t="n">
        <f aca="false">M105*54.4</f>
        <v>2785.28</v>
      </c>
      <c r="O105" s="595" t="n">
        <v>96</v>
      </c>
    </row>
    <row r="106" customFormat="false" ht="10.15" hidden="false" customHeight="false" outlineLevel="0" collapsed="false">
      <c r="A106" s="595" t="str">
        <f aca="false">'Plant loading'!A42</f>
        <v>Gravelly Hill</v>
      </c>
      <c r="B106" s="595" t="str">
        <f aca="false">'Plant loading'!B42</f>
        <v>BMGMTX-DCSYS04</v>
      </c>
      <c r="C106" s="595" t="n">
        <f aca="false">'Plant loading'!E42</f>
        <v>740</v>
      </c>
      <c r="D106" s="450" t="n">
        <f aca="false">'Plant loading'!H42</f>
        <v>44</v>
      </c>
      <c r="E106" s="595" t="n">
        <f aca="false">C106/D106</f>
        <v>16.8181818181818</v>
      </c>
      <c r="F106" s="595" t="n">
        <f aca="false">E106*54.5</f>
        <v>916.590909090909</v>
      </c>
      <c r="G106" s="610" t="n">
        <f aca="false">CHOOSE(MATCH(F106,N$96:N$107,1),O107,O$97,O$98,O$99,O$100,O$101,O$102,O$103,O$104,O$105,O$106,O$107)</f>
        <v>95.5</v>
      </c>
      <c r="H106" s="0" t="n">
        <f aca="false">((($D106*$E106)*54.5)*(1+(1-(G106/100)))/1000)</f>
        <v>42.14485</v>
      </c>
      <c r="I106" s="0" t="n">
        <f aca="false">((($D106*$E106)*54.5)*(1+(1-0.97))/1000)</f>
        <v>41.5399</v>
      </c>
      <c r="J106" s="0" t="n">
        <f aca="false">H106-I106</f>
        <v>0.604949999999995</v>
      </c>
      <c r="K106" s="691" t="n">
        <f aca="false">(J106*24*365)*$V$18</f>
        <v>684.147634199995</v>
      </c>
      <c r="L106" s="691"/>
      <c r="M106" s="595" t="n">
        <f aca="false">64*0.9</f>
        <v>57.6</v>
      </c>
      <c r="N106" s="449" t="n">
        <f aca="false">M106*54.4</f>
        <v>3133.44</v>
      </c>
      <c r="O106" s="595" t="n">
        <v>95.5</v>
      </c>
    </row>
    <row r="107" customFormat="false" ht="10.15" hidden="false" customHeight="false" outlineLevel="0" collapsed="false">
      <c r="A107" s="595" t="str">
        <f aca="false">'Plant loading'!A43</f>
        <v>Gravelly Hill</v>
      </c>
      <c r="B107" s="595" t="str">
        <f aca="false">'Plant loading'!B43</f>
        <v>BMGMTX-DCSYS05</v>
      </c>
      <c r="C107" s="595" t="n">
        <f aca="false">'Plant loading'!E43</f>
        <v>774</v>
      </c>
      <c r="D107" s="450" t="n">
        <f aca="false">'Plant loading'!H43</f>
        <v>44</v>
      </c>
      <c r="E107" s="595" t="n">
        <f aca="false">C107/D107</f>
        <v>17.5909090909091</v>
      </c>
      <c r="F107" s="595" t="n">
        <f aca="false">E107*54.5</f>
        <v>958.704545454545</v>
      </c>
      <c r="G107" s="610" t="n">
        <f aca="false">CHOOSE(MATCH(F107,N$96:N$107,1),X108,O$97,O$98,O$99,O$100,O$101,O$102,O$103,O$104,O$105,O$106,O$107)</f>
        <v>95.5</v>
      </c>
      <c r="H107" s="0" t="n">
        <f aca="false">((($D107*$E107)*54.5)*(1+(1-(G107/100)))/1000)</f>
        <v>44.081235</v>
      </c>
      <c r="I107" s="0" t="n">
        <f aca="false">((($D107*$E107)*54.5)*(1+(1-0.97))/1000)</f>
        <v>43.44849</v>
      </c>
      <c r="J107" s="0" t="n">
        <f aca="false">H107-I107</f>
        <v>0.632745</v>
      </c>
      <c r="K107" s="691" t="n">
        <f aca="false">(J107*24*365)*$V$18</f>
        <v>715.58144442</v>
      </c>
      <c r="L107" s="691"/>
      <c r="M107" s="595" t="n">
        <f aca="false">64*1</f>
        <v>64</v>
      </c>
      <c r="N107" s="449" t="n">
        <f aca="false">M107*54.4</f>
        <v>3481.6</v>
      </c>
      <c r="O107" s="595" t="n">
        <v>95</v>
      </c>
    </row>
    <row r="108" customFormat="false" ht="10.15" hidden="false" customHeight="false" outlineLevel="0" collapsed="false">
      <c r="A108" s="595" t="str">
        <f aca="false">'Plant loading'!A44</f>
        <v>Gravelly Hill</v>
      </c>
      <c r="B108" s="595" t="str">
        <f aca="false">'Plant loading'!B44</f>
        <v>BMGMTX-DCSYS06</v>
      </c>
      <c r="C108" s="595" t="n">
        <f aca="false">'Plant loading'!E44</f>
        <v>790</v>
      </c>
      <c r="D108" s="450" t="n">
        <f aca="false">'Plant loading'!H44</f>
        <v>44</v>
      </c>
      <c r="E108" s="595" t="n">
        <f aca="false">C108/D108</f>
        <v>17.9545454545455</v>
      </c>
      <c r="F108" s="595" t="n">
        <f aca="false">E108*54.5</f>
        <v>978.522727272727</v>
      </c>
      <c r="G108" s="610" t="n">
        <f aca="false">CHOOSE(MATCH(F108,N$96:N$107,1),X109,O$97,O$98,O$99,O$100,O$101,O$102,O$103,O$104,O$105,O$106,O$107)</f>
        <v>95.5</v>
      </c>
      <c r="H108" s="0" t="n">
        <f aca="false">((($D108*$E108)*54.5)*(1+(1-(G108/100)))/1000)</f>
        <v>44.992475</v>
      </c>
      <c r="I108" s="0" t="n">
        <f aca="false">((($D108*$E108)*54.5)*(1+(1-0.97))/1000)</f>
        <v>44.34665</v>
      </c>
      <c r="J108" s="0" t="n">
        <f aca="false">H108-I108</f>
        <v>0.645824999999995</v>
      </c>
      <c r="K108" s="691" t="n">
        <f aca="false">(J108*24*365)*$V$18</f>
        <v>730.373825699994</v>
      </c>
      <c r="L108" s="691"/>
      <c r="M108" s="691"/>
      <c r="N108" s="691"/>
      <c r="O108" s="691"/>
    </row>
    <row r="109" customFormat="false" ht="10.15" hidden="false" customHeight="false" outlineLevel="0" collapsed="false">
      <c r="A109" s="595" t="str">
        <f aca="false">'Plant loading'!A56</f>
        <v>Leyland</v>
      </c>
      <c r="B109" s="595" t="str">
        <f aca="false">'Plant loading'!B56</f>
        <v>LLDMTX-DCSYS01</v>
      </c>
      <c r="C109" s="595" t="n">
        <f aca="false">'Plant loading'!E56</f>
        <v>863</v>
      </c>
      <c r="D109" s="450" t="n">
        <f aca="false">'Plant loading'!H56</f>
        <v>44</v>
      </c>
      <c r="E109" s="595" t="n">
        <f aca="false">C109/D109</f>
        <v>19.6136363636364</v>
      </c>
      <c r="F109" s="595" t="n">
        <f aca="false">E109*54.5</f>
        <v>1068.94318181818</v>
      </c>
      <c r="G109" s="610" t="n">
        <f aca="false">CHOOSE(MATCH(F109,N$96:N$107,1),X110,O$97,O$98,O$99,O$100,O$101,O$102,O$103,O$104,O$105,O$106,O$107)</f>
        <v>96</v>
      </c>
      <c r="H109" s="0" t="n">
        <f aca="false">((($D109*$E109)*54.5)*(1+(1-(G109/100)))/1000)</f>
        <v>48.91484</v>
      </c>
      <c r="I109" s="0" t="n">
        <f aca="false">((($D109*$E109)*54.5)*(1+(1-0.97))/1000)</f>
        <v>48.444505</v>
      </c>
      <c r="J109" s="0" t="n">
        <f aca="false">H109-I109</f>
        <v>0.470334999999999</v>
      </c>
      <c r="K109" s="691" t="n">
        <f aca="false">(J109*24*365)*$V$18</f>
        <v>531.909376859999</v>
      </c>
      <c r="L109" s="691"/>
      <c r="M109" s="691"/>
      <c r="N109" s="691"/>
      <c r="O109" s="691"/>
    </row>
    <row r="110" customFormat="false" ht="10.15" hidden="false" customHeight="false" outlineLevel="0" collapsed="false">
      <c r="A110" s="595" t="str">
        <f aca="false">'Plant loading'!A57</f>
        <v>Leyland</v>
      </c>
      <c r="B110" s="595" t="str">
        <f aca="false">'Plant loading'!B57</f>
        <v>LLDMTX-DCSYS02</v>
      </c>
      <c r="C110" s="595" t="n">
        <f aca="false">'Plant loading'!E57</f>
        <v>784</v>
      </c>
      <c r="D110" s="450" t="n">
        <f aca="false">'Plant loading'!H57</f>
        <v>44</v>
      </c>
      <c r="E110" s="595" t="n">
        <f aca="false">C110/D110</f>
        <v>17.8181818181818</v>
      </c>
      <c r="F110" s="595" t="n">
        <f aca="false">E110*54.5</f>
        <v>971.090909090909</v>
      </c>
      <c r="G110" s="610" t="n">
        <f aca="false">CHOOSE(MATCH(F110,N$96:N$107,1),X111,O$97,O$98,O$99,O$100,O$101,O$102,O$103,O$104,O$105,O$106,O$107)</f>
        <v>95.5</v>
      </c>
      <c r="H110" s="0" t="n">
        <f aca="false">((($D110*$E110)*54.5)*(1+(1-(G110/100)))/1000)</f>
        <v>44.65076</v>
      </c>
      <c r="I110" s="0" t="n">
        <f aca="false">((($D110*$E110)*54.5)*(1+(1-0.97))/1000)</f>
        <v>44.00984</v>
      </c>
      <c r="J110" s="0" t="n">
        <f aca="false">H110-I110</f>
        <v>0.640919999999987</v>
      </c>
      <c r="K110" s="691" t="n">
        <f aca="false">(J110*24*365)*$V$18</f>
        <v>724.826682719985</v>
      </c>
      <c r="L110" s="691"/>
      <c r="M110" s="691"/>
      <c r="N110" s="691"/>
      <c r="O110" s="691"/>
    </row>
    <row r="111" customFormat="false" ht="10.15" hidden="true" customHeight="false" outlineLevel="2" collapsed="false">
      <c r="A111" s="595" t="str">
        <f aca="false">'Plant loading'!A58</f>
        <v>Leyland</v>
      </c>
      <c r="B111" s="595" t="str">
        <f aca="false">'Plant loading'!B58</f>
        <v>LLDMTX-DCSYS03</v>
      </c>
      <c r="C111" s="595" t="n">
        <f aca="false">'Plant loading'!E58</f>
        <v>943</v>
      </c>
      <c r="D111" s="450" t="n">
        <f aca="false">'Plant loading'!H58</f>
        <v>44</v>
      </c>
      <c r="E111" s="595" t="n">
        <f aca="false">C111/D111</f>
        <v>21.4318181818182</v>
      </c>
      <c r="F111" s="595" t="n">
        <f aca="false">E111*54.5</f>
        <v>1168.03409090909</v>
      </c>
      <c r="G111" s="610" t="n">
        <f aca="false">CHOOSE(MATCH(F111,N$96:N$107,1),X112,O$97,O$98,O$99,O$100,O$101,O$102,O$103,O$104,O$105,O$106,O$107)</f>
        <v>96</v>
      </c>
      <c r="H111" s="0" t="n">
        <f aca="false">((($D111*$E111)*54.5)*(1+(1-(G111/100)))/1000)</f>
        <v>53.44924</v>
      </c>
      <c r="I111" s="0" t="n">
        <f aca="false">((($D111*$E111)*54.5)*(1+(1-0.97))/1000)</f>
        <v>52.935305</v>
      </c>
      <c r="J111" s="0" t="n">
        <f aca="false">H111-I111</f>
        <v>0.513935000000004</v>
      </c>
      <c r="K111" s="691" t="n">
        <f aca="false">(J111*24*365)*$V$18</f>
        <v>581.217314460004</v>
      </c>
      <c r="L111" s="691"/>
      <c r="M111" s="691"/>
      <c r="N111" s="691"/>
      <c r="O111" s="691"/>
    </row>
    <row r="112" customFormat="false" ht="10.15" hidden="true" customHeight="false" outlineLevel="2" collapsed="false">
      <c r="A112" s="595" t="str">
        <f aca="false">'Plant loading'!A59</f>
        <v>Leyland</v>
      </c>
      <c r="B112" s="595" t="str">
        <f aca="false">'Plant loading'!B59</f>
        <v>LLDMTX-DCSYS04</v>
      </c>
      <c r="C112" s="595" t="n">
        <f aca="false">'Plant loading'!E59</f>
        <v>855</v>
      </c>
      <c r="D112" s="450" t="n">
        <f aca="false">'Plant loading'!H59</f>
        <v>44</v>
      </c>
      <c r="E112" s="595" t="n">
        <f aca="false">C112/D112</f>
        <v>19.4318181818182</v>
      </c>
      <c r="F112" s="595" t="n">
        <f aca="false">E112*54.5</f>
        <v>1059.03409090909</v>
      </c>
      <c r="G112" s="610" t="n">
        <f aca="false">CHOOSE(MATCH(F112,N$96:N$107,1),X113,O$97,O$98,O$99,O$100,O$101,O$102,O$103,O$104,O$105,O$106,O$107)</f>
        <v>96</v>
      </c>
      <c r="H112" s="0" t="n">
        <f aca="false">((($D112*$E112)*54.5)*(1+(1-(G112/100)))/1000)</f>
        <v>48.4614</v>
      </c>
      <c r="I112" s="0" t="n">
        <f aca="false">((($D112*$E112)*54.5)*(1+(1-0.97))/1000)</f>
        <v>47.995425</v>
      </c>
      <c r="J112" s="0" t="n">
        <f aca="false">H112-I112</f>
        <v>0.465975</v>
      </c>
      <c r="K112" s="691" t="n">
        <f aca="false">(J112*24*365)*$V$18</f>
        <v>526.9785831</v>
      </c>
      <c r="L112" s="691"/>
      <c r="M112" s="691"/>
      <c r="N112" s="691"/>
      <c r="O112" s="691"/>
    </row>
    <row r="113" customFormat="false" ht="10.15" hidden="true" customHeight="false" outlineLevel="2" collapsed="false">
      <c r="A113" s="595" t="str">
        <f aca="false">'Plant loading'!A60</f>
        <v>Leyland</v>
      </c>
      <c r="B113" s="595" t="str">
        <f aca="false">'Plant loading'!B60</f>
        <v>LLDMTX-DCSYS05</v>
      </c>
      <c r="C113" s="595" t="n">
        <f aca="false">'Plant loading'!E60</f>
        <v>917</v>
      </c>
      <c r="D113" s="450" t="n">
        <f aca="false">'Plant loading'!H60</f>
        <v>44</v>
      </c>
      <c r="E113" s="595" t="n">
        <f aca="false">C113/D113</f>
        <v>20.8409090909091</v>
      </c>
      <c r="F113" s="595" t="n">
        <f aca="false">E113*54.5</f>
        <v>1135.82954545455</v>
      </c>
      <c r="G113" s="610" t="n">
        <f aca="false">CHOOSE(MATCH(F113,N$96:N$107,1),X114,O$97,O$98,O$99,O$100,O$101,O$102,O$103,O$104,O$105,O$106,O$107)</f>
        <v>96</v>
      </c>
      <c r="H113" s="0" t="n">
        <f aca="false">((($D113*$E113)*54.5)*(1+(1-(G113/100)))/1000)</f>
        <v>51.97556</v>
      </c>
      <c r="I113" s="0" t="n">
        <f aca="false">((($D113*$E113)*54.5)*(1+(1-0.97))/1000)</f>
        <v>51.475795</v>
      </c>
      <c r="J113" s="0" t="n">
        <f aca="false">H113-I113</f>
        <v>0.499765000000004</v>
      </c>
      <c r="K113" s="691" t="n">
        <f aca="false">(J113*24*365)*$V$18</f>
        <v>565.192234740004</v>
      </c>
    </row>
    <row r="114" customFormat="false" ht="10.15" hidden="true" customHeight="false" outlineLevel="2" collapsed="false">
      <c r="A114" s="595" t="str">
        <f aca="false">'Plant loading'!A61</f>
        <v>Leyland</v>
      </c>
      <c r="B114" s="595" t="str">
        <f aca="false">'Plant loading'!B61</f>
        <v>LLDMTX-DCSYS06</v>
      </c>
      <c r="C114" s="595" t="n">
        <f aca="false">'Plant loading'!E61</f>
        <v>890</v>
      </c>
      <c r="D114" s="450" t="n">
        <f aca="false">'Plant loading'!H61</f>
        <v>44</v>
      </c>
      <c r="E114" s="595" t="n">
        <f aca="false">C114/D114</f>
        <v>20.2272727272727</v>
      </c>
      <c r="F114" s="595" t="n">
        <f aca="false">E114*54.5</f>
        <v>1102.38636363636</v>
      </c>
      <c r="G114" s="610" t="n">
        <f aca="false">CHOOSE(MATCH(F114,N$96:N$107,1),X115,O$97,O$98,O$99,O$100,O$101,O$102,O$103,O$104,O$105,O$106,O$107)</f>
        <v>96</v>
      </c>
      <c r="H114" s="0" t="n">
        <f aca="false">((($D114*$E114)*54.5)*(1+(1-(G114/100)))/1000)</f>
        <v>50.4452</v>
      </c>
      <c r="I114" s="0" t="n">
        <f aca="false">((($D114*$E114)*54.5)*(1+(1-0.97))/1000)</f>
        <v>49.96015</v>
      </c>
      <c r="J114" s="0" t="n">
        <f aca="false">H114-I114</f>
        <v>0.485050000000008</v>
      </c>
      <c r="K114" s="691" t="n">
        <f aca="false">(J114*24*365)*$V$18</f>
        <v>548.550805800009</v>
      </c>
    </row>
    <row r="115" customFormat="false" ht="10.15" hidden="true" customHeight="false" outlineLevel="2" collapsed="false">
      <c r="A115" s="595" t="str">
        <f aca="false">'Plant loading'!A64</f>
        <v>Milton Keynes</v>
      </c>
      <c r="B115" s="595" t="str">
        <f aca="false">'Plant loading'!B64</f>
        <v>PEAMS</v>
      </c>
      <c r="C115" s="595" t="n">
        <f aca="false">'Plant loading'!E64</f>
        <v>1109</v>
      </c>
      <c r="D115" s="450" t="n">
        <f aca="false">'Plant loading'!H64</f>
        <v>42</v>
      </c>
      <c r="E115" s="595" t="n">
        <f aca="false">C115/D115</f>
        <v>26.4047619047619</v>
      </c>
      <c r="F115" s="595" t="n">
        <f aca="false">E115*54.5</f>
        <v>1439.05952380952</v>
      </c>
      <c r="G115" s="610" t="n">
        <f aca="false">CHOOSE(MATCH(F115,N$96:N$107,1),X116,O$97,O$98,O$99,O$100,O$101,O$102,O$103,O$104,O$105,O$106,O$107)</f>
        <v>97</v>
      </c>
      <c r="H115" s="0" t="n">
        <f aca="false">((($D115*$E115)*54.5)*(1+(1-(G115/100)))/1000)</f>
        <v>62.253715</v>
      </c>
      <c r="I115" s="0" t="n">
        <f aca="false">((($D115*$E115)*54.5)*(1+(1-0.97))/1000)</f>
        <v>62.253715</v>
      </c>
      <c r="J115" s="0" t="n">
        <f aca="false">H115-I115</f>
        <v>0</v>
      </c>
      <c r="K115" s="691" t="n">
        <f aca="false">(J115*24*365)*$V$18</f>
        <v>0</v>
      </c>
    </row>
    <row r="116" customFormat="false" ht="10.15" hidden="true" customHeight="false" outlineLevel="2" collapsed="false">
      <c r="A116" s="595" t="str">
        <f aca="false">'Plant loading'!A65</f>
        <v>Milton Keynes</v>
      </c>
      <c r="B116" s="595" t="str">
        <f aca="false">'Plant loading'!B65</f>
        <v>PEBMS</v>
      </c>
      <c r="C116" s="595" t="n">
        <f aca="false">'Plant loading'!E65</f>
        <v>1027</v>
      </c>
      <c r="D116" s="450" t="n">
        <f aca="false">'Plant loading'!H65</f>
        <v>42</v>
      </c>
      <c r="E116" s="595" t="n">
        <f aca="false">C116/D116</f>
        <v>24.452380952381</v>
      </c>
      <c r="F116" s="595" t="n">
        <f aca="false">E116*54.5</f>
        <v>1332.65476190476</v>
      </c>
      <c r="G116" s="610" t="n">
        <f aca="false">CHOOSE(MATCH(F116,N$96:N$107,1),X117,O$97,O$98,O$99,O$100,O$101,O$102,O$103,O$104,O$105,O$106,O$107)</f>
        <v>96</v>
      </c>
      <c r="H116" s="0" t="n">
        <f aca="false">((($D116*$E116)*54.5)*(1+(1-(G116/100)))/1000)</f>
        <v>58.21036</v>
      </c>
      <c r="I116" s="0" t="n">
        <f aca="false">((($D116*$E116)*54.5)*(1+(1-0.97))/1000)</f>
        <v>57.650645</v>
      </c>
      <c r="J116" s="0" t="n">
        <f aca="false">H116-I116</f>
        <v>0.559714999999997</v>
      </c>
      <c r="K116" s="691" t="n">
        <f aca="false">(J116*24*365)*$V$18</f>
        <v>632.990648939997</v>
      </c>
    </row>
    <row r="117" customFormat="false" ht="10.15" hidden="true" customHeight="false" outlineLevel="1" collapsed="true">
      <c r="A117" s="595" t="str">
        <f aca="false">'Plant loading'!A66</f>
        <v>Milton Keynes</v>
      </c>
      <c r="B117" s="595" t="str">
        <f aca="false">'Plant loading'!B66</f>
        <v>PECMS</v>
      </c>
      <c r="C117" s="595" t="n">
        <f aca="false">'Plant loading'!E66</f>
        <v>1082</v>
      </c>
      <c r="D117" s="450" t="n">
        <f aca="false">'Plant loading'!H66</f>
        <v>42</v>
      </c>
      <c r="E117" s="595" t="n">
        <f aca="false">C117/D117</f>
        <v>25.7619047619048</v>
      </c>
      <c r="F117" s="595" t="n">
        <f aca="false">E117*54.5</f>
        <v>1404.02380952381</v>
      </c>
      <c r="G117" s="610" t="n">
        <f aca="false">CHOOSE(MATCH(F117,N$96:N$107,1),X118,O$97,O$98,O$99,O$100,O$101,O$102,O$103,O$104,O$105,O$106,O$107)</f>
        <v>97</v>
      </c>
      <c r="H117" s="0" t="n">
        <f aca="false">((($D117*$E117)*54.5)*(1+(1-(G117/100)))/1000)</f>
        <v>60.73807</v>
      </c>
      <c r="I117" s="0" t="n">
        <f aca="false">((($D117*$E117)*54.5)*(1+(1-0.97))/1000)</f>
        <v>60.73807</v>
      </c>
      <c r="J117" s="0" t="n">
        <f aca="false">H117-I117</f>
        <v>0</v>
      </c>
      <c r="K117" s="691" t="n">
        <f aca="false">(J117*24*365)*$V$18</f>
        <v>0</v>
      </c>
    </row>
    <row r="118" customFormat="false" ht="10.15" hidden="true" customHeight="false" outlineLevel="1" collapsed="false">
      <c r="A118" s="595" t="str">
        <f aca="false">'Plant loading'!A67</f>
        <v>Milton Keynes</v>
      </c>
      <c r="B118" s="595" t="str">
        <f aca="false">'Plant loading'!B67</f>
        <v>PEDMS</v>
      </c>
      <c r="C118" s="595" t="n">
        <f aca="false">'Plant loading'!E67</f>
        <v>1133</v>
      </c>
      <c r="D118" s="450" t="n">
        <f aca="false">'Plant loading'!H67</f>
        <v>42</v>
      </c>
      <c r="E118" s="595" t="n">
        <f aca="false">C118/D118</f>
        <v>26.9761904761905</v>
      </c>
      <c r="F118" s="595" t="n">
        <f aca="false">E118*54.5</f>
        <v>1470.20238095238</v>
      </c>
      <c r="G118" s="610" t="n">
        <f aca="false">CHOOSE(MATCH(F118,N$96:N$107,1),X119,O$97,O$98,O$99,O$100,O$101,O$102,O$103,O$104,O$105,O$106,O$107)</f>
        <v>97</v>
      </c>
      <c r="H118" s="0" t="n">
        <f aca="false">((($D118*$E118)*54.5)*(1+(1-(G118/100)))/1000)</f>
        <v>63.600955</v>
      </c>
      <c r="I118" s="0" t="n">
        <f aca="false">((($D118*$E118)*54.5)*(1+(1-0.97))/1000)</f>
        <v>63.600955</v>
      </c>
      <c r="J118" s="0" t="n">
        <f aca="false">H118-I118</f>
        <v>0</v>
      </c>
      <c r="K118" s="691" t="n">
        <f aca="false">(J118*24*365)*$V$18</f>
        <v>0</v>
      </c>
    </row>
    <row r="119" customFormat="false" ht="10.15" hidden="true" customHeight="false" outlineLevel="1" collapsed="false">
      <c r="A119" s="595" t="str">
        <f aca="false">'Plant loading'!A68</f>
        <v>Milton Keynes</v>
      </c>
      <c r="B119" s="595" t="str">
        <f aca="false">'Plant loading'!B68</f>
        <v>PEEMS</v>
      </c>
      <c r="C119" s="595" t="n">
        <f aca="false">'Plant loading'!E68</f>
        <v>1069</v>
      </c>
      <c r="D119" s="450" t="n">
        <f aca="false">'Plant loading'!H68</f>
        <v>42</v>
      </c>
      <c r="E119" s="595" t="n">
        <f aca="false">C119/D119</f>
        <v>25.4523809523809</v>
      </c>
      <c r="F119" s="595" t="n">
        <f aca="false">E119*54.5</f>
        <v>1387.15476190476</v>
      </c>
      <c r="G119" s="610" t="n">
        <f aca="false">CHOOSE(MATCH(F119,N$96:N$107,1),X120,O$97,O$98,O$99,O$100,O$101,O$102,O$103,O$104,O$105,O$106,O$107)</f>
        <v>96</v>
      </c>
      <c r="H119" s="0" t="n">
        <f aca="false">((($D119*$E119)*54.5)*(1+(1-(G119/100)))/1000)</f>
        <v>60.59092</v>
      </c>
      <c r="I119" s="0" t="n">
        <f aca="false">((($D119*$E119)*54.5)*(1+(1-0.97))/1000)</f>
        <v>60.008315</v>
      </c>
      <c r="J119" s="0" t="n">
        <f aca="false">H119-I119</f>
        <v>0.582605000000001</v>
      </c>
      <c r="K119" s="691" t="n">
        <f aca="false">(J119*24*365)*$V$18</f>
        <v>658.877316180001</v>
      </c>
    </row>
    <row r="120" customFormat="false" ht="10.15" hidden="true" customHeight="false" outlineLevel="1" collapsed="false">
      <c r="A120" s="595" t="str">
        <f aca="false">'Plant loading'!A69</f>
        <v>Milton Keynes</v>
      </c>
      <c r="B120" s="595" t="str">
        <f aca="false">'Plant loading'!B69</f>
        <v>PEFMS</v>
      </c>
      <c r="C120" s="595" t="n">
        <f aca="false">'Plant loading'!E69</f>
        <v>1053</v>
      </c>
      <c r="D120" s="450" t="n">
        <f aca="false">'Plant loading'!H69</f>
        <v>42</v>
      </c>
      <c r="E120" s="595" t="n">
        <f aca="false">C120/D120</f>
        <v>25.0714285714286</v>
      </c>
      <c r="F120" s="595" t="n">
        <f aca="false">E120*54.5</f>
        <v>1366.39285714286</v>
      </c>
      <c r="G120" s="610" t="n">
        <f aca="false">CHOOSE(MATCH(F120,N$96:N$107,1),X121,O$97,O$98,O$99,O$100,O$101,O$102,O$103,O$104,O$105,O$106,O$107)</f>
        <v>96</v>
      </c>
      <c r="H120" s="0" t="n">
        <f aca="false">((($D120*$E120)*54.5)*(1+(1-(G120/100)))/1000)</f>
        <v>59.68404</v>
      </c>
      <c r="I120" s="0" t="n">
        <f aca="false">((($D120*$E120)*54.5)*(1+(1-0.97))/1000)</f>
        <v>59.110155</v>
      </c>
      <c r="J120" s="0" t="n">
        <f aca="false">H120-I120</f>
        <v>0.573885000000004</v>
      </c>
      <c r="K120" s="691" t="n">
        <f aca="false">(J120*24*365)*$V$18</f>
        <v>649.015728660005</v>
      </c>
    </row>
    <row r="121" customFormat="false" ht="10.15" hidden="true" customHeight="false" outlineLevel="1" collapsed="false">
      <c r="K121" s="897" t="n">
        <f aca="false">SUM(K95:K99)+SUM(K101:K120)</f>
        <v>12884.47226949</v>
      </c>
    </row>
    <row r="122" customFormat="false" ht="10.15" hidden="true" customHeight="false" outlineLevel="1" collapsed="false"/>
    <row r="123" customFormat="false" ht="10.15" hidden="true" customHeight="false" outlineLevel="1" collapsed="false"/>
    <row r="124" customFormat="false" ht="10.15" hidden="true" customHeight="false" outlineLevel="1" collapsed="false"/>
    <row r="125" customFormat="false" ht="10.15" hidden="true" customHeight="false" outlineLevel="1" collapsed="false"/>
    <row r="126" customFormat="false" ht="10.15" hidden="true" customHeight="false" outlineLevel="1" collapsed="false"/>
    <row r="127" customFormat="false" ht="10.15" hidden="true" customHeight="false" outlineLevel="1" collapsed="false"/>
    <row r="128" customFormat="false" ht="10.15" hidden="true" customHeight="false" outlineLevel="1" collapsed="false"/>
  </sheetData>
  <conditionalFormatting sqref="G1:G65536">
    <cfRule type="cellIs" priority="2" operator="lessThan" aboveAverage="0" equalAverage="0" bottom="0" percent="0" rank="0" text="" dxfId="68">
      <formula>90</formula>
    </cfRule>
  </conditionalFormatting>
  <conditionalFormatting sqref="L2:L56">
    <cfRule type="cellIs" priority="3" operator="lessThan" aboveAverage="0" equalAverage="0" bottom="0" percent="0" rank="0" text="" dxfId="69">
      <formula>90</formula>
    </cfRule>
  </conditionalFormatting>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13" colorId="64" zoomScale="70" zoomScaleNormal="70" zoomScalePageLayoutView="100" workbookViewId="0">
      <selection pane="topLeft" activeCell="AC46" activeCellId="0" sqref="AC46"/>
    </sheetView>
  </sheetViews>
  <sheetFormatPr defaultColWidth="8.66796875" defaultRowHeight="10.1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&amp;L&amp;"Calibri,Regular"&amp;7C2 General&amp;RMTX Space and Power July 2017</oddFooter>
  </headerFooter>
  <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C46" activeCellId="0" sqref="AC46"/>
    </sheetView>
  </sheetViews>
  <sheetFormatPr defaultColWidth="8.66796875" defaultRowHeight="10.1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&amp;L&amp;"Calibri,Regular"&amp;7C2 General&amp;RMTX Space and Power July 2017</oddFooter>
  </headerFooter>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C46" activeCellId="0" sqref="AC46"/>
    </sheetView>
  </sheetViews>
  <sheetFormatPr defaultColWidth="8.66796875" defaultRowHeight="10.1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&amp;L&amp;"Calibri,Regular"&amp;7C2 General&amp;RMTX Space and Power July 2017</oddFooter>
  </headerFooter>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C31:T74"/>
  <sheetViews>
    <sheetView showFormulas="false" showGridLines="true" showRowColHeaders="true" showZeros="true" rightToLeft="false" tabSelected="false" showOutlineSymbols="true" defaultGridColor="true" view="normal" topLeftCell="A7" colorId="64" zoomScale="60" zoomScaleNormal="60" zoomScalePageLayoutView="100" workbookViewId="0">
      <selection pane="topLeft" activeCell="AC46" activeCellId="0" sqref="AC46"/>
    </sheetView>
  </sheetViews>
  <sheetFormatPr defaultColWidth="8.66796875" defaultRowHeight="10.15" zeroHeight="false" outlineLevelRow="0" outlineLevelCol="0"/>
  <sheetData>
    <row r="31" customFormat="false" ht="15" hidden="false" customHeight="false" outlineLevel="0" collapsed="false">
      <c r="O31" s="909"/>
    </row>
    <row r="32" customFormat="false" ht="15" hidden="false" customHeight="false" outlineLevel="0" collapsed="false">
      <c r="O32" s="909"/>
    </row>
    <row r="33" customFormat="false" ht="12" hidden="false" customHeight="true" outlineLevel="0" collapsed="false"/>
    <row r="34" customFormat="false" ht="10.15" hidden="false" customHeight="false" outlineLevel="0" collapsed="false">
      <c r="O34" s="910"/>
      <c r="P34" s="911"/>
      <c r="Q34" s="911"/>
      <c r="R34" s="911"/>
      <c r="S34" s="911"/>
      <c r="T34" s="911"/>
    </row>
    <row r="35" customFormat="false" ht="10.15" hidden="false" customHeight="false" outlineLevel="0" collapsed="false">
      <c r="O35" s="911"/>
      <c r="P35" s="911"/>
      <c r="Q35" s="911"/>
      <c r="R35" s="911"/>
      <c r="S35" s="911"/>
      <c r="T35" s="911"/>
    </row>
    <row r="36" customFormat="false" ht="10.15" hidden="false" customHeight="false" outlineLevel="0" collapsed="false">
      <c r="O36" s="911"/>
      <c r="P36" s="911"/>
      <c r="Q36" s="911"/>
      <c r="R36" s="911"/>
      <c r="S36" s="911"/>
      <c r="T36" s="911"/>
    </row>
    <row r="73" customFormat="false" ht="24.6" hidden="false" customHeight="false" outlineLevel="0" collapsed="false">
      <c r="C73" s="912"/>
    </row>
    <row r="74" customFormat="false" ht="24.6" hidden="false" customHeight="false" outlineLevel="0" collapsed="false">
      <c r="C74" s="91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&amp;L&amp;"Calibri,Regular"&amp;7C2 General&amp;RMTX Space and Power July 2017</oddFooter>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10" colorId="64" zoomScale="70" zoomScaleNormal="70" zoomScalePageLayoutView="100" workbookViewId="0">
      <selection pane="topLeft" activeCell="AC46" activeCellId="0" sqref="AC46"/>
    </sheetView>
  </sheetViews>
  <sheetFormatPr defaultColWidth="8.66796875" defaultRowHeight="10.1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&amp;L&amp;"Calibri,Regular"&amp;7C2 General&amp;RMTX Space and Power July 2017</oddFooter>
  </headerFooter>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C46" activeCellId="0" sqref="AC46"/>
    </sheetView>
  </sheetViews>
  <sheetFormatPr defaultColWidth="8.66796875" defaultRowHeight="10.1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&amp;L&amp;"Calibri,Regular"&amp;7C2 General&amp;RMTX Space and Power July 2017</oddFooter>
  </headerFooter>
  <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50" zoomScaleNormal="50" zoomScalePageLayoutView="50" workbookViewId="0">
      <selection pane="topLeft" activeCell="AC46" activeCellId="0" sqref="AC46"/>
    </sheetView>
  </sheetViews>
  <sheetFormatPr defaultColWidth="8.66796875" defaultRowHeight="10.1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&amp;L&amp;"Calibri,Regular"&amp;7C2 General&amp;RMTX Space and Power July 2017</oddFooter>
  </headerFooter>
  <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60" zoomScaleNormal="60" zoomScalePageLayoutView="70" workbookViewId="0">
      <selection pane="topLeft" activeCell="AC46" activeCellId="0" sqref="AC46"/>
    </sheetView>
  </sheetViews>
  <sheetFormatPr defaultColWidth="8.66796875" defaultRowHeight="10.1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&amp;L&amp;"Calibri,Regular"&amp;7C2 General&amp;RMTX Space and Power July 2017</oddFooter>
  </headerFooter>
  <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7" colorId="64" zoomScale="70" zoomScaleNormal="70" zoomScalePageLayoutView="100" workbookViewId="0">
      <selection pane="topLeft" activeCell="AC46" activeCellId="0" sqref="AC46"/>
    </sheetView>
  </sheetViews>
  <sheetFormatPr defaultColWidth="8.66796875" defaultRowHeight="10.1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&amp;L&amp;"Calibri,Regular"&amp;7C2 General&amp;RMTX Space and Power July 2017</oddFooter>
  </headerFooter>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C46" activeCellId="0" sqref="AC46"/>
    </sheetView>
  </sheetViews>
  <sheetFormatPr defaultColWidth="8.66796875" defaultRowHeight="10.1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&amp;L&amp;"Calibri,Regular"&amp;7C2 General&amp;RMTX Space and Power July 2017</oddFooter>
  </headerFooter>
  <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C46" activeCellId="0" sqref="AC46"/>
    </sheetView>
  </sheetViews>
  <sheetFormatPr defaultColWidth="8.66796875" defaultRowHeight="10.1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&amp;L&amp;"Calibri,Regular"&amp;7C2 General&amp;RMTX Space and Power July 2017</oddFooter>
  </headerFooter>
  <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10" colorId="64" zoomScale="70" zoomScaleNormal="70" zoomScalePageLayoutView="100" workbookViewId="0">
      <selection pane="topLeft" activeCell="AC46" activeCellId="0" sqref="AC46"/>
    </sheetView>
  </sheetViews>
  <sheetFormatPr defaultColWidth="8.66796875" defaultRowHeight="10.1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&amp;L&amp;"Calibri,Regular"&amp;7C2 General&amp;RMTX Space and Power July 2017</oddFooter>
  </headerFooter>
  <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4" colorId="64" zoomScale="70" zoomScaleNormal="70" zoomScalePageLayoutView="100" workbookViewId="0">
      <selection pane="topLeft" activeCell="AC46" activeCellId="0" sqref="AC46"/>
    </sheetView>
  </sheetViews>
  <sheetFormatPr defaultColWidth="8.66796875" defaultRowHeight="10.1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&amp;L&amp;"Calibri,Regular"&amp;7C2 General&amp;RMTX Space and Power July 2017</oddFooter>
  </headerFooter>
  <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C75:C76"/>
  <sheetViews>
    <sheetView showFormulas="false" showGridLines="true" showRowColHeaders="true" showZeros="true" rightToLeft="false" tabSelected="false" showOutlineSymbols="true" defaultGridColor="true" view="normal" topLeftCell="A23" colorId="64" zoomScale="70" zoomScaleNormal="70" zoomScalePageLayoutView="80" workbookViewId="0">
      <selection pane="topLeft" activeCell="AC46" activeCellId="0" sqref="AC46"/>
    </sheetView>
  </sheetViews>
  <sheetFormatPr defaultColWidth="8.66796875" defaultRowHeight="10.15" zeroHeight="false" outlineLevelRow="0" outlineLevelCol="0"/>
  <sheetData>
    <row r="75" customFormat="false" ht="20.25" hidden="true" customHeight="true" outlineLevel="0" collapsed="false">
      <c r="C75" s="913" t="s">
        <v>151</v>
      </c>
    </row>
    <row r="76" customFormat="false" ht="47.25" hidden="false" customHeight="true" outlineLevel="0" collapsed="false">
      <c r="C76" s="91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&amp;L&amp;"Calibri,Regular"&amp;7C2 General&amp;RMTX Space and Power May 2017</oddFooter>
  </headerFooter>
  <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C46" activeCellId="0" sqref="AC46"/>
    </sheetView>
  </sheetViews>
  <sheetFormatPr defaultColWidth="8.66796875" defaultRowHeight="10.1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&amp;L&amp;"Calibri,Regular"&amp;7C2 General&amp;RMTX Space and Power July 2017</oddFooter>
  </headerFooter>
  <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C46" activeCellId="0" sqref="AC46"/>
    </sheetView>
  </sheetViews>
  <sheetFormatPr defaultColWidth="8.66796875" defaultRowHeight="10.1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&amp;L&amp;"Calibri,Regular"&amp;7C2 General&amp;RMTX Space and Power July 2017</oddFooter>
  </headerFooter>
  <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36"/>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AC46" activeCellId="0" sqref="AC46"/>
    </sheetView>
  </sheetViews>
  <sheetFormatPr defaultColWidth="14.5078125" defaultRowHeight="10.15" zeroHeight="false" outlineLevelRow="0" outlineLevelCol="0"/>
  <cols>
    <col collapsed="false" customWidth="true" hidden="false" outlineLevel="0" max="2" min="2" style="0" width="10.17"/>
    <col collapsed="false" customWidth="true" hidden="false" outlineLevel="0" max="3" min="3" style="0" width="17.66"/>
    <col collapsed="false" customWidth="true" hidden="false" outlineLevel="0" max="4" min="4" style="0" width="14.17"/>
    <col collapsed="false" customWidth="true" hidden="false" outlineLevel="0" max="5" min="5" style="0" width="18"/>
    <col collapsed="false" customWidth="true" hidden="false" outlineLevel="0" max="6" min="6" style="0" width="12.17"/>
    <col collapsed="false" customWidth="true" hidden="false" outlineLevel="0" max="7" min="7" style="0" width="21"/>
    <col collapsed="false" customWidth="true" hidden="false" outlineLevel="0" max="8" min="8" style="0" width="18.17"/>
    <col collapsed="false" customWidth="true" hidden="false" outlineLevel="0" max="9" min="9" style="0" width="23.17"/>
    <col collapsed="false" customWidth="true" hidden="false" outlineLevel="0" max="10" min="10" style="0" width="12.66"/>
    <col collapsed="false" customWidth="true" hidden="false" outlineLevel="0" max="11" min="11" style="0" width="18.66"/>
    <col collapsed="false" customWidth="true" hidden="false" outlineLevel="0" max="12" min="12" style="0" width="17"/>
    <col collapsed="false" customWidth="true" hidden="false" outlineLevel="0" max="14" min="13" style="0" width="13"/>
    <col collapsed="false" customWidth="true" hidden="false" outlineLevel="0" max="15" min="15" style="0" width="15.17"/>
  </cols>
  <sheetData>
    <row r="1" customFormat="false" ht="10.9" hidden="false" customHeight="false" outlineLevel="0" collapsed="false">
      <c r="B1" s="442" t="s">
        <v>524</v>
      </c>
      <c r="C1" s="442" t="s">
        <v>592</v>
      </c>
      <c r="D1" s="442" t="s">
        <v>1494</v>
      </c>
      <c r="E1" s="442" t="s">
        <v>1531</v>
      </c>
      <c r="F1" s="442" t="s">
        <v>24</v>
      </c>
      <c r="G1" s="442"/>
      <c r="H1" s="442" t="s">
        <v>1532</v>
      </c>
      <c r="I1" s="442" t="s">
        <v>554</v>
      </c>
      <c r="J1" s="442"/>
      <c r="K1" s="442"/>
    </row>
    <row r="2" customFormat="false" ht="13.15" hidden="false" customHeight="false" outlineLevel="0" collapsed="false">
      <c r="B2" s="40" t="s">
        <v>132</v>
      </c>
      <c r="C2" s="41" t="s">
        <v>1533</v>
      </c>
      <c r="D2" s="915" t="n">
        <v>674</v>
      </c>
      <c r="E2" s="916" t="n">
        <v>208.953</v>
      </c>
      <c r="F2" s="41" t="n">
        <v>7</v>
      </c>
      <c r="G2" s="366" t="n">
        <v>5.1275</v>
      </c>
      <c r="H2" s="41" t="n">
        <f aca="false">D2+F2</f>
        <v>681</v>
      </c>
      <c r="I2" s="53" t="n">
        <v>466</v>
      </c>
      <c r="J2" s="55" t="n">
        <v>0.403463203463203</v>
      </c>
      <c r="K2" s="175" t="n">
        <v>0.577956666666667</v>
      </c>
    </row>
    <row r="3" customFormat="false" ht="13.15" hidden="false" customHeight="false" outlineLevel="0" collapsed="false">
      <c r="B3" s="143" t="s">
        <v>132</v>
      </c>
      <c r="C3" s="69" t="s">
        <v>1534</v>
      </c>
      <c r="D3" s="917" t="n">
        <v>583</v>
      </c>
      <c r="E3" s="916"/>
      <c r="F3" s="69" t="n">
        <v>7</v>
      </c>
      <c r="G3" s="366"/>
      <c r="H3" s="69" t="n">
        <f aca="false">D3+F3</f>
        <v>590</v>
      </c>
      <c r="I3" s="77" t="n">
        <v>534</v>
      </c>
      <c r="J3" s="78" t="n">
        <v>0.462337662337662</v>
      </c>
      <c r="K3" s="175"/>
    </row>
    <row r="4" customFormat="false" ht="13.15" hidden="false" customHeight="false" outlineLevel="0" collapsed="false">
      <c r="B4" s="143" t="s">
        <v>132</v>
      </c>
      <c r="C4" s="69" t="s">
        <v>1535</v>
      </c>
      <c r="D4" s="917" t="n">
        <v>606</v>
      </c>
      <c r="E4" s="916"/>
      <c r="F4" s="69" t="n">
        <v>7</v>
      </c>
      <c r="G4" s="366"/>
      <c r="H4" s="69" t="n">
        <f aca="false">D4+F4</f>
        <v>613</v>
      </c>
      <c r="I4" s="77" t="n">
        <v>537</v>
      </c>
      <c r="J4" s="78" t="n">
        <v>0.464935064935065</v>
      </c>
      <c r="K4" s="175"/>
    </row>
    <row r="5" customFormat="false" ht="13.15" hidden="false" customHeight="false" outlineLevel="0" collapsed="false">
      <c r="B5" s="143" t="s">
        <v>132</v>
      </c>
      <c r="C5" s="69" t="s">
        <v>1536</v>
      </c>
      <c r="D5" s="917" t="n">
        <v>589</v>
      </c>
      <c r="E5" s="916"/>
      <c r="F5" s="69" t="n">
        <v>7</v>
      </c>
      <c r="G5" s="366"/>
      <c r="H5" s="69" t="n">
        <f aca="false">D5+F5</f>
        <v>596</v>
      </c>
      <c r="I5" s="77" t="n">
        <v>516</v>
      </c>
      <c r="J5" s="78" t="n">
        <v>0.446753246753247</v>
      </c>
      <c r="K5" s="175"/>
    </row>
    <row r="6" customFormat="false" ht="13.15" hidden="false" customHeight="false" outlineLevel="0" collapsed="false">
      <c r="B6" s="143" t="s">
        <v>132</v>
      </c>
      <c r="C6" s="69" t="s">
        <v>1537</v>
      </c>
      <c r="D6" s="917" t="n">
        <v>722</v>
      </c>
      <c r="E6" s="916"/>
      <c r="F6" s="69" t="n">
        <v>7</v>
      </c>
      <c r="G6" s="366"/>
      <c r="H6" s="69" t="n">
        <f aca="false">D6+F6</f>
        <v>729</v>
      </c>
      <c r="I6" s="77" t="n">
        <v>431</v>
      </c>
      <c r="J6" s="78" t="n">
        <v>0.373160173160173</v>
      </c>
      <c r="K6" s="175"/>
    </row>
    <row r="7" customFormat="false" ht="13.9" hidden="false" customHeight="false" outlineLevel="0" collapsed="false">
      <c r="B7" s="103" t="s">
        <v>132</v>
      </c>
      <c r="C7" s="104" t="s">
        <v>1538</v>
      </c>
      <c r="D7" s="193" t="n">
        <v>596</v>
      </c>
      <c r="E7" s="916"/>
      <c r="F7" s="104" t="n">
        <v>0</v>
      </c>
      <c r="G7" s="366"/>
      <c r="H7" s="104" t="n">
        <f aca="false">D7+F7</f>
        <v>596</v>
      </c>
      <c r="I7" s="113" t="n">
        <v>577</v>
      </c>
      <c r="J7" s="114" t="n">
        <v>0.4995670995671</v>
      </c>
      <c r="K7" s="175"/>
    </row>
    <row r="10" customFormat="false" ht="39.6" hidden="false" customHeight="false" outlineLevel="0" collapsed="false">
      <c r="B10" s="484" t="s">
        <v>8</v>
      </c>
      <c r="C10" s="17" t="s">
        <v>384</v>
      </c>
      <c r="D10" s="17" t="s">
        <v>385</v>
      </c>
      <c r="E10" s="18" t="s">
        <v>293</v>
      </c>
      <c r="F10" s="18" t="s">
        <v>294</v>
      </c>
      <c r="G10" s="18" t="s">
        <v>296</v>
      </c>
      <c r="H10" s="17" t="s">
        <v>297</v>
      </c>
      <c r="I10" s="17" t="s">
        <v>298</v>
      </c>
      <c r="J10" s="17" t="s">
        <v>1539</v>
      </c>
      <c r="K10" s="17" t="s">
        <v>1540</v>
      </c>
      <c r="L10" s="17" t="s">
        <v>303</v>
      </c>
      <c r="M10" s="17" t="s">
        <v>306</v>
      </c>
      <c r="N10" s="17" t="s">
        <v>307</v>
      </c>
      <c r="O10" s="620" t="s">
        <v>1541</v>
      </c>
    </row>
    <row r="11" customFormat="false" ht="13.15" hidden="false" customHeight="false" outlineLevel="0" collapsed="false">
      <c r="B11" s="2" t="s">
        <v>267</v>
      </c>
      <c r="C11" s="2" t="s">
        <v>1542</v>
      </c>
      <c r="D11" s="2" t="s">
        <v>391</v>
      </c>
      <c r="E11" s="2" t="n">
        <v>18</v>
      </c>
      <c r="F11" s="2" t="n">
        <v>5</v>
      </c>
      <c r="G11" s="2" t="n">
        <f aca="false">(E11-F11)*3</f>
        <v>39</v>
      </c>
      <c r="H11" s="2" t="n">
        <f aca="false">INT((G11*1000)/230)</f>
        <v>169</v>
      </c>
      <c r="I11" s="2" t="n">
        <f aca="false">42-G11</f>
        <v>3</v>
      </c>
      <c r="J11" s="2" t="n">
        <v>67</v>
      </c>
      <c r="K11" s="2" t="n">
        <f aca="false">INT((J11*230)/1000)</f>
        <v>15</v>
      </c>
      <c r="L11" s="2" t="n">
        <f aca="false">K11*1.09</f>
        <v>16.35</v>
      </c>
      <c r="M11" s="2" t="n">
        <v>0</v>
      </c>
      <c r="N11" s="2" t="n">
        <f aca="false">(M11*230)/1000</f>
        <v>0</v>
      </c>
      <c r="O11" s="0" t="n">
        <f aca="false">((L11/E11)*1000)/54.5</f>
        <v>16.6666666666667</v>
      </c>
    </row>
    <row r="12" customFormat="false" ht="13.15" hidden="false" customHeight="false" outlineLevel="0" collapsed="false">
      <c r="B12" s="2" t="s">
        <v>267</v>
      </c>
      <c r="C12" s="2" t="s">
        <v>1543</v>
      </c>
      <c r="D12" s="2" t="s">
        <v>391</v>
      </c>
      <c r="E12" s="2" t="n">
        <v>18</v>
      </c>
      <c r="F12" s="2" t="n">
        <v>5</v>
      </c>
      <c r="G12" s="2" t="n">
        <f aca="false">(E12-F12)*3</f>
        <v>39</v>
      </c>
      <c r="H12" s="2" t="n">
        <f aca="false">INT((G12*1000)/230)</f>
        <v>169</v>
      </c>
      <c r="I12" s="2" t="n">
        <f aca="false">42-G12</f>
        <v>3</v>
      </c>
      <c r="J12" s="2" t="n">
        <v>37</v>
      </c>
      <c r="K12" s="2" t="n">
        <f aca="false">INT((J12*230)/1000)</f>
        <v>8</v>
      </c>
      <c r="L12" s="2" t="n">
        <f aca="false">K12*1.09</f>
        <v>8.72</v>
      </c>
      <c r="M12" s="2" t="n">
        <v>0</v>
      </c>
      <c r="N12" s="2" t="n">
        <f aca="false">(M12*230)/1000</f>
        <v>0</v>
      </c>
      <c r="O12" s="0" t="n">
        <f aca="false">((L12/E12)*1000)/54.5</f>
        <v>8.88888888888889</v>
      </c>
    </row>
    <row r="13" customFormat="false" ht="13.15" hidden="false" customHeight="false" outlineLevel="0" collapsed="false">
      <c r="B13" s="2" t="s">
        <v>267</v>
      </c>
      <c r="C13" s="2" t="s">
        <v>1544</v>
      </c>
      <c r="D13" s="2" t="s">
        <v>391</v>
      </c>
      <c r="E13" s="2" t="n">
        <v>18</v>
      </c>
      <c r="F13" s="2" t="n">
        <v>5</v>
      </c>
      <c r="G13" s="2" t="n">
        <f aca="false">(E13-F13)*3</f>
        <v>39</v>
      </c>
      <c r="H13" s="2" t="n">
        <f aca="false">INT((G13*1000)/230)</f>
        <v>169</v>
      </c>
      <c r="I13" s="2" t="n">
        <f aca="false">42-G13</f>
        <v>3</v>
      </c>
      <c r="J13" s="2" t="n">
        <v>30</v>
      </c>
      <c r="K13" s="2" t="n">
        <f aca="false">INT((J13*230)/1000)</f>
        <v>6</v>
      </c>
      <c r="L13" s="2" t="n">
        <f aca="false">K13*1.09</f>
        <v>6.54</v>
      </c>
      <c r="M13" s="2" t="n">
        <v>8</v>
      </c>
      <c r="N13" s="2" t="n">
        <f aca="false">(M13*230)/1000</f>
        <v>1.84</v>
      </c>
      <c r="O13" s="0" t="n">
        <f aca="false">((L13/E13)*1000)/54.5</f>
        <v>6.66666666666667</v>
      </c>
    </row>
    <row r="14" customFormat="false" ht="13.15" hidden="false" customHeight="false" outlineLevel="0" collapsed="false">
      <c r="B14" s="2" t="s">
        <v>267</v>
      </c>
      <c r="C14" s="2" t="s">
        <v>1545</v>
      </c>
      <c r="D14" s="2" t="s">
        <v>391</v>
      </c>
      <c r="E14" s="2" t="n">
        <v>8</v>
      </c>
      <c r="F14" s="2" t="n">
        <v>3</v>
      </c>
      <c r="G14" s="2" t="n">
        <f aca="false">(E14-F14)*3</f>
        <v>15</v>
      </c>
      <c r="H14" s="2" t="n">
        <f aca="false">INT((G14*1000)/230)</f>
        <v>65</v>
      </c>
      <c r="I14" s="2" t="n">
        <f aca="false">42-G14</f>
        <v>27</v>
      </c>
      <c r="J14" s="2" t="n">
        <v>2</v>
      </c>
      <c r="K14" s="2" t="n">
        <f aca="false">INT((J14*230)/1000)</f>
        <v>0</v>
      </c>
      <c r="L14" s="2" t="n">
        <f aca="false">K14*1.09</f>
        <v>0</v>
      </c>
      <c r="M14" s="2" t="n">
        <v>0</v>
      </c>
      <c r="N14" s="2" t="n">
        <f aca="false">(M14*230)/1000</f>
        <v>0</v>
      </c>
      <c r="O14" s="0" t="n">
        <f aca="false">((L14/E14)*1000)/54.5</f>
        <v>0</v>
      </c>
    </row>
    <row r="17" customFormat="false" ht="13.15" hidden="false" customHeight="false" outlineLevel="0" collapsed="false">
      <c r="B17" s="810"/>
      <c r="C17" s="918" t="s">
        <v>1542</v>
      </c>
      <c r="D17" s="918" t="s">
        <v>1543</v>
      </c>
      <c r="E17" s="918" t="s">
        <v>1544</v>
      </c>
      <c r="F17" s="918" t="s">
        <v>1545</v>
      </c>
      <c r="G17" s="919" t="s">
        <v>1546</v>
      </c>
      <c r="H17" s="920" t="s">
        <v>1547</v>
      </c>
      <c r="I17" s="920" t="s">
        <v>1548</v>
      </c>
      <c r="J17" s="920" t="s">
        <v>1549</v>
      </c>
      <c r="K17" s="920" t="s">
        <v>1550</v>
      </c>
      <c r="L17" s="920" t="s">
        <v>1551</v>
      </c>
    </row>
    <row r="18" customFormat="false" ht="10.15" hidden="false" customHeight="false" outlineLevel="0" collapsed="false">
      <c r="B18" s="921" t="s">
        <v>1533</v>
      </c>
      <c r="C18" s="0" t="n">
        <v>4</v>
      </c>
      <c r="D18" s="0" t="n">
        <v>3</v>
      </c>
      <c r="E18" s="0" t="n">
        <v>4</v>
      </c>
      <c r="G18" s="922" t="n">
        <f aca="false">(C18*$O$11)+(D18*$O$12)+(E18*$O$13)</f>
        <v>120</v>
      </c>
      <c r="H18" s="923" t="n">
        <f aca="false">D2-G18</f>
        <v>554</v>
      </c>
      <c r="I18" s="923" t="n">
        <f aca="false">SUM(C30:D30)</f>
        <v>9</v>
      </c>
      <c r="J18" s="924" t="n">
        <f aca="false">I18*$H$26</f>
        <v>104.94</v>
      </c>
      <c r="K18" s="923" t="n">
        <f aca="false">H18+J18</f>
        <v>658.94</v>
      </c>
      <c r="L18" s="925" t="n">
        <f aca="false">K18-D2</f>
        <v>-15.0599999999999</v>
      </c>
    </row>
    <row r="19" customFormat="false" ht="10.15" hidden="false" customHeight="false" outlineLevel="0" collapsed="false">
      <c r="B19" s="921" t="s">
        <v>1534</v>
      </c>
      <c r="C19" s="0" t="n">
        <v>3</v>
      </c>
      <c r="D19" s="0" t="n">
        <v>3</v>
      </c>
      <c r="E19" s="0" t="n">
        <v>3</v>
      </c>
      <c r="G19" s="922" t="n">
        <f aca="false">(C19*$O$11)+(D19*$O$12)+(E19*$O$13)</f>
        <v>96.6666666666667</v>
      </c>
      <c r="H19" s="923" t="n">
        <f aca="false">D3-G19</f>
        <v>486.333333333333</v>
      </c>
      <c r="I19" s="923" t="n">
        <f aca="false">SUM(C31:D31)</f>
        <v>9</v>
      </c>
      <c r="J19" s="924" t="n">
        <f aca="false">I19*$H$26</f>
        <v>104.94</v>
      </c>
      <c r="K19" s="923" t="n">
        <f aca="false">H19+J19</f>
        <v>591.273333333333</v>
      </c>
      <c r="L19" s="925" t="n">
        <f aca="false">K19-D3</f>
        <v>8.27333333333331</v>
      </c>
    </row>
    <row r="20" customFormat="false" ht="10.15" hidden="false" customHeight="false" outlineLevel="0" collapsed="false">
      <c r="B20" s="921" t="s">
        <v>1535</v>
      </c>
      <c r="C20" s="0" t="n">
        <v>3</v>
      </c>
      <c r="D20" s="0" t="n">
        <v>4</v>
      </c>
      <c r="E20" s="0" t="n">
        <v>3</v>
      </c>
      <c r="G20" s="922" t="n">
        <f aca="false">(C20*$O$11)+(D20*$O$12)+(E20*$O$13)</f>
        <v>105.555555555556</v>
      </c>
      <c r="H20" s="923" t="n">
        <f aca="false">D4-G20</f>
        <v>500.444444444444</v>
      </c>
      <c r="I20" s="923" t="n">
        <f aca="false">SUM(C32:D32)</f>
        <v>9</v>
      </c>
      <c r="J20" s="924" t="n">
        <f aca="false">I20*$H$26</f>
        <v>104.94</v>
      </c>
      <c r="K20" s="923" t="n">
        <f aca="false">H20+J20</f>
        <v>605.384444444444</v>
      </c>
      <c r="L20" s="925" t="n">
        <f aca="false">K20-D4</f>
        <v>-0.615555555555602</v>
      </c>
    </row>
    <row r="21" customFormat="false" ht="10.15" hidden="false" customHeight="false" outlineLevel="0" collapsed="false">
      <c r="B21" s="921" t="s">
        <v>1536</v>
      </c>
      <c r="C21" s="0" t="n">
        <v>4</v>
      </c>
      <c r="D21" s="0" t="n">
        <v>4</v>
      </c>
      <c r="E21" s="0" t="n">
        <v>4</v>
      </c>
      <c r="G21" s="922" t="n">
        <f aca="false">(C21*$O$11)+(D21*$O$12)+(E21*$O$13)</f>
        <v>128.888888888889</v>
      </c>
      <c r="H21" s="923" t="n">
        <f aca="false">D5-G21</f>
        <v>460.111111111111</v>
      </c>
      <c r="I21" s="923" t="n">
        <f aca="false">SUM(C33:D33)</f>
        <v>8</v>
      </c>
      <c r="J21" s="924" t="n">
        <f aca="false">I21*$H$26</f>
        <v>93.28</v>
      </c>
      <c r="K21" s="923" t="n">
        <f aca="false">H21+J21</f>
        <v>553.391111111111</v>
      </c>
      <c r="L21" s="925" t="n">
        <f aca="false">K21-D5</f>
        <v>-35.6088888888889</v>
      </c>
    </row>
    <row r="22" customFormat="false" ht="10.15" hidden="false" customHeight="false" outlineLevel="0" collapsed="false">
      <c r="B22" s="921" t="s">
        <v>1537</v>
      </c>
      <c r="C22" s="0" t="n">
        <v>4</v>
      </c>
      <c r="D22" s="0" t="n">
        <v>4</v>
      </c>
      <c r="E22" s="0" t="n">
        <v>4</v>
      </c>
      <c r="G22" s="922" t="n">
        <f aca="false">(C22*$O$11)+(D22*$O$12)+(E22*$O$13)</f>
        <v>128.888888888889</v>
      </c>
      <c r="H22" s="923" t="n">
        <f aca="false">D6-G22</f>
        <v>593.111111111111</v>
      </c>
      <c r="I22" s="923" t="n">
        <f aca="false">SUM(C34:D34)</f>
        <v>8</v>
      </c>
      <c r="J22" s="924" t="n">
        <f aca="false">I22*$H$26</f>
        <v>93.28</v>
      </c>
      <c r="K22" s="923" t="n">
        <f aca="false">H22+J22</f>
        <v>686.391111111111</v>
      </c>
      <c r="L22" s="925" t="n">
        <f aca="false">K22-D6</f>
        <v>-35.6088888888889</v>
      </c>
    </row>
    <row r="23" customFormat="false" ht="10.9" hidden="false" customHeight="false" outlineLevel="0" collapsed="false">
      <c r="B23" s="926" t="s">
        <v>1538</v>
      </c>
      <c r="C23" s="927"/>
      <c r="D23" s="927"/>
      <c r="E23" s="927"/>
      <c r="F23" s="927"/>
      <c r="G23" s="928" t="n">
        <f aca="false">(C23*$O$11)+(D23*$O$12)+(E23*$O$13)</f>
        <v>0</v>
      </c>
      <c r="H23" s="929" t="n">
        <f aca="false">D7-G23</f>
        <v>596</v>
      </c>
      <c r="I23" s="929" t="n">
        <f aca="false">SUM(C35:D35)</f>
        <v>9</v>
      </c>
      <c r="J23" s="930" t="n">
        <f aca="false">I23*$H$26</f>
        <v>104.94</v>
      </c>
      <c r="K23" s="929" t="n">
        <f aca="false">H23+J23</f>
        <v>700.94</v>
      </c>
      <c r="L23" s="931" t="n">
        <f aca="false">K23-D7</f>
        <v>104.94</v>
      </c>
    </row>
    <row r="25" customFormat="false" ht="10.15" hidden="false" customHeight="false" outlineLevel="0" collapsed="false">
      <c r="C25" s="620" t="s">
        <v>15</v>
      </c>
      <c r="D25" s="620" t="s">
        <v>1552</v>
      </c>
      <c r="E25" s="620" t="s">
        <v>1553</v>
      </c>
    </row>
    <row r="26" customFormat="false" ht="10.15" hidden="false" customHeight="false" outlineLevel="0" collapsed="false">
      <c r="B26" s="620" t="s">
        <v>359</v>
      </c>
      <c r="C26" s="0" t="n">
        <v>26</v>
      </c>
      <c r="D26" s="0" t="n">
        <v>15.5</v>
      </c>
      <c r="E26" s="0" t="n">
        <f aca="false">ROUNDUP(((D26/C26)*1000)/54.5,0)*1.06</f>
        <v>11.66</v>
      </c>
      <c r="G26" s="620" t="s">
        <v>1554</v>
      </c>
      <c r="H26" s="0" t="n">
        <f aca="false">MAX(E26:E27)</f>
        <v>11.66</v>
      </c>
    </row>
    <row r="27" customFormat="false" ht="10.15" hidden="false" customHeight="false" outlineLevel="0" collapsed="false">
      <c r="B27" s="620" t="s">
        <v>362</v>
      </c>
      <c r="C27" s="0" t="n">
        <v>26</v>
      </c>
      <c r="D27" s="0" t="n">
        <v>15.5</v>
      </c>
      <c r="E27" s="0" t="n">
        <f aca="false">ROUNDUP(((D27/C27)*1000)/54.5,0)*1.06</f>
        <v>11.66</v>
      </c>
    </row>
    <row r="28" customFormat="false" ht="10.9" hidden="false" customHeight="false" outlineLevel="0" collapsed="false"/>
    <row r="29" customFormat="false" ht="10.15" hidden="false" customHeight="false" outlineLevel="0" collapsed="false">
      <c r="B29" s="810"/>
      <c r="C29" s="932" t="s">
        <v>359</v>
      </c>
      <c r="D29" s="933" t="s">
        <v>362</v>
      </c>
    </row>
    <row r="30" customFormat="false" ht="10.15" hidden="false" customHeight="false" outlineLevel="0" collapsed="false">
      <c r="B30" s="921" t="s">
        <v>1533</v>
      </c>
      <c r="C30" s="595"/>
      <c r="D30" s="934" t="n">
        <v>9</v>
      </c>
    </row>
    <row r="31" customFormat="false" ht="10.15" hidden="false" customHeight="false" outlineLevel="0" collapsed="false">
      <c r="B31" s="921" t="s">
        <v>1534</v>
      </c>
      <c r="C31" s="595" t="n">
        <v>9</v>
      </c>
      <c r="D31" s="934"/>
    </row>
    <row r="32" customFormat="false" ht="10.15" hidden="false" customHeight="false" outlineLevel="0" collapsed="false">
      <c r="B32" s="921" t="s">
        <v>1535</v>
      </c>
      <c r="C32" s="595" t="n">
        <v>9</v>
      </c>
      <c r="D32" s="934"/>
    </row>
    <row r="33" customFormat="false" ht="10.15" hidden="false" customHeight="false" outlineLevel="0" collapsed="false">
      <c r="B33" s="921" t="s">
        <v>1536</v>
      </c>
      <c r="C33" s="595" t="n">
        <v>8</v>
      </c>
      <c r="D33" s="934"/>
    </row>
    <row r="34" customFormat="false" ht="10.15" hidden="false" customHeight="false" outlineLevel="0" collapsed="false">
      <c r="B34" s="921" t="s">
        <v>1537</v>
      </c>
      <c r="C34" s="595"/>
      <c r="D34" s="934" t="n">
        <v>8</v>
      </c>
    </row>
    <row r="35" customFormat="false" ht="10.9" hidden="false" customHeight="false" outlineLevel="0" collapsed="false">
      <c r="B35" s="926" t="s">
        <v>1538</v>
      </c>
      <c r="C35" s="935"/>
      <c r="D35" s="936" t="n">
        <v>9</v>
      </c>
    </row>
    <row r="36" customFormat="false" ht="10.15" hidden="false" customHeight="false" outlineLevel="0" collapsed="false">
      <c r="C36" s="595" t="n">
        <f aca="false">SUM(C30:C35)</f>
        <v>26</v>
      </c>
      <c r="D36" s="595" t="n">
        <f aca="false">SUM(D30:D35)</f>
        <v>26</v>
      </c>
    </row>
  </sheetData>
  <mergeCells count="3">
    <mergeCell ref="E2:E7"/>
    <mergeCell ref="G2:G7"/>
    <mergeCell ref="K2:K7"/>
  </mergeCells>
  <conditionalFormatting sqref="J2:J7">
    <cfRule type="cellIs" priority="2" operator="lessThanOrEqual" aboveAverage="0" equalAverage="0" bottom="0" percent="0" rank="0" text="" dxfId="70">
      <formula>0</formula>
    </cfRule>
    <cfRule type="cellIs" priority="3" operator="lessThan" aboveAverage="0" equalAverage="0" bottom="0" percent="0" rank="0" text="" dxfId="71">
      <formula>0.06</formula>
    </cfRule>
    <cfRule type="cellIs" priority="4" operator="greaterThanOrEqual" aboveAverage="0" equalAverage="0" bottom="0" percent="0" rank="0" text="" dxfId="72">
      <formula>0.195</formula>
    </cfRule>
    <cfRule type="cellIs" priority="5" operator="between" aboveAverage="0" equalAverage="0" bottom="0" percent="0" rank="0" text="" dxfId="73">
      <formula>0.06</formula>
      <formula>0.195</formula>
    </cfRule>
  </conditionalFormatting>
  <conditionalFormatting sqref="K2:K7">
    <cfRule type="cellIs" priority="6" operator="lessThan" aboveAverage="0" equalAverage="0" bottom="0" percent="0" rank="0" text="" dxfId="74">
      <formula>0.805</formula>
    </cfRule>
    <cfRule type="cellIs" priority="7" operator="between" aboveAverage="0" equalAverage="0" bottom="0" percent="0" rank="0" text="" dxfId="75">
      <formula>0.805</formula>
      <formula>0.945</formula>
    </cfRule>
    <cfRule type="cellIs" priority="8" operator="greaterThanOrEqual" aboveAverage="0" equalAverage="0" bottom="0" percent="0" rank="0" text="" dxfId="76">
      <formula>0.945</formula>
    </cfRule>
  </conditionalFormatting>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3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C46" activeCellId="0" sqref="AC46"/>
    </sheetView>
  </sheetViews>
  <sheetFormatPr defaultColWidth="20.5078125" defaultRowHeight="13.9" zeroHeight="false" outlineLevelRow="0" outlineLevelCol="0"/>
  <cols>
    <col collapsed="false" customWidth="false" hidden="false" outlineLevel="0" max="1024" min="1" style="937" width="20.5"/>
  </cols>
  <sheetData>
    <row r="1" customFormat="false" ht="14.45" hidden="false" customHeight="false" outlineLevel="0" collapsed="false">
      <c r="B1" s="938" t="s">
        <v>524</v>
      </c>
      <c r="C1" s="938" t="s">
        <v>592</v>
      </c>
      <c r="D1" s="938" t="s">
        <v>1494</v>
      </c>
      <c r="E1" s="938" t="s">
        <v>1531</v>
      </c>
      <c r="F1" s="938" t="s">
        <v>24</v>
      </c>
      <c r="G1" s="938"/>
      <c r="H1" s="938" t="s">
        <v>1532</v>
      </c>
      <c r="I1" s="938" t="s">
        <v>554</v>
      </c>
      <c r="J1" s="938"/>
      <c r="K1" s="938"/>
    </row>
    <row r="2" customFormat="false" ht="13.9" hidden="false" customHeight="false" outlineLevel="0" collapsed="false">
      <c r="B2" s="939" t="s">
        <v>107</v>
      </c>
      <c r="C2" s="940" t="s">
        <v>1555</v>
      </c>
      <c r="D2" s="941" t="n">
        <v>756</v>
      </c>
      <c r="E2" s="942" t="n">
        <v>274.571</v>
      </c>
      <c r="F2" s="940" t="n">
        <v>7</v>
      </c>
      <c r="G2" s="943" t="n">
        <v>9.7055</v>
      </c>
      <c r="H2" s="944" t="n">
        <v>763</v>
      </c>
      <c r="I2" s="945" t="n">
        <v>392</v>
      </c>
      <c r="J2" s="946" t="n">
        <v>0.339393939393939</v>
      </c>
      <c r="K2" s="947" t="n">
        <v>0.738392222222222</v>
      </c>
    </row>
    <row r="3" customFormat="false" ht="13.9" hidden="false" customHeight="false" outlineLevel="0" collapsed="false">
      <c r="B3" s="948" t="s">
        <v>107</v>
      </c>
      <c r="C3" s="949" t="s">
        <v>1556</v>
      </c>
      <c r="D3" s="950" t="n">
        <v>814</v>
      </c>
      <c r="E3" s="942"/>
      <c r="F3" s="949" t="n">
        <v>49</v>
      </c>
      <c r="G3" s="943"/>
      <c r="H3" s="949" t="n">
        <v>863</v>
      </c>
      <c r="I3" s="951" t="n">
        <v>292</v>
      </c>
      <c r="J3" s="952" t="n">
        <v>0.252813852813853</v>
      </c>
      <c r="K3" s="947"/>
    </row>
    <row r="4" customFormat="false" ht="13.9" hidden="false" customHeight="false" outlineLevel="0" collapsed="false">
      <c r="B4" s="948" t="s">
        <v>107</v>
      </c>
      <c r="C4" s="949" t="s">
        <v>1557</v>
      </c>
      <c r="D4" s="950" t="n">
        <v>903</v>
      </c>
      <c r="E4" s="942"/>
      <c r="F4" s="949" t="n">
        <v>7</v>
      </c>
      <c r="G4" s="943"/>
      <c r="H4" s="949" t="n">
        <v>910</v>
      </c>
      <c r="I4" s="951" t="n">
        <v>245</v>
      </c>
      <c r="J4" s="952" t="n">
        <v>0.212121212121212</v>
      </c>
      <c r="K4" s="947"/>
    </row>
    <row r="5" customFormat="false" ht="13.9" hidden="false" customHeight="false" outlineLevel="0" collapsed="false">
      <c r="B5" s="948" t="s">
        <v>107</v>
      </c>
      <c r="C5" s="949" t="s">
        <v>1558</v>
      </c>
      <c r="D5" s="950" t="n">
        <v>869</v>
      </c>
      <c r="E5" s="942"/>
      <c r="F5" s="949" t="n">
        <v>49</v>
      </c>
      <c r="G5" s="943"/>
      <c r="H5" s="949" t="n">
        <v>918</v>
      </c>
      <c r="I5" s="951" t="n">
        <v>237</v>
      </c>
      <c r="J5" s="952" t="n">
        <v>0.205194805194805</v>
      </c>
      <c r="K5" s="947"/>
    </row>
    <row r="6" customFormat="false" ht="13.9" hidden="false" customHeight="false" outlineLevel="0" collapsed="false">
      <c r="B6" s="948" t="s">
        <v>107</v>
      </c>
      <c r="C6" s="949" t="s">
        <v>1559</v>
      </c>
      <c r="D6" s="950" t="n">
        <v>861</v>
      </c>
      <c r="E6" s="942"/>
      <c r="F6" s="949" t="n">
        <v>0</v>
      </c>
      <c r="G6" s="943"/>
      <c r="H6" s="949" t="n">
        <v>861</v>
      </c>
      <c r="I6" s="951" t="n">
        <v>294</v>
      </c>
      <c r="J6" s="952" t="n">
        <v>0.254545454545454</v>
      </c>
      <c r="K6" s="947"/>
    </row>
    <row r="7" customFormat="false" ht="14.45" hidden="false" customHeight="false" outlineLevel="0" collapsed="false">
      <c r="B7" s="953" t="s">
        <v>107</v>
      </c>
      <c r="C7" s="954" t="s">
        <v>1560</v>
      </c>
      <c r="D7" s="955" t="n">
        <v>835</v>
      </c>
      <c r="E7" s="942"/>
      <c r="F7" s="954" t="n">
        <v>7</v>
      </c>
      <c r="G7" s="943"/>
      <c r="H7" s="954" t="n">
        <v>842</v>
      </c>
      <c r="I7" s="956" t="n">
        <v>313</v>
      </c>
      <c r="J7" s="957" t="n">
        <v>0.270995670995671</v>
      </c>
      <c r="K7" s="947"/>
    </row>
    <row r="10" customFormat="false" ht="27.6" hidden="false" customHeight="false" outlineLevel="0" collapsed="false">
      <c r="B10" s="958" t="s">
        <v>8</v>
      </c>
      <c r="C10" s="959" t="s">
        <v>384</v>
      </c>
      <c r="D10" s="959" t="s">
        <v>385</v>
      </c>
      <c r="E10" s="960" t="s">
        <v>293</v>
      </c>
      <c r="F10" s="960" t="s">
        <v>294</v>
      </c>
      <c r="G10" s="960" t="s">
        <v>296</v>
      </c>
      <c r="H10" s="959" t="s">
        <v>297</v>
      </c>
      <c r="I10" s="959" t="s">
        <v>298</v>
      </c>
      <c r="J10" s="959" t="s">
        <v>1539</v>
      </c>
      <c r="K10" s="959" t="s">
        <v>1540</v>
      </c>
      <c r="L10" s="959" t="s">
        <v>303</v>
      </c>
      <c r="M10" s="959" t="s">
        <v>306</v>
      </c>
      <c r="N10" s="959" t="s">
        <v>307</v>
      </c>
      <c r="O10" s="937" t="s">
        <v>1541</v>
      </c>
    </row>
    <row r="11" customFormat="false" ht="13.9" hidden="false" customHeight="false" outlineLevel="0" collapsed="false">
      <c r="B11" s="961" t="s">
        <v>265</v>
      </c>
      <c r="C11" s="961" t="s">
        <v>1561</v>
      </c>
      <c r="D11" s="961" t="s">
        <v>391</v>
      </c>
      <c r="E11" s="961" t="n">
        <v>18</v>
      </c>
      <c r="F11" s="961" t="n">
        <v>5</v>
      </c>
      <c r="G11" s="961" t="n">
        <f aca="false">(E11-F11)*3</f>
        <v>39</v>
      </c>
      <c r="H11" s="961" t="n">
        <f aca="false">INT((G11*1000)/230)</f>
        <v>169</v>
      </c>
      <c r="I11" s="961" t="n">
        <f aca="false">42-G11</f>
        <v>3</v>
      </c>
      <c r="J11" s="961" t="n">
        <v>66</v>
      </c>
      <c r="K11" s="961" t="n">
        <f aca="false">INT((J11*230)/1000)</f>
        <v>15</v>
      </c>
      <c r="L11" s="961" t="n">
        <f aca="false">K11*1.09</f>
        <v>16.35</v>
      </c>
      <c r="M11" s="961"/>
      <c r="N11" s="961"/>
      <c r="O11" s="937" t="n">
        <f aca="false">((L11/E11)*1000)/54.5</f>
        <v>16.6666666666667</v>
      </c>
    </row>
    <row r="12" customFormat="false" ht="13.9" hidden="false" customHeight="false" outlineLevel="0" collapsed="false">
      <c r="B12" s="961" t="s">
        <v>265</v>
      </c>
      <c r="C12" s="961" t="s">
        <v>1562</v>
      </c>
      <c r="D12" s="961" t="s">
        <v>391</v>
      </c>
      <c r="E12" s="961" t="n">
        <v>18</v>
      </c>
      <c r="F12" s="961" t="n">
        <v>5</v>
      </c>
      <c r="G12" s="961" t="n">
        <f aca="false">(E12-F12)*3</f>
        <v>39</v>
      </c>
      <c r="H12" s="961" t="n">
        <f aca="false">INT((G12*1000)/230)</f>
        <v>169</v>
      </c>
      <c r="I12" s="961" t="n">
        <f aca="false">42-G12</f>
        <v>3</v>
      </c>
      <c r="J12" s="961" t="n">
        <v>71</v>
      </c>
      <c r="K12" s="961" t="n">
        <f aca="false">INT((J12*230)/1000)</f>
        <v>16</v>
      </c>
      <c r="L12" s="961" t="n">
        <f aca="false">K12*1.09</f>
        <v>17.44</v>
      </c>
      <c r="M12" s="961"/>
      <c r="N12" s="961"/>
      <c r="O12" s="937" t="n">
        <f aca="false">((L12/E12)*1000)/54.5</f>
        <v>17.7777777777778</v>
      </c>
    </row>
    <row r="13" customFormat="false" ht="13.9" hidden="false" customHeight="false" outlineLevel="0" collapsed="false">
      <c r="B13" s="961" t="s">
        <v>265</v>
      </c>
      <c r="C13" s="961" t="s">
        <v>1563</v>
      </c>
      <c r="D13" s="961" t="s">
        <v>391</v>
      </c>
      <c r="E13" s="961" t="n">
        <v>18</v>
      </c>
      <c r="F13" s="961" t="n">
        <v>5</v>
      </c>
      <c r="G13" s="961" t="n">
        <f aca="false">(E13-F13)*3</f>
        <v>39</v>
      </c>
      <c r="H13" s="961" t="n">
        <f aca="false">INT((G13*1000)/230)</f>
        <v>169</v>
      </c>
      <c r="I13" s="961" t="n">
        <f aca="false">42-G13</f>
        <v>3</v>
      </c>
      <c r="J13" s="961" t="n">
        <v>64</v>
      </c>
      <c r="K13" s="961" t="n">
        <f aca="false">INT((J13*230)/1000)</f>
        <v>14</v>
      </c>
      <c r="L13" s="961" t="n">
        <f aca="false">K13*1.09</f>
        <v>15.26</v>
      </c>
      <c r="M13" s="961"/>
      <c r="N13" s="961"/>
      <c r="O13" s="937" t="n">
        <f aca="false">((L13/E13)*1000)/54.5</f>
        <v>15.5555555555556</v>
      </c>
    </row>
    <row r="14" customFormat="false" ht="13.9" hidden="false" customHeight="false" outlineLevel="0" collapsed="false">
      <c r="B14" s="961" t="s">
        <v>265</v>
      </c>
      <c r="C14" s="961" t="s">
        <v>1564</v>
      </c>
      <c r="D14" s="961" t="s">
        <v>391</v>
      </c>
      <c r="E14" s="961" t="n">
        <v>9</v>
      </c>
      <c r="F14" s="961" t="n">
        <v>2</v>
      </c>
      <c r="G14" s="961" t="n">
        <f aca="false">(E14-F14)*3</f>
        <v>21</v>
      </c>
      <c r="H14" s="961" t="n">
        <f aca="false">INT((G14*1000)/230)</f>
        <v>91</v>
      </c>
      <c r="I14" s="961" t="n">
        <f aca="false">42-G14</f>
        <v>21</v>
      </c>
      <c r="J14" s="961" t="n">
        <v>31</v>
      </c>
      <c r="K14" s="961" t="n">
        <f aca="false">INT((J14*230)/1000)</f>
        <v>7</v>
      </c>
      <c r="L14" s="961" t="n">
        <f aca="false">K14*1.09</f>
        <v>7.63</v>
      </c>
      <c r="M14" s="961"/>
      <c r="N14" s="961"/>
      <c r="O14" s="937" t="n">
        <f aca="false">((L14/E14)*1000)/54.5</f>
        <v>15.5555555555556</v>
      </c>
    </row>
    <row r="17" customFormat="false" ht="13.9" hidden="false" customHeight="false" outlineLevel="0" collapsed="false">
      <c r="B17" s="962"/>
      <c r="C17" s="963" t="s">
        <v>1561</v>
      </c>
      <c r="D17" s="963" t="s">
        <v>1562</v>
      </c>
      <c r="E17" s="963" t="s">
        <v>1563</v>
      </c>
      <c r="F17" s="963" t="s">
        <v>1564</v>
      </c>
      <c r="G17" s="964" t="s">
        <v>1546</v>
      </c>
      <c r="H17" s="965" t="s">
        <v>1547</v>
      </c>
      <c r="I17" s="965" t="s">
        <v>1548</v>
      </c>
      <c r="J17" s="965" t="s">
        <v>1549</v>
      </c>
      <c r="K17" s="965" t="s">
        <v>1550</v>
      </c>
      <c r="L17" s="965" t="s">
        <v>1551</v>
      </c>
    </row>
    <row r="18" customFormat="false" ht="13.9" hidden="false" customHeight="false" outlineLevel="0" collapsed="false">
      <c r="B18" s="966" t="s">
        <v>1555</v>
      </c>
      <c r="C18" s="937" t="n">
        <v>4</v>
      </c>
      <c r="D18" s="937" t="n">
        <v>4</v>
      </c>
      <c r="E18" s="937" t="n">
        <v>4</v>
      </c>
      <c r="F18" s="937" t="n">
        <v>2</v>
      </c>
      <c r="G18" s="967" t="n">
        <f aca="false">(C18*$O$11)+(D18*$O$12)+(E18*$O$13)+(F18*$O$14)</f>
        <v>231.111111111111</v>
      </c>
      <c r="H18" s="968" t="n">
        <f aca="false">D2-G18</f>
        <v>524.888888888889</v>
      </c>
      <c r="I18" s="968" t="n">
        <f aca="false">SUM(C32:F32)</f>
        <v>20</v>
      </c>
      <c r="J18" s="969" t="n">
        <f aca="false">I18*$H$26</f>
        <v>254.4</v>
      </c>
      <c r="K18" s="968" t="n">
        <f aca="false">H18+J18</f>
        <v>779.288888888889</v>
      </c>
      <c r="L18" s="970" t="n">
        <f aca="false">K18-D2</f>
        <v>23.2888888888889</v>
      </c>
    </row>
    <row r="19" customFormat="false" ht="13.9" hidden="false" customHeight="false" outlineLevel="0" collapsed="false">
      <c r="B19" s="966" t="s">
        <v>1556</v>
      </c>
      <c r="C19" s="937" t="n">
        <v>3</v>
      </c>
      <c r="D19" s="937" t="n">
        <v>3</v>
      </c>
      <c r="E19" s="937" t="n">
        <v>3</v>
      </c>
      <c r="F19" s="937" t="n">
        <v>1</v>
      </c>
      <c r="G19" s="967" t="n">
        <f aca="false">(C19*$O$11)+(D19*$O$12)+(E19*$O$13)+(F19*$O$14)</f>
        <v>165.555555555556</v>
      </c>
      <c r="H19" s="968" t="n">
        <f aca="false">D3-G19</f>
        <v>648.444444444445</v>
      </c>
      <c r="I19" s="968" t="n">
        <f aca="false">SUM(C33:F33)</f>
        <v>14</v>
      </c>
      <c r="J19" s="969" t="n">
        <f aca="false">I19*$H$26</f>
        <v>178.08</v>
      </c>
      <c r="K19" s="968" t="n">
        <f aca="false">H19+J19</f>
        <v>826.524444444445</v>
      </c>
      <c r="L19" s="970" t="n">
        <f aca="false">K19-D3</f>
        <v>12.5244444444445</v>
      </c>
    </row>
    <row r="20" customFormat="false" ht="13.9" hidden="false" customHeight="false" outlineLevel="0" collapsed="false">
      <c r="B20" s="966" t="s">
        <v>1557</v>
      </c>
      <c r="C20" s="937" t="n">
        <v>3</v>
      </c>
      <c r="D20" s="937" t="n">
        <v>3</v>
      </c>
      <c r="E20" s="937" t="n">
        <v>3</v>
      </c>
      <c r="F20" s="937" t="n">
        <v>2</v>
      </c>
      <c r="G20" s="967" t="n">
        <f aca="false">(C20*$O$11)+(D20*$O$12)+(E20*$O$13)+(F20*$O$14)</f>
        <v>181.111111111111</v>
      </c>
      <c r="H20" s="968" t="n">
        <f aca="false">D4-G20</f>
        <v>721.888888888889</v>
      </c>
      <c r="I20" s="968" t="n">
        <f aca="false">SUM(C34:F34)</f>
        <v>14</v>
      </c>
      <c r="J20" s="969" t="n">
        <f aca="false">I20*$H$26</f>
        <v>178.08</v>
      </c>
      <c r="K20" s="968" t="n">
        <f aca="false">H20+J20</f>
        <v>899.968888888889</v>
      </c>
      <c r="L20" s="970" t="n">
        <f aca="false">K20-D4</f>
        <v>-3.03111111111104</v>
      </c>
    </row>
    <row r="21" customFormat="false" ht="13.9" hidden="false" customHeight="false" outlineLevel="0" collapsed="false">
      <c r="B21" s="966" t="s">
        <v>1558</v>
      </c>
      <c r="C21" s="937" t="n">
        <v>4</v>
      </c>
      <c r="D21" s="937" t="n">
        <v>4</v>
      </c>
      <c r="E21" s="937" t="n">
        <v>4</v>
      </c>
      <c r="F21" s="937" t="n">
        <v>2</v>
      </c>
      <c r="G21" s="967" t="n">
        <f aca="false">(C21*$O$11)+(D21*$O$12)+(E21*$O$13)+(F21*$O$14)</f>
        <v>231.111111111111</v>
      </c>
      <c r="H21" s="968" t="n">
        <f aca="false">D5-G21</f>
        <v>637.888888888889</v>
      </c>
      <c r="I21" s="968" t="n">
        <f aca="false">SUM(C35:F35)</f>
        <v>14</v>
      </c>
      <c r="J21" s="969" t="n">
        <f aca="false">I21*$H$26</f>
        <v>178.08</v>
      </c>
      <c r="K21" s="968" t="n">
        <f aca="false">H21+J21</f>
        <v>815.968888888889</v>
      </c>
      <c r="L21" s="970" t="n">
        <f aca="false">K21-D5</f>
        <v>-53.031111111111</v>
      </c>
    </row>
    <row r="22" customFormat="false" ht="13.9" hidden="false" customHeight="false" outlineLevel="0" collapsed="false">
      <c r="B22" s="966" t="s">
        <v>1559</v>
      </c>
      <c r="G22" s="967" t="n">
        <f aca="false">(C22*$O$11)+(D22*$O$12)+(E22*$O$13)+(F22*$O$14)</f>
        <v>0</v>
      </c>
      <c r="H22" s="968" t="n">
        <f aca="false">D6-G22</f>
        <v>861</v>
      </c>
      <c r="I22" s="968" t="n">
        <f aca="false">SUM(C36:F36)</f>
        <v>7</v>
      </c>
      <c r="J22" s="969" t="n">
        <f aca="false">I22*$H$26</f>
        <v>89.04</v>
      </c>
      <c r="K22" s="968" t="n">
        <f aca="false">H22+J22</f>
        <v>950.04</v>
      </c>
      <c r="L22" s="970" t="n">
        <f aca="false">K22-D6</f>
        <v>89.04</v>
      </c>
    </row>
    <row r="23" customFormat="false" ht="14.45" hidden="false" customHeight="false" outlineLevel="0" collapsed="false">
      <c r="B23" s="971" t="s">
        <v>1560</v>
      </c>
      <c r="C23" s="972" t="n">
        <v>4</v>
      </c>
      <c r="D23" s="972" t="n">
        <v>4</v>
      </c>
      <c r="E23" s="972" t="n">
        <v>4</v>
      </c>
      <c r="F23" s="972" t="n">
        <v>2</v>
      </c>
      <c r="G23" s="973" t="n">
        <f aca="false">(C23*$O$11)+(D23*$O$12)+(E23*$O$13)+(F23*$O$14)</f>
        <v>231.111111111111</v>
      </c>
      <c r="H23" s="974" t="n">
        <f aca="false">D7-G23</f>
        <v>603.888888888889</v>
      </c>
      <c r="I23" s="974" t="n">
        <f aca="false">SUM(C37:F37)</f>
        <v>15</v>
      </c>
      <c r="J23" s="975" t="n">
        <f aca="false">I23*$H$26</f>
        <v>190.8</v>
      </c>
      <c r="K23" s="974" t="n">
        <f aca="false">H23+J23</f>
        <v>794.688888888889</v>
      </c>
      <c r="L23" s="976" t="n">
        <f aca="false">K23-D7</f>
        <v>-40.3111111111111</v>
      </c>
    </row>
    <row r="25" customFormat="false" ht="13.9" hidden="false" customHeight="false" outlineLevel="0" collapsed="false">
      <c r="C25" s="937" t="s">
        <v>15</v>
      </c>
      <c r="D25" s="937" t="s">
        <v>1552</v>
      </c>
      <c r="E25" s="937" t="s">
        <v>1553</v>
      </c>
    </row>
    <row r="26" customFormat="false" ht="13.9" hidden="false" customHeight="false" outlineLevel="0" collapsed="false">
      <c r="B26" s="937" t="s">
        <v>340</v>
      </c>
      <c r="C26" s="937" t="n">
        <v>21</v>
      </c>
      <c r="D26" s="937" t="n">
        <v>13.5</v>
      </c>
      <c r="E26" s="937" t="n">
        <f aca="false">ROUNDUP(((D26/C26)*1000)/54.5,0)*1.06</f>
        <v>12.72</v>
      </c>
      <c r="G26" s="937" t="s">
        <v>1565</v>
      </c>
      <c r="H26" s="937" t="n">
        <f aca="false">MAX(E26:E29)</f>
        <v>12.72</v>
      </c>
    </row>
    <row r="27" customFormat="false" ht="13.9" hidden="false" customHeight="false" outlineLevel="0" collapsed="false">
      <c r="B27" s="937" t="s">
        <v>344</v>
      </c>
      <c r="C27" s="937" t="n">
        <v>21</v>
      </c>
      <c r="D27" s="937" t="n">
        <v>13.5</v>
      </c>
      <c r="E27" s="937" t="n">
        <f aca="false">ROUNDUP(((D27/C27)*1000)/54.5,0)*1.06</f>
        <v>12.72</v>
      </c>
    </row>
    <row r="28" customFormat="false" ht="13.9" hidden="false" customHeight="false" outlineLevel="0" collapsed="false">
      <c r="B28" s="937" t="s">
        <v>346</v>
      </c>
      <c r="C28" s="937" t="n">
        <v>21</v>
      </c>
      <c r="D28" s="937" t="n">
        <v>13.5</v>
      </c>
      <c r="E28" s="937" t="n">
        <f aca="false">ROUNDUP(((D28/C28)*1000)/54.5,0)*1.06</f>
        <v>12.72</v>
      </c>
    </row>
    <row r="29" customFormat="false" ht="13.9" hidden="false" customHeight="false" outlineLevel="0" collapsed="false">
      <c r="B29" s="937" t="s">
        <v>348</v>
      </c>
      <c r="C29" s="937" t="n">
        <v>21</v>
      </c>
      <c r="D29" s="937" t="n">
        <v>13.5</v>
      </c>
      <c r="E29" s="937" t="n">
        <f aca="false">ROUNDUP(((D29/C29)*1000)/54.5,0)*1.06</f>
        <v>12.72</v>
      </c>
    </row>
    <row r="30" customFormat="false" ht="14.45" hidden="false" customHeight="false" outlineLevel="0" collapsed="false"/>
    <row r="31" customFormat="false" ht="13.9" hidden="false" customHeight="false" outlineLevel="0" collapsed="false">
      <c r="B31" s="962"/>
      <c r="C31" s="963" t="s">
        <v>340</v>
      </c>
      <c r="D31" s="963" t="s">
        <v>344</v>
      </c>
      <c r="E31" s="963" t="s">
        <v>346</v>
      </c>
      <c r="F31" s="964" t="s">
        <v>348</v>
      </c>
    </row>
    <row r="32" customFormat="false" ht="13.9" hidden="false" customHeight="false" outlineLevel="0" collapsed="false">
      <c r="B32" s="966" t="s">
        <v>1555</v>
      </c>
      <c r="C32" s="961"/>
      <c r="D32" s="961" t="n">
        <v>10</v>
      </c>
      <c r="E32" s="961"/>
      <c r="F32" s="977" t="n">
        <v>10</v>
      </c>
    </row>
    <row r="33" customFormat="false" ht="13.9" hidden="false" customHeight="false" outlineLevel="0" collapsed="false">
      <c r="B33" s="966" t="s">
        <v>1556</v>
      </c>
      <c r="C33" s="961" t="n">
        <v>7</v>
      </c>
      <c r="D33" s="961"/>
      <c r="E33" s="961" t="n">
        <v>7</v>
      </c>
      <c r="F33" s="977"/>
    </row>
    <row r="34" customFormat="false" ht="13.9" hidden="false" customHeight="false" outlineLevel="0" collapsed="false">
      <c r="B34" s="966" t="s">
        <v>1557</v>
      </c>
      <c r="C34" s="961" t="n">
        <v>7</v>
      </c>
      <c r="D34" s="961"/>
      <c r="E34" s="961" t="n">
        <v>7</v>
      </c>
      <c r="F34" s="977"/>
    </row>
    <row r="35" customFormat="false" ht="13.9" hidden="false" customHeight="false" outlineLevel="0" collapsed="false">
      <c r="B35" s="966" t="s">
        <v>1558</v>
      </c>
      <c r="C35" s="961" t="n">
        <v>7</v>
      </c>
      <c r="D35" s="961"/>
      <c r="E35" s="961" t="n">
        <v>7</v>
      </c>
      <c r="F35" s="977"/>
    </row>
    <row r="36" customFormat="false" ht="13.9" hidden="false" customHeight="false" outlineLevel="0" collapsed="false">
      <c r="B36" s="966" t="s">
        <v>1559</v>
      </c>
      <c r="C36" s="961"/>
      <c r="D36" s="961" t="n">
        <v>2</v>
      </c>
      <c r="E36" s="961"/>
      <c r="F36" s="977" t="n">
        <v>5</v>
      </c>
    </row>
    <row r="37" customFormat="false" ht="14.45" hidden="false" customHeight="false" outlineLevel="0" collapsed="false">
      <c r="B37" s="971" t="s">
        <v>1560</v>
      </c>
      <c r="C37" s="978"/>
      <c r="D37" s="978" t="n">
        <v>9</v>
      </c>
      <c r="E37" s="978"/>
      <c r="F37" s="979" t="n">
        <v>6</v>
      </c>
    </row>
    <row r="38" customFormat="false" ht="13.9" hidden="false" customHeight="false" outlineLevel="0" collapsed="false">
      <c r="C38" s="961" t="n">
        <f aca="false">SUM(C32:C37)</f>
        <v>21</v>
      </c>
      <c r="D38" s="961" t="n">
        <f aca="false">SUM(D32:D37)</f>
        <v>21</v>
      </c>
      <c r="E38" s="961" t="n">
        <f aca="false">SUM(E32:E37)</f>
        <v>21</v>
      </c>
      <c r="F38" s="961" t="n">
        <f aca="false">SUM(F32:F37)</f>
        <v>21</v>
      </c>
    </row>
  </sheetData>
  <mergeCells count="3">
    <mergeCell ref="E2:E7"/>
    <mergeCell ref="G2:G7"/>
    <mergeCell ref="K2:K7"/>
  </mergeCells>
  <conditionalFormatting sqref="J2:J7">
    <cfRule type="cellIs" priority="2" operator="lessThanOrEqual" aboveAverage="0" equalAverage="0" bottom="0" percent="0" rank="0" text="" dxfId="77">
      <formula>0</formula>
    </cfRule>
    <cfRule type="cellIs" priority="3" operator="lessThan" aboveAverage="0" equalAverage="0" bottom="0" percent="0" rank="0" text="" dxfId="78">
      <formula>0.06</formula>
    </cfRule>
    <cfRule type="cellIs" priority="4" operator="greaterThanOrEqual" aboveAverage="0" equalAverage="0" bottom="0" percent="0" rank="0" text="" dxfId="79">
      <formula>0.195</formula>
    </cfRule>
    <cfRule type="cellIs" priority="5" operator="between" aboveAverage="0" equalAverage="0" bottom="0" percent="0" rank="0" text="" dxfId="80">
      <formula>0.06</formula>
      <formula>0.195</formula>
    </cfRule>
  </conditionalFormatting>
  <conditionalFormatting sqref="K2:K7">
    <cfRule type="cellIs" priority="6" operator="lessThan" aboveAverage="0" equalAverage="0" bottom="0" percent="0" rank="0" text="" dxfId="81">
      <formula>0.805</formula>
    </cfRule>
    <cfRule type="cellIs" priority="7" operator="between" aboveAverage="0" equalAverage="0" bottom="0" percent="0" rank="0" text="" dxfId="82">
      <formula>0.805</formula>
      <formula>0.945</formula>
    </cfRule>
    <cfRule type="cellIs" priority="8" operator="greaterThanOrEqual" aboveAverage="0" equalAverage="0" bottom="0" percent="0" rank="0" text="" dxfId="83">
      <formula>0.945</formula>
    </cfRule>
  </conditionalFormatting>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2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C46" activeCellId="0" sqref="AC46"/>
    </sheetView>
  </sheetViews>
  <sheetFormatPr defaultColWidth="21.5078125" defaultRowHeight="13.9" zeroHeight="false" outlineLevelRow="0" outlineLevelCol="0"/>
  <cols>
    <col collapsed="false" customWidth="false" hidden="false" outlineLevel="0" max="1024" min="1" style="937" width="21.5"/>
  </cols>
  <sheetData>
    <row r="1" customFormat="false" ht="14.45" hidden="false" customHeight="false" outlineLevel="0" collapsed="false">
      <c r="B1" s="938" t="s">
        <v>524</v>
      </c>
      <c r="C1" s="938" t="s">
        <v>592</v>
      </c>
      <c r="D1" s="938" t="s">
        <v>1494</v>
      </c>
      <c r="E1" s="938" t="s">
        <v>1531</v>
      </c>
      <c r="F1" s="938" t="s">
        <v>24</v>
      </c>
      <c r="G1" s="938"/>
      <c r="H1" s="938" t="s">
        <v>1532</v>
      </c>
      <c r="I1" s="938" t="s">
        <v>554</v>
      </c>
      <c r="J1" s="938"/>
      <c r="K1" s="938"/>
    </row>
    <row r="2" customFormat="false" ht="13.9" hidden="false" customHeight="false" outlineLevel="0" collapsed="false">
      <c r="B2" s="939" t="s">
        <v>144</v>
      </c>
      <c r="C2" s="940" t="s">
        <v>145</v>
      </c>
      <c r="D2" s="941" t="n">
        <v>787</v>
      </c>
      <c r="E2" s="942"/>
      <c r="F2" s="940"/>
      <c r="G2" s="943"/>
      <c r="H2" s="944"/>
      <c r="I2" s="945"/>
      <c r="J2" s="946"/>
      <c r="K2" s="947"/>
    </row>
    <row r="3" customFormat="false" ht="13.9" hidden="false" customHeight="false" outlineLevel="0" collapsed="false">
      <c r="B3" s="948" t="s">
        <v>144</v>
      </c>
      <c r="C3" s="949" t="s">
        <v>146</v>
      </c>
      <c r="D3" s="950" t="n">
        <v>765</v>
      </c>
      <c r="E3" s="942"/>
      <c r="F3" s="949"/>
      <c r="G3" s="943"/>
      <c r="H3" s="949"/>
      <c r="I3" s="951"/>
      <c r="J3" s="952"/>
      <c r="K3" s="947"/>
    </row>
    <row r="4" customFormat="false" ht="13.9" hidden="false" customHeight="false" outlineLevel="0" collapsed="false">
      <c r="B4" s="948" t="s">
        <v>144</v>
      </c>
      <c r="C4" s="949" t="s">
        <v>147</v>
      </c>
      <c r="D4" s="950" t="n">
        <v>765</v>
      </c>
      <c r="E4" s="942"/>
      <c r="F4" s="949"/>
      <c r="G4" s="943"/>
      <c r="H4" s="949"/>
      <c r="I4" s="951"/>
      <c r="J4" s="952"/>
      <c r="K4" s="947"/>
    </row>
    <row r="5" customFormat="false" ht="13.9" hidden="false" customHeight="false" outlineLevel="0" collapsed="false">
      <c r="B5" s="948" t="s">
        <v>144</v>
      </c>
      <c r="C5" s="949" t="s">
        <v>148</v>
      </c>
      <c r="D5" s="950" t="n">
        <v>663</v>
      </c>
      <c r="E5" s="942"/>
      <c r="F5" s="949"/>
      <c r="G5" s="943"/>
      <c r="H5" s="949"/>
      <c r="I5" s="951"/>
      <c r="J5" s="952"/>
      <c r="K5" s="947"/>
    </row>
    <row r="6" customFormat="false" ht="13.9" hidden="false" customHeight="false" outlineLevel="0" collapsed="false">
      <c r="B6" s="948" t="s">
        <v>144</v>
      </c>
      <c r="C6" s="949" t="s">
        <v>149</v>
      </c>
      <c r="D6" s="950" t="n">
        <v>777</v>
      </c>
      <c r="E6" s="942"/>
      <c r="F6" s="949"/>
      <c r="G6" s="943"/>
      <c r="H6" s="949"/>
      <c r="I6" s="951"/>
      <c r="J6" s="952"/>
      <c r="K6" s="947"/>
    </row>
    <row r="7" customFormat="false" ht="14.45" hidden="false" customHeight="false" outlineLevel="0" collapsed="false">
      <c r="B7" s="953" t="s">
        <v>144</v>
      </c>
      <c r="C7" s="954" t="s">
        <v>150</v>
      </c>
      <c r="D7" s="955" t="n">
        <v>850</v>
      </c>
      <c r="E7" s="942"/>
      <c r="F7" s="954"/>
      <c r="G7" s="943"/>
      <c r="H7" s="954"/>
      <c r="I7" s="956"/>
      <c r="J7" s="957"/>
      <c r="K7" s="947"/>
    </row>
    <row r="10" customFormat="false" ht="27.6" hidden="false" customHeight="false" outlineLevel="0" collapsed="false">
      <c r="B10" s="958" t="s">
        <v>8</v>
      </c>
      <c r="C10" s="959" t="s">
        <v>384</v>
      </c>
      <c r="D10" s="959" t="s">
        <v>385</v>
      </c>
      <c r="E10" s="960" t="s">
        <v>293</v>
      </c>
      <c r="F10" s="960" t="s">
        <v>294</v>
      </c>
      <c r="G10" s="960" t="s">
        <v>296</v>
      </c>
      <c r="H10" s="959" t="s">
        <v>297</v>
      </c>
      <c r="I10" s="959" t="s">
        <v>298</v>
      </c>
      <c r="J10" s="959" t="s">
        <v>1539</v>
      </c>
      <c r="K10" s="959" t="s">
        <v>1540</v>
      </c>
      <c r="L10" s="959" t="s">
        <v>303</v>
      </c>
      <c r="M10" s="959" t="s">
        <v>306</v>
      </c>
      <c r="N10" s="959" t="s">
        <v>307</v>
      </c>
      <c r="O10" s="937" t="s">
        <v>1541</v>
      </c>
    </row>
    <row r="11" customFormat="false" ht="13.9" hidden="false" customHeight="false" outlineLevel="0" collapsed="false">
      <c r="B11" s="961" t="s">
        <v>268</v>
      </c>
      <c r="C11" s="961" t="s">
        <v>1566</v>
      </c>
      <c r="D11" s="961" t="s">
        <v>391</v>
      </c>
      <c r="E11" s="961" t="n">
        <v>18</v>
      </c>
      <c r="F11" s="961" t="n">
        <v>4</v>
      </c>
      <c r="G11" s="961" t="n">
        <v>42</v>
      </c>
      <c r="H11" s="961" t="n">
        <v>182</v>
      </c>
      <c r="I11" s="961" t="n">
        <v>0</v>
      </c>
      <c r="J11" s="961" t="n">
        <v>85</v>
      </c>
      <c r="K11" s="961" t="n">
        <v>19</v>
      </c>
      <c r="L11" s="961" t="n">
        <v>20.71</v>
      </c>
      <c r="M11" s="961"/>
      <c r="N11" s="961"/>
      <c r="O11" s="937" t="n">
        <f aca="false">((L11/E11)*1000)/54.5</f>
        <v>21.1111111111111</v>
      </c>
    </row>
    <row r="12" customFormat="false" ht="13.9" hidden="false" customHeight="false" outlineLevel="0" collapsed="false">
      <c r="B12" s="961" t="s">
        <v>268</v>
      </c>
      <c r="C12" s="961" t="s">
        <v>1567</v>
      </c>
      <c r="D12" s="961" t="s">
        <v>391</v>
      </c>
      <c r="E12" s="961" t="n">
        <v>18</v>
      </c>
      <c r="F12" s="961" t="n">
        <v>4</v>
      </c>
      <c r="G12" s="961" t="n">
        <v>42</v>
      </c>
      <c r="H12" s="961" t="n">
        <v>182</v>
      </c>
      <c r="I12" s="961" t="n">
        <v>0</v>
      </c>
      <c r="J12" s="961" t="n">
        <v>57</v>
      </c>
      <c r="K12" s="961" t="n">
        <v>13</v>
      </c>
      <c r="L12" s="961" t="n">
        <v>14.17</v>
      </c>
      <c r="M12" s="961"/>
      <c r="N12" s="961"/>
      <c r="O12" s="937" t="n">
        <f aca="false">((L12/E12)*1000)/54.5</f>
        <v>14.4444444444444</v>
      </c>
    </row>
    <row r="13" customFormat="false" ht="13.9" hidden="false" customHeight="false" outlineLevel="0" collapsed="false">
      <c r="B13" s="961" t="s">
        <v>268</v>
      </c>
      <c r="C13" s="961" t="s">
        <v>1568</v>
      </c>
      <c r="D13" s="961" t="s">
        <v>391</v>
      </c>
      <c r="E13" s="961" t="n">
        <v>18</v>
      </c>
      <c r="F13" s="961" t="n">
        <v>4</v>
      </c>
      <c r="G13" s="961" t="n">
        <v>42</v>
      </c>
      <c r="H13" s="961" t="n">
        <v>182</v>
      </c>
      <c r="I13" s="961" t="n">
        <v>0</v>
      </c>
      <c r="J13" s="961" t="n">
        <v>47</v>
      </c>
      <c r="K13" s="961" t="n">
        <v>10</v>
      </c>
      <c r="L13" s="961" t="n">
        <v>10.9</v>
      </c>
      <c r="M13" s="961"/>
      <c r="N13" s="961"/>
      <c r="O13" s="937" t="n">
        <f aca="false">((L13/E13)*1000)/54.5</f>
        <v>11.1111111111111</v>
      </c>
    </row>
    <row r="14" customFormat="false" ht="13.9" hidden="false" customHeight="false" outlineLevel="0" collapsed="false">
      <c r="B14" s="961"/>
      <c r="C14" s="961"/>
      <c r="D14" s="961"/>
      <c r="E14" s="961"/>
      <c r="F14" s="961"/>
      <c r="G14" s="961"/>
      <c r="H14" s="961"/>
      <c r="I14" s="961"/>
      <c r="J14" s="961"/>
      <c r="K14" s="961"/>
      <c r="L14" s="961"/>
      <c r="M14" s="961"/>
      <c r="N14" s="961"/>
      <c r="O14" s="937" t="e">
        <f aca="false">((L14/E14)*1000)/54.5</f>
        <v>#DIV/0!</v>
      </c>
    </row>
    <row r="17" customFormat="false" ht="13.9" hidden="false" customHeight="false" outlineLevel="0" collapsed="false">
      <c r="B17" s="962"/>
      <c r="C17" s="963" t="s">
        <v>1566</v>
      </c>
      <c r="D17" s="963" t="s">
        <v>1567</v>
      </c>
      <c r="E17" s="963" t="s">
        <v>1568</v>
      </c>
      <c r="F17" s="963"/>
      <c r="G17" s="964" t="s">
        <v>1546</v>
      </c>
      <c r="H17" s="965" t="s">
        <v>1547</v>
      </c>
      <c r="I17" s="965" t="s">
        <v>1548</v>
      </c>
      <c r="J17" s="965" t="s">
        <v>1549</v>
      </c>
      <c r="K17" s="965" t="s">
        <v>1550</v>
      </c>
      <c r="L17" s="965" t="s">
        <v>1551</v>
      </c>
    </row>
    <row r="18" customFormat="false" ht="13.9" hidden="false" customHeight="false" outlineLevel="0" collapsed="false">
      <c r="B18" s="966" t="s">
        <v>145</v>
      </c>
      <c r="C18" s="937" t="n">
        <v>3</v>
      </c>
      <c r="D18" s="937" t="n">
        <v>3</v>
      </c>
      <c r="E18" s="937" t="n">
        <v>3</v>
      </c>
      <c r="G18" s="967" t="n">
        <f aca="false">(C18*$O$11)+(D18*$O$12)+(E18*$O$13)</f>
        <v>140</v>
      </c>
      <c r="H18" s="968" t="n">
        <f aca="false">D2-G18</f>
        <v>647</v>
      </c>
      <c r="I18" s="968" t="n">
        <v>13</v>
      </c>
      <c r="J18" s="969" t="n">
        <f aca="false">I18*$H$26</f>
        <v>206.7</v>
      </c>
      <c r="K18" s="968" t="n">
        <f aca="false">H18+J18</f>
        <v>853.7</v>
      </c>
      <c r="L18" s="970" t="n">
        <f aca="false">K18-D2</f>
        <v>66.7</v>
      </c>
    </row>
    <row r="19" customFormat="false" ht="13.9" hidden="false" customHeight="false" outlineLevel="0" collapsed="false">
      <c r="B19" s="966" t="s">
        <v>146</v>
      </c>
      <c r="C19" s="937" t="n">
        <v>3</v>
      </c>
      <c r="D19" s="937" t="n">
        <v>3</v>
      </c>
      <c r="E19" s="937" t="n">
        <v>3</v>
      </c>
      <c r="G19" s="967" t="n">
        <f aca="false">(C19*$O$11)+(D19*$O$12)+(E19*$O$13)</f>
        <v>140</v>
      </c>
      <c r="H19" s="968" t="n">
        <f aca="false">D3-G19</f>
        <v>625</v>
      </c>
      <c r="I19" s="968" t="n">
        <v>11</v>
      </c>
      <c r="J19" s="969" t="n">
        <f aca="false">I19*$H$26</f>
        <v>174.9</v>
      </c>
      <c r="K19" s="968" t="n">
        <f aca="false">H19+J19</f>
        <v>799.9</v>
      </c>
      <c r="L19" s="970" t="n">
        <f aca="false">K19-D3</f>
        <v>34.9</v>
      </c>
    </row>
    <row r="20" customFormat="false" ht="13.9" hidden="false" customHeight="false" outlineLevel="0" collapsed="false">
      <c r="B20" s="966" t="s">
        <v>147</v>
      </c>
      <c r="C20" s="937" t="n">
        <v>3</v>
      </c>
      <c r="D20" s="937" t="n">
        <v>3</v>
      </c>
      <c r="E20" s="937" t="n">
        <v>3</v>
      </c>
      <c r="G20" s="967" t="n">
        <f aca="false">(C20*$O$11)+(D20*$O$12)+(E20*$O$13)</f>
        <v>140</v>
      </c>
      <c r="H20" s="968" t="n">
        <f aca="false">D4-G20</f>
        <v>625</v>
      </c>
      <c r="I20" s="968" t="n">
        <v>12</v>
      </c>
      <c r="J20" s="969" t="n">
        <f aca="false">I20*$H$26</f>
        <v>190.8</v>
      </c>
      <c r="K20" s="968" t="n">
        <f aca="false">H20+J20</f>
        <v>815.8</v>
      </c>
      <c r="L20" s="970" t="n">
        <f aca="false">K20-D4</f>
        <v>50.8</v>
      </c>
    </row>
    <row r="21" customFormat="false" ht="13.9" hidden="false" customHeight="false" outlineLevel="0" collapsed="false">
      <c r="B21" s="966" t="s">
        <v>148</v>
      </c>
      <c r="C21" s="937" t="n">
        <v>3</v>
      </c>
      <c r="D21" s="937" t="n">
        <v>3</v>
      </c>
      <c r="E21" s="937" t="n">
        <v>3</v>
      </c>
      <c r="G21" s="967" t="n">
        <f aca="false">(C21*$O$11)+(D21*$O$12)+(E21*$O$13)</f>
        <v>140</v>
      </c>
      <c r="H21" s="968" t="n">
        <f aca="false">D5-G21</f>
        <v>523</v>
      </c>
      <c r="I21" s="968" t="n">
        <v>13</v>
      </c>
      <c r="J21" s="969" t="n">
        <f aca="false">I21*$H$26</f>
        <v>206.7</v>
      </c>
      <c r="K21" s="968" t="n">
        <f aca="false">H21+J21</f>
        <v>729.7</v>
      </c>
      <c r="L21" s="970" t="n">
        <f aca="false">K21-D5</f>
        <v>66.7</v>
      </c>
    </row>
    <row r="22" customFormat="false" ht="13.9" hidden="false" customHeight="false" outlineLevel="0" collapsed="false">
      <c r="B22" s="966" t="s">
        <v>149</v>
      </c>
      <c r="C22" s="937" t="n">
        <v>3</v>
      </c>
      <c r="D22" s="937" t="n">
        <v>3</v>
      </c>
      <c r="E22" s="937" t="n">
        <v>3</v>
      </c>
      <c r="G22" s="967" t="n">
        <f aca="false">(C22*$O$11)+(D22*$O$12)+(E22*$O$13)</f>
        <v>140</v>
      </c>
      <c r="H22" s="968" t="n">
        <f aca="false">D6-G22</f>
        <v>637</v>
      </c>
      <c r="I22" s="968" t="n">
        <v>12</v>
      </c>
      <c r="J22" s="969" t="n">
        <f aca="false">I22*$H$26</f>
        <v>190.8</v>
      </c>
      <c r="K22" s="968" t="n">
        <f aca="false">H22+J22</f>
        <v>827.8</v>
      </c>
      <c r="L22" s="970" t="n">
        <f aca="false">K22-D6</f>
        <v>50.8</v>
      </c>
    </row>
    <row r="23" customFormat="false" ht="14.45" hidden="false" customHeight="false" outlineLevel="0" collapsed="false">
      <c r="B23" s="971" t="s">
        <v>150</v>
      </c>
      <c r="C23" s="972" t="n">
        <v>3</v>
      </c>
      <c r="D23" s="972" t="n">
        <v>3</v>
      </c>
      <c r="E23" s="972" t="n">
        <v>3</v>
      </c>
      <c r="F23" s="972"/>
      <c r="G23" s="973" t="n">
        <f aca="false">(C23*$O$11)+(D23*$O$12)+(E23*$O$13)</f>
        <v>140</v>
      </c>
      <c r="H23" s="974" t="n">
        <f aca="false">D7-G23</f>
        <v>710</v>
      </c>
      <c r="I23" s="974" t="n">
        <v>11</v>
      </c>
      <c r="J23" s="975" t="n">
        <f aca="false">I23*$H$26</f>
        <v>174.9</v>
      </c>
      <c r="K23" s="974" t="n">
        <f aca="false">H23+J23</f>
        <v>884.9</v>
      </c>
      <c r="L23" s="976" t="n">
        <f aca="false">K23-D7</f>
        <v>34.9</v>
      </c>
    </row>
    <row r="25" customFormat="false" ht="13.9" hidden="false" customHeight="false" outlineLevel="0" collapsed="false">
      <c r="C25" s="937" t="s">
        <v>15</v>
      </c>
      <c r="D25" s="937" t="s">
        <v>1552</v>
      </c>
      <c r="E25" s="937" t="s">
        <v>1553</v>
      </c>
    </row>
    <row r="26" customFormat="false" ht="13.9" hidden="false" customHeight="false" outlineLevel="0" collapsed="false">
      <c r="B26" s="937" t="s">
        <v>367</v>
      </c>
      <c r="C26" s="937" t="n">
        <v>14</v>
      </c>
      <c r="D26" s="937" t="n">
        <v>10</v>
      </c>
      <c r="E26" s="937" t="n">
        <f aca="false">ROUNDUP(((D26/C26)*1000)/54.5,0)*1.06</f>
        <v>14.84</v>
      </c>
      <c r="G26" s="937" t="s">
        <v>1565</v>
      </c>
      <c r="H26" s="937" t="n">
        <f aca="false">MAX(E26:E29)</f>
        <v>15.9</v>
      </c>
    </row>
    <row r="27" customFormat="false" ht="13.9" hidden="false" customHeight="false" outlineLevel="0" collapsed="false">
      <c r="B27" s="937" t="s">
        <v>369</v>
      </c>
      <c r="C27" s="937" t="n">
        <v>14</v>
      </c>
      <c r="D27" s="937" t="n">
        <v>10</v>
      </c>
      <c r="E27" s="937" t="n">
        <f aca="false">ROUNDUP(((D27/C27)*1000)/54.5,0)*1.06</f>
        <v>14.84</v>
      </c>
    </row>
    <row r="28" customFormat="false" ht="13.9" hidden="false" customHeight="false" outlineLevel="0" collapsed="false">
      <c r="B28" s="937" t="s">
        <v>371</v>
      </c>
      <c r="C28" s="937" t="n">
        <v>22</v>
      </c>
      <c r="D28" s="937" t="n">
        <v>17.5</v>
      </c>
      <c r="E28" s="937" t="n">
        <f aca="false">ROUNDUP(((D28/C28)*1000)/54.5,0)*1.06</f>
        <v>15.9</v>
      </c>
    </row>
    <row r="29" customFormat="false" ht="13.9" hidden="false" customHeight="false" outlineLevel="0" collapsed="false">
      <c r="B29" s="937" t="s">
        <v>372</v>
      </c>
      <c r="C29" s="937" t="n">
        <v>22</v>
      </c>
      <c r="D29" s="937" t="n">
        <v>17.5</v>
      </c>
      <c r="E29" s="937" t="n">
        <f aca="false">ROUNDUP(((D29/C29)*1000)/54.5,0)*1.06</f>
        <v>15.9</v>
      </c>
    </row>
  </sheetData>
  <mergeCells count="3">
    <mergeCell ref="E2:E7"/>
    <mergeCell ref="G2:G7"/>
    <mergeCell ref="K2:K7"/>
  </mergeCells>
  <conditionalFormatting sqref="J2:J7">
    <cfRule type="cellIs" priority="2" operator="lessThanOrEqual" aboveAverage="0" equalAverage="0" bottom="0" percent="0" rank="0" text="" dxfId="84">
      <formula>0</formula>
    </cfRule>
    <cfRule type="cellIs" priority="3" operator="lessThan" aboveAverage="0" equalAverage="0" bottom="0" percent="0" rank="0" text="" dxfId="85">
      <formula>0.06</formula>
    </cfRule>
    <cfRule type="cellIs" priority="4" operator="greaterThanOrEqual" aboveAverage="0" equalAverage="0" bottom="0" percent="0" rank="0" text="" dxfId="86">
      <formula>0.195</formula>
    </cfRule>
    <cfRule type="cellIs" priority="5" operator="between" aboveAverage="0" equalAverage="0" bottom="0" percent="0" rank="0" text="" dxfId="87">
      <formula>0.06</formula>
      <formula>0.195</formula>
    </cfRule>
  </conditionalFormatting>
  <conditionalFormatting sqref="K2:K7">
    <cfRule type="cellIs" priority="6" operator="lessThan" aboveAverage="0" equalAverage="0" bottom="0" percent="0" rank="0" text="" dxfId="88">
      <formula>0.805</formula>
    </cfRule>
    <cfRule type="cellIs" priority="7" operator="between" aboveAverage="0" equalAverage="0" bottom="0" percent="0" rank="0" text="" dxfId="89">
      <formula>0.805</formula>
      <formula>0.945</formula>
    </cfRule>
    <cfRule type="cellIs" priority="8" operator="greaterThanOrEqual" aboveAverage="0" equalAverage="0" bottom="0" percent="0" rank="0" text="" dxfId="90">
      <formula>0.945</formula>
    </cfRule>
  </conditionalFormatting>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C46" activeCellId="0" sqref="AC46"/>
    </sheetView>
  </sheetViews>
  <sheetFormatPr defaultColWidth="14.66796875" defaultRowHeight="13.9" zeroHeight="false" outlineLevelRow="0" outlineLevelCol="0"/>
  <cols>
    <col collapsed="false" customWidth="false" hidden="false" outlineLevel="0" max="1024" min="1" style="937" width="14.66"/>
  </cols>
  <sheetData>
    <row r="1" customFormat="false" ht="14.45" hidden="false" customHeight="false" outlineLevel="0" collapsed="false">
      <c r="B1" s="938" t="s">
        <v>524</v>
      </c>
      <c r="C1" s="938" t="s">
        <v>592</v>
      </c>
      <c r="D1" s="938" t="s">
        <v>1494</v>
      </c>
    </row>
    <row r="2" customFormat="false" ht="13.9" hidden="false" customHeight="false" outlineLevel="0" collapsed="false">
      <c r="B2" s="939" t="s">
        <v>51</v>
      </c>
      <c r="C2" s="940" t="s">
        <v>52</v>
      </c>
      <c r="D2" s="941" t="n">
        <v>766</v>
      </c>
    </row>
    <row r="3" customFormat="false" ht="13.9" hidden="false" customHeight="false" outlineLevel="0" collapsed="false">
      <c r="B3" s="948" t="s">
        <v>51</v>
      </c>
      <c r="C3" s="949" t="s">
        <v>60</v>
      </c>
      <c r="D3" s="950" t="n">
        <v>815</v>
      </c>
    </row>
    <row r="4" customFormat="false" ht="13.9" hidden="false" customHeight="false" outlineLevel="0" collapsed="false">
      <c r="B4" s="948" t="s">
        <v>51</v>
      </c>
      <c r="C4" s="949" t="s">
        <v>62</v>
      </c>
      <c r="D4" s="950" t="n">
        <v>732</v>
      </c>
    </row>
    <row r="5" customFormat="false" ht="13.9" hidden="false" customHeight="false" outlineLevel="0" collapsed="false">
      <c r="B5" s="948" t="s">
        <v>51</v>
      </c>
      <c r="C5" s="949" t="s">
        <v>64</v>
      </c>
      <c r="D5" s="949" t="n">
        <v>809</v>
      </c>
    </row>
    <row r="6" customFormat="false" ht="13.9" hidden="false" customHeight="false" outlineLevel="0" collapsed="false">
      <c r="B6" s="948" t="s">
        <v>51</v>
      </c>
      <c r="C6" s="949" t="s">
        <v>65</v>
      </c>
      <c r="D6" s="949" t="n">
        <v>848</v>
      </c>
    </row>
    <row r="7" customFormat="false" ht="13.9" hidden="false" customHeight="false" outlineLevel="0" collapsed="false">
      <c r="B7" s="948" t="s">
        <v>51</v>
      </c>
      <c r="C7" s="949" t="s">
        <v>66</v>
      </c>
      <c r="D7" s="949" t="n">
        <v>321</v>
      </c>
    </row>
    <row r="8" customFormat="false" ht="13.9" hidden="false" customHeight="false" outlineLevel="0" collapsed="false">
      <c r="B8" s="948" t="s">
        <v>51</v>
      </c>
      <c r="C8" s="949" t="s">
        <v>67</v>
      </c>
      <c r="D8" s="949" t="n">
        <v>815</v>
      </c>
    </row>
    <row r="9" customFormat="false" ht="14.45" hidden="false" customHeight="false" outlineLevel="0" collapsed="false">
      <c r="B9" s="953" t="s">
        <v>51</v>
      </c>
      <c r="C9" s="954" t="s">
        <v>68</v>
      </c>
      <c r="D9" s="954" t="n">
        <v>797</v>
      </c>
    </row>
    <row r="12" customFormat="false" ht="41.45" hidden="false" customHeight="false" outlineLevel="0" collapsed="false">
      <c r="B12" s="958" t="s">
        <v>8</v>
      </c>
      <c r="C12" s="959" t="s">
        <v>384</v>
      </c>
      <c r="D12" s="959" t="s">
        <v>385</v>
      </c>
      <c r="E12" s="960" t="s">
        <v>293</v>
      </c>
      <c r="F12" s="960" t="s">
        <v>294</v>
      </c>
      <c r="G12" s="960" t="s">
        <v>296</v>
      </c>
      <c r="H12" s="959" t="s">
        <v>297</v>
      </c>
      <c r="I12" s="959" t="s">
        <v>298</v>
      </c>
      <c r="J12" s="959" t="s">
        <v>1539</v>
      </c>
      <c r="K12" s="959" t="s">
        <v>1540</v>
      </c>
      <c r="L12" s="959" t="s">
        <v>303</v>
      </c>
      <c r="M12" s="959" t="s">
        <v>306</v>
      </c>
      <c r="N12" s="959" t="s">
        <v>307</v>
      </c>
      <c r="O12" s="937" t="s">
        <v>1541</v>
      </c>
    </row>
    <row r="13" customFormat="false" ht="13.9" hidden="false" customHeight="false" outlineLevel="0" collapsed="false">
      <c r="B13" s="961" t="s">
        <v>254</v>
      </c>
      <c r="C13" s="961" t="s">
        <v>1569</v>
      </c>
      <c r="D13" s="961" t="s">
        <v>391</v>
      </c>
      <c r="E13" s="961" t="n">
        <v>18</v>
      </c>
      <c r="F13" s="961" t="n">
        <v>4</v>
      </c>
      <c r="G13" s="961" t="n">
        <f aca="false">(E13-F13)*3</f>
        <v>42</v>
      </c>
      <c r="H13" s="961" t="n">
        <f aca="false">INT((G13*1000)/230)</f>
        <v>182</v>
      </c>
      <c r="I13" s="961" t="n">
        <f aca="false">42-G13</f>
        <v>0</v>
      </c>
      <c r="J13" s="961" t="n">
        <v>108</v>
      </c>
      <c r="K13" s="961" t="n">
        <f aca="false">INT((J13*230)/1000)</f>
        <v>24</v>
      </c>
      <c r="L13" s="961" t="n">
        <f aca="false">K13*1.09</f>
        <v>26.16</v>
      </c>
      <c r="M13" s="961"/>
      <c r="N13" s="961"/>
      <c r="O13" s="937" t="n">
        <f aca="false">((L13/E13)*1000)/54.5</f>
        <v>26.6666666666667</v>
      </c>
    </row>
    <row r="14" customFormat="false" ht="13.9" hidden="false" customHeight="false" outlineLevel="0" collapsed="false">
      <c r="B14" s="961" t="s">
        <v>254</v>
      </c>
      <c r="C14" s="961" t="s">
        <v>1570</v>
      </c>
      <c r="D14" s="961" t="s">
        <v>391</v>
      </c>
      <c r="E14" s="961" t="n">
        <v>18</v>
      </c>
      <c r="F14" s="961" t="n">
        <v>4</v>
      </c>
      <c r="G14" s="961" t="n">
        <f aca="false">(E14-F14)*3</f>
        <v>42</v>
      </c>
      <c r="H14" s="961" t="n">
        <f aca="false">INT((G14*1000)/230)</f>
        <v>182</v>
      </c>
      <c r="I14" s="961" t="n">
        <f aca="false">42-G14</f>
        <v>0</v>
      </c>
      <c r="J14" s="961" t="n">
        <v>110</v>
      </c>
      <c r="K14" s="961" t="n">
        <f aca="false">INT((J14*230)/1000)</f>
        <v>25</v>
      </c>
      <c r="L14" s="961" t="n">
        <f aca="false">K14*1.09</f>
        <v>27.25</v>
      </c>
      <c r="M14" s="961"/>
      <c r="N14" s="961"/>
      <c r="O14" s="937" t="n">
        <f aca="false">((L14/E14)*1000)/54.5</f>
        <v>27.7777777777778</v>
      </c>
    </row>
    <row r="15" customFormat="false" ht="13.9" hidden="false" customHeight="false" outlineLevel="0" collapsed="false">
      <c r="B15" s="961" t="s">
        <v>254</v>
      </c>
      <c r="C15" s="961" t="s">
        <v>1571</v>
      </c>
      <c r="D15" s="961" t="s">
        <v>391</v>
      </c>
      <c r="E15" s="961" t="n">
        <v>18</v>
      </c>
      <c r="F15" s="961" t="n">
        <v>4</v>
      </c>
      <c r="G15" s="961" t="n">
        <f aca="false">(E15-F15)*3</f>
        <v>42</v>
      </c>
      <c r="H15" s="961" t="n">
        <f aca="false">INT((G15*1000)/230)</f>
        <v>182</v>
      </c>
      <c r="I15" s="961" t="n">
        <f aca="false">42-G15</f>
        <v>0</v>
      </c>
      <c r="J15" s="961" t="n">
        <v>86</v>
      </c>
      <c r="K15" s="961" t="n">
        <f aca="false">INT((J15*230)/1000)</f>
        <v>19</v>
      </c>
      <c r="L15" s="961" t="n">
        <f aca="false">K15*1.09</f>
        <v>20.71</v>
      </c>
      <c r="M15" s="961"/>
      <c r="N15" s="961"/>
      <c r="O15" s="937" t="n">
        <f aca="false">((L15/E15)*1000)/54.5</f>
        <v>21.1111111111111</v>
      </c>
    </row>
    <row r="16" customFormat="false" ht="13.9" hidden="false" customHeight="false" outlineLevel="0" collapsed="false">
      <c r="B16" s="961" t="s">
        <v>254</v>
      </c>
      <c r="C16" s="961" t="s">
        <v>1572</v>
      </c>
      <c r="D16" s="961" t="s">
        <v>391</v>
      </c>
      <c r="E16" s="961" t="n">
        <v>18</v>
      </c>
      <c r="F16" s="961" t="n">
        <v>4</v>
      </c>
      <c r="G16" s="961" t="n">
        <f aca="false">(E16-F16)*3</f>
        <v>42</v>
      </c>
      <c r="H16" s="961" t="n">
        <f aca="false">INT((G16*1000)/230)</f>
        <v>182</v>
      </c>
      <c r="I16" s="961" t="n">
        <f aca="false">42-G16</f>
        <v>0</v>
      </c>
      <c r="J16" s="961" t="n">
        <v>46</v>
      </c>
      <c r="K16" s="961" t="n">
        <f aca="false">INT((J16*230)/1000)</f>
        <v>10</v>
      </c>
      <c r="L16" s="961" t="n">
        <f aca="false">K16*1.09</f>
        <v>10.9</v>
      </c>
      <c r="M16" s="961"/>
      <c r="N16" s="961"/>
      <c r="O16" s="937" t="n">
        <f aca="false">((L16/E16)*1000)/54.5</f>
        <v>11.1111111111111</v>
      </c>
    </row>
    <row r="17" customFormat="false" ht="13.9" hidden="false" customHeight="false" outlineLevel="0" collapsed="false">
      <c r="B17" s="961" t="s">
        <v>254</v>
      </c>
      <c r="C17" s="961" t="s">
        <v>1573</v>
      </c>
      <c r="D17" s="961" t="s">
        <v>391</v>
      </c>
      <c r="E17" s="961" t="n">
        <v>18</v>
      </c>
      <c r="F17" s="961" t="n">
        <v>4</v>
      </c>
      <c r="G17" s="961" t="n">
        <f aca="false">(E17-F17)*3</f>
        <v>42</v>
      </c>
      <c r="H17" s="961" t="n">
        <f aca="false">INT((G17*1000)/230)</f>
        <v>182</v>
      </c>
      <c r="I17" s="961" t="n">
        <f aca="false">42-G17</f>
        <v>0</v>
      </c>
      <c r="J17" s="961" t="n">
        <v>33</v>
      </c>
      <c r="K17" s="961" t="n">
        <f aca="false">INT((J17*230)/1000)</f>
        <v>7</v>
      </c>
      <c r="L17" s="961" t="n">
        <f aca="false">K17*1.09</f>
        <v>7.63</v>
      </c>
      <c r="O17" s="937" t="n">
        <f aca="false">((L17/E17)*1000)/54.5</f>
        <v>7.77777777777778</v>
      </c>
    </row>
    <row r="18" customFormat="false" ht="14.45" hidden="false" customHeight="false" outlineLevel="0" collapsed="false"/>
    <row r="19" customFormat="false" ht="13.9" hidden="false" customHeight="false" outlineLevel="0" collapsed="false">
      <c r="B19" s="962"/>
      <c r="C19" s="963" t="s">
        <v>1569</v>
      </c>
      <c r="D19" s="963" t="s">
        <v>1570</v>
      </c>
      <c r="E19" s="963" t="s">
        <v>1571</v>
      </c>
      <c r="F19" s="963" t="s">
        <v>1572</v>
      </c>
      <c r="G19" s="963" t="s">
        <v>1573</v>
      </c>
      <c r="H19" s="963" t="s">
        <v>1546</v>
      </c>
      <c r="I19" s="980" t="s">
        <v>1547</v>
      </c>
      <c r="J19" s="980" t="s">
        <v>1548</v>
      </c>
      <c r="K19" s="980" t="s">
        <v>1549</v>
      </c>
      <c r="L19" s="980" t="s">
        <v>1550</v>
      </c>
      <c r="M19" s="965" t="s">
        <v>1551</v>
      </c>
    </row>
    <row r="20" customFormat="false" ht="13.9" hidden="false" customHeight="false" outlineLevel="0" collapsed="false">
      <c r="B20" s="966" t="s">
        <v>52</v>
      </c>
      <c r="C20" s="937" t="n">
        <v>3</v>
      </c>
      <c r="D20" s="937" t="n">
        <v>2</v>
      </c>
      <c r="E20" s="937" t="n">
        <v>3</v>
      </c>
      <c r="F20" s="937" t="n">
        <v>3</v>
      </c>
      <c r="G20" s="937" t="n">
        <v>3</v>
      </c>
      <c r="H20" s="937" t="n">
        <f aca="false">(C20*$O$13)+(D20*$O$14)+(E20*$O$15)+(F20*$O$16)+(G20*$O$17)</f>
        <v>255.555555555556</v>
      </c>
      <c r="I20" s="981" t="n">
        <f aca="false">D2-H20</f>
        <v>510.444444444444</v>
      </c>
      <c r="J20" s="981" t="n">
        <f aca="false">SUM(C36:F36)</f>
        <v>10</v>
      </c>
      <c r="K20" s="982" t="n">
        <f aca="false">J20*$H$30</f>
        <v>190.8</v>
      </c>
      <c r="L20" s="981" t="n">
        <f aca="false">I20+K20</f>
        <v>701.244444444444</v>
      </c>
      <c r="M20" s="970" t="n">
        <f aca="false">L20-D2</f>
        <v>-64.7555555555556</v>
      </c>
    </row>
    <row r="21" customFormat="false" ht="13.9" hidden="false" customHeight="false" outlineLevel="0" collapsed="false">
      <c r="B21" s="966" t="s">
        <v>60</v>
      </c>
      <c r="C21" s="937" t="n">
        <v>3</v>
      </c>
      <c r="D21" s="937" t="n">
        <v>3</v>
      </c>
      <c r="E21" s="937" t="n">
        <v>2</v>
      </c>
      <c r="F21" s="937" t="n">
        <v>3</v>
      </c>
      <c r="G21" s="937" t="n">
        <v>3</v>
      </c>
      <c r="H21" s="937" t="n">
        <f aca="false">(C21*$O$13)+(D21*$O$14)+(E21*$O$15)+(F21*$O$16)+(G21*$O$17)</f>
        <v>262.222222222222</v>
      </c>
      <c r="I21" s="981" t="n">
        <f aca="false">D3-H21</f>
        <v>552.777777777778</v>
      </c>
      <c r="J21" s="981" t="n">
        <f aca="false">SUM(C37:F37)</f>
        <v>10</v>
      </c>
      <c r="K21" s="982" t="n">
        <f aca="false">J21*$H$30</f>
        <v>190.8</v>
      </c>
      <c r="L21" s="981" t="n">
        <f aca="false">I21+K21</f>
        <v>743.577777777778</v>
      </c>
      <c r="M21" s="970" t="n">
        <f aca="false">L21-D3</f>
        <v>-71.4222222222222</v>
      </c>
    </row>
    <row r="22" customFormat="false" ht="13.9" hidden="false" customHeight="false" outlineLevel="0" collapsed="false">
      <c r="B22" s="966" t="s">
        <v>62</v>
      </c>
      <c r="C22" s="937" t="n">
        <v>3</v>
      </c>
      <c r="D22" s="937" t="n">
        <v>2</v>
      </c>
      <c r="E22" s="937" t="n">
        <v>3</v>
      </c>
      <c r="F22" s="937" t="n">
        <v>3</v>
      </c>
      <c r="H22" s="937" t="n">
        <f aca="false">(C22*$O$13)+(D22*$O$14)+(E22*$O$15)+(F22*$O$16)+(G22*$O$17)</f>
        <v>232.222222222222</v>
      </c>
      <c r="I22" s="981" t="n">
        <f aca="false">D4-H22</f>
        <v>499.777777777778</v>
      </c>
      <c r="J22" s="981" t="n">
        <f aca="false">SUM(C38:F38)</f>
        <v>20</v>
      </c>
      <c r="K22" s="982" t="n">
        <f aca="false">J22*$H$30</f>
        <v>381.6</v>
      </c>
      <c r="L22" s="981" t="n">
        <f aca="false">I22+K22</f>
        <v>881.377777777778</v>
      </c>
      <c r="M22" s="970" t="n">
        <f aca="false">L22-D4</f>
        <v>149.377777777778</v>
      </c>
    </row>
    <row r="23" customFormat="false" ht="13.9" hidden="false" customHeight="false" outlineLevel="0" collapsed="false">
      <c r="B23" s="966" t="s">
        <v>64</v>
      </c>
      <c r="C23" s="937" t="n">
        <v>3</v>
      </c>
      <c r="D23" s="937" t="n">
        <v>3</v>
      </c>
      <c r="E23" s="937" t="n">
        <v>2</v>
      </c>
      <c r="F23" s="937" t="n">
        <v>3</v>
      </c>
      <c r="G23" s="937" t="n">
        <v>3</v>
      </c>
      <c r="H23" s="937" t="n">
        <f aca="false">(C23*$O$13)+(D23*$O$14)+(E23*$O$15)+(F23*$O$16)+(G23*$O$17)</f>
        <v>262.222222222222</v>
      </c>
      <c r="I23" s="981" t="n">
        <f aca="false">D5-H23</f>
        <v>546.777777777778</v>
      </c>
      <c r="J23" s="981" t="n">
        <f aca="false">SUM(C39:F39)</f>
        <v>20</v>
      </c>
      <c r="K23" s="982" t="n">
        <f aca="false">J23*$H$30</f>
        <v>381.6</v>
      </c>
      <c r="L23" s="981" t="n">
        <f aca="false">I23+K23</f>
        <v>928.377777777778</v>
      </c>
      <c r="M23" s="970" t="n">
        <f aca="false">L23-D5</f>
        <v>119.377777777778</v>
      </c>
    </row>
    <row r="24" customFormat="false" ht="13.9" hidden="false" customHeight="false" outlineLevel="0" collapsed="false">
      <c r="B24" s="966" t="s">
        <v>65</v>
      </c>
      <c r="C24" s="937" t="n">
        <v>3</v>
      </c>
      <c r="D24" s="937" t="n">
        <v>3</v>
      </c>
      <c r="E24" s="937" t="n">
        <v>2</v>
      </c>
      <c r="F24" s="937" t="n">
        <v>2</v>
      </c>
      <c r="G24" s="937" t="n">
        <v>3</v>
      </c>
      <c r="H24" s="937" t="n">
        <f aca="false">(C24*$O$13)+(D24*$O$14)+(E24*$O$15)+(F24*$O$16)+(G24*$O$17)</f>
        <v>251.111111111111</v>
      </c>
      <c r="I24" s="981" t="n">
        <f aca="false">D6-H24</f>
        <v>596.888888888889</v>
      </c>
      <c r="J24" s="981" t="n">
        <f aca="false">SUM(C40:F40)</f>
        <v>20</v>
      </c>
      <c r="K24" s="982" t="n">
        <f aca="false">J24*$H$30</f>
        <v>381.6</v>
      </c>
      <c r="L24" s="981" t="n">
        <f aca="false">I24+K24</f>
        <v>978.488888888889</v>
      </c>
      <c r="M24" s="970" t="n">
        <f aca="false">L24-D6</f>
        <v>130.488888888889</v>
      </c>
    </row>
    <row r="25" customFormat="false" ht="13.9" hidden="false" customHeight="false" outlineLevel="0" collapsed="false">
      <c r="B25" s="966" t="s">
        <v>66</v>
      </c>
      <c r="H25" s="937" t="n">
        <f aca="false">(C25*$O$13)+(D25*$O$14)+(E25*$O$15)+(F25*$O$16)+(G25*$O$17)</f>
        <v>0</v>
      </c>
      <c r="I25" s="981" t="n">
        <f aca="false">D7-H25</f>
        <v>321</v>
      </c>
      <c r="J25" s="981" t="n">
        <f aca="false">SUM(C41:F41)</f>
        <v>20</v>
      </c>
      <c r="K25" s="982" t="n">
        <f aca="false">J25*$H$30</f>
        <v>381.6</v>
      </c>
      <c r="L25" s="981" t="n">
        <f aca="false">I25+K25</f>
        <v>702.6</v>
      </c>
      <c r="M25" s="970" t="n">
        <f aca="false">L25-D7</f>
        <v>381.6</v>
      </c>
    </row>
    <row r="26" customFormat="false" ht="13.9" hidden="false" customHeight="false" outlineLevel="0" collapsed="false">
      <c r="B26" s="966" t="s">
        <v>67</v>
      </c>
      <c r="C26" s="937" t="n">
        <v>3</v>
      </c>
      <c r="D26" s="937" t="n">
        <v>3</v>
      </c>
      <c r="E26" s="937" t="n">
        <v>3</v>
      </c>
      <c r="F26" s="937" t="n">
        <v>2</v>
      </c>
      <c r="G26" s="937" t="n">
        <v>3</v>
      </c>
      <c r="H26" s="937" t="n">
        <f aca="false">(C26*$O$13)+(D26*$O$14)+(E26*$O$15)+(F26*$O$16)+(G26*$O$17)</f>
        <v>272.222222222222</v>
      </c>
      <c r="I26" s="981" t="n">
        <f aca="false">D8-H26</f>
        <v>542.777777777778</v>
      </c>
      <c r="J26" s="981" t="n">
        <f aca="false">SUM(C42:F42)</f>
        <v>10</v>
      </c>
      <c r="K26" s="982" t="n">
        <f aca="false">J26*$H$30</f>
        <v>190.8</v>
      </c>
      <c r="L26" s="981" t="n">
        <f aca="false">I26+K26</f>
        <v>733.577777777778</v>
      </c>
      <c r="M26" s="970" t="n">
        <f aca="false">L26-D8</f>
        <v>-81.4222222222222</v>
      </c>
    </row>
    <row r="27" customFormat="false" ht="14.45" hidden="false" customHeight="false" outlineLevel="0" collapsed="false">
      <c r="B27" s="971" t="s">
        <v>68</v>
      </c>
      <c r="C27" s="972"/>
      <c r="D27" s="972" t="n">
        <v>2</v>
      </c>
      <c r="E27" s="972" t="n">
        <v>3</v>
      </c>
      <c r="F27" s="972" t="n">
        <v>2</v>
      </c>
      <c r="G27" s="972" t="n">
        <v>3</v>
      </c>
      <c r="H27" s="972" t="n">
        <f aca="false">(C27*$O$13)+(D27*$O$14)+(E27*$O$15)+(F27*$O$16)+(G27*$O$17)</f>
        <v>164.444444444444</v>
      </c>
      <c r="I27" s="983" t="n">
        <f aca="false">D9-H27</f>
        <v>632.555555555556</v>
      </c>
      <c r="J27" s="983" t="n">
        <f aca="false">SUM(C43:F43)</f>
        <v>10</v>
      </c>
      <c r="K27" s="984" t="n">
        <f aca="false">J27*$H$30</f>
        <v>190.8</v>
      </c>
      <c r="L27" s="983" t="n">
        <f aca="false">I27+K27</f>
        <v>823.355555555556</v>
      </c>
      <c r="M27" s="976" t="n">
        <f aca="false">L27-D9</f>
        <v>26.3555555555556</v>
      </c>
    </row>
    <row r="29" customFormat="false" ht="13.9" hidden="false" customHeight="false" outlineLevel="0" collapsed="false">
      <c r="C29" s="937" t="s">
        <v>15</v>
      </c>
      <c r="D29" s="937" t="s">
        <v>1552</v>
      </c>
      <c r="E29" s="937" t="s">
        <v>1553</v>
      </c>
    </row>
    <row r="30" customFormat="false" ht="13.9" hidden="false" customHeight="false" outlineLevel="0" collapsed="false">
      <c r="B30" s="937" t="s">
        <v>320</v>
      </c>
      <c r="C30" s="937" t="n">
        <v>30</v>
      </c>
      <c r="D30" s="937" t="n">
        <v>28</v>
      </c>
      <c r="E30" s="937" t="n">
        <f aca="false">ROUNDUP(((D30/C30)*1000)/54.5,0)*1.06</f>
        <v>19.08</v>
      </c>
      <c r="G30" s="937" t="s">
        <v>1565</v>
      </c>
      <c r="H30" s="937" t="n">
        <f aca="false">MAX(E30:E33)</f>
        <v>19.08</v>
      </c>
    </row>
    <row r="31" customFormat="false" ht="13.9" hidden="false" customHeight="false" outlineLevel="0" collapsed="false">
      <c r="B31" s="937" t="s">
        <v>324</v>
      </c>
      <c r="C31" s="937" t="n">
        <v>30</v>
      </c>
      <c r="D31" s="937" t="n">
        <v>28</v>
      </c>
      <c r="E31" s="937" t="n">
        <f aca="false">ROUNDUP(((D31/C31)*1000)/54.5,0)*1.06</f>
        <v>19.08</v>
      </c>
    </row>
    <row r="32" customFormat="false" ht="13.9" hidden="false" customHeight="false" outlineLevel="0" collapsed="false">
      <c r="B32" s="937" t="s">
        <v>326</v>
      </c>
      <c r="C32" s="937" t="n">
        <v>30</v>
      </c>
      <c r="D32" s="937" t="n">
        <v>28</v>
      </c>
      <c r="E32" s="937" t="n">
        <f aca="false">ROUNDUP(((D32/C32)*1000)/54.5,0)*1.06</f>
        <v>19.08</v>
      </c>
    </row>
    <row r="33" customFormat="false" ht="13.9" hidden="false" customHeight="false" outlineLevel="0" collapsed="false">
      <c r="B33" s="937" t="s">
        <v>330</v>
      </c>
      <c r="C33" s="937" t="n">
        <v>30</v>
      </c>
      <c r="D33" s="937" t="n">
        <v>28</v>
      </c>
      <c r="E33" s="937" t="n">
        <f aca="false">ROUNDUP(((D33/C33)*1000)/54.5,0)*1.06</f>
        <v>19.08</v>
      </c>
    </row>
    <row r="34" customFormat="false" ht="14.45" hidden="false" customHeight="false" outlineLevel="0" collapsed="false"/>
    <row r="35" customFormat="false" ht="13.9" hidden="false" customHeight="false" outlineLevel="0" collapsed="false">
      <c r="B35" s="962"/>
      <c r="C35" s="963" t="s">
        <v>320</v>
      </c>
      <c r="D35" s="963" t="s">
        <v>324</v>
      </c>
      <c r="E35" s="963" t="s">
        <v>1574</v>
      </c>
      <c r="F35" s="964" t="s">
        <v>330</v>
      </c>
    </row>
    <row r="36" customFormat="false" ht="13.9" hidden="false" customHeight="false" outlineLevel="0" collapsed="false">
      <c r="B36" s="966" t="s">
        <v>52</v>
      </c>
      <c r="C36" s="961"/>
      <c r="D36" s="961"/>
      <c r="E36" s="961"/>
      <c r="F36" s="977" t="n">
        <v>10</v>
      </c>
    </row>
    <row r="37" customFormat="false" ht="13.9" hidden="false" customHeight="false" outlineLevel="0" collapsed="false">
      <c r="B37" s="966" t="s">
        <v>60</v>
      </c>
      <c r="C37" s="961"/>
      <c r="D37" s="961"/>
      <c r="E37" s="961"/>
      <c r="F37" s="977" t="n">
        <v>10</v>
      </c>
    </row>
    <row r="38" customFormat="false" ht="13.9" hidden="false" customHeight="false" outlineLevel="0" collapsed="false">
      <c r="B38" s="966" t="s">
        <v>62</v>
      </c>
      <c r="C38" s="961" t="n">
        <v>10</v>
      </c>
      <c r="D38" s="961"/>
      <c r="E38" s="961"/>
      <c r="F38" s="977" t="n">
        <v>10</v>
      </c>
    </row>
    <row r="39" customFormat="false" ht="13.9" hidden="false" customHeight="false" outlineLevel="0" collapsed="false">
      <c r="B39" s="966" t="s">
        <v>64</v>
      </c>
      <c r="C39" s="961" t="n">
        <v>10</v>
      </c>
      <c r="D39" s="961"/>
      <c r="E39" s="961" t="n">
        <v>10</v>
      </c>
      <c r="F39" s="977"/>
    </row>
    <row r="40" customFormat="false" ht="13.9" hidden="false" customHeight="false" outlineLevel="0" collapsed="false">
      <c r="B40" s="966" t="s">
        <v>65</v>
      </c>
      <c r="C40" s="961" t="n">
        <v>10</v>
      </c>
      <c r="D40" s="961"/>
      <c r="E40" s="961" t="n">
        <v>10</v>
      </c>
      <c r="F40" s="977"/>
    </row>
    <row r="41" customFormat="false" ht="13.9" hidden="false" customHeight="false" outlineLevel="0" collapsed="false">
      <c r="B41" s="966" t="s">
        <v>66</v>
      </c>
      <c r="C41" s="961"/>
      <c r="D41" s="961" t="n">
        <v>10</v>
      </c>
      <c r="E41" s="961" t="n">
        <v>10</v>
      </c>
      <c r="F41" s="977"/>
    </row>
    <row r="42" customFormat="false" ht="13.9" hidden="false" customHeight="false" outlineLevel="0" collapsed="false">
      <c r="B42" s="966" t="s">
        <v>67</v>
      </c>
      <c r="C42" s="961"/>
      <c r="D42" s="961" t="n">
        <v>10</v>
      </c>
      <c r="E42" s="961"/>
      <c r="F42" s="977"/>
    </row>
    <row r="43" customFormat="false" ht="14.45" hidden="false" customHeight="false" outlineLevel="0" collapsed="false">
      <c r="B43" s="971" t="s">
        <v>68</v>
      </c>
      <c r="C43" s="978"/>
      <c r="D43" s="978" t="n">
        <v>10</v>
      </c>
      <c r="E43" s="978"/>
      <c r="F43" s="979"/>
    </row>
    <row r="44" customFormat="false" ht="13.9" hidden="false" customHeight="false" outlineLevel="0" collapsed="false">
      <c r="C44" s="961" t="n">
        <f aca="false">SUM(C36:C43)</f>
        <v>30</v>
      </c>
      <c r="D44" s="961" t="n">
        <f aca="false">SUM(D36:D43)</f>
        <v>30</v>
      </c>
      <c r="E44" s="961" t="n">
        <f aca="false">SUM(E36:E43)</f>
        <v>30</v>
      </c>
      <c r="F44" s="961" t="n">
        <f aca="false">SUM(F36:F43)</f>
        <v>30</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C46" activeCellId="0" sqref="AC46"/>
    </sheetView>
  </sheetViews>
  <sheetFormatPr defaultColWidth="8.66796875" defaultRowHeight="13.15" zeroHeight="false" outlineLevelRow="0" outlineLevelCol="0"/>
  <cols>
    <col collapsed="false" customWidth="true" hidden="false" outlineLevel="0" max="1" min="1" style="1" width="24"/>
    <col collapsed="false" customWidth="true" hidden="false" outlineLevel="0" max="2" min="2" style="1" width="19"/>
    <col collapsed="false" customWidth="true" hidden="false" outlineLevel="0" max="3" min="3" style="1" width="19.17"/>
    <col collapsed="false" customWidth="true" hidden="false" outlineLevel="0" max="4" min="4" style="1" width="0.17"/>
    <col collapsed="false" customWidth="true" hidden="false" outlineLevel="0" max="5" min="5" style="1" width="15.5"/>
    <col collapsed="false" customWidth="true" hidden="false" outlineLevel="0" max="6" min="6" style="1" width="18.66"/>
    <col collapsed="false" customWidth="true" hidden="false" outlineLevel="0" max="7" min="7" style="1" width="11.17"/>
    <col collapsed="false" customWidth="true" hidden="false" outlineLevel="0" max="8" min="8" style="1" width="8.5"/>
    <col collapsed="false" customWidth="true" hidden="false" outlineLevel="0" max="9" min="9" style="1" width="10.66"/>
    <col collapsed="false" customWidth="true" hidden="false" outlineLevel="0" max="10" min="10" style="1" width="9.66"/>
    <col collapsed="false" customWidth="true" hidden="false" outlineLevel="0" max="11" min="11" style="1" width="9"/>
    <col collapsed="false" customWidth="true" hidden="false" outlineLevel="0" max="12" min="12" style="1" width="9.5"/>
    <col collapsed="false" customWidth="true" hidden="false" outlineLevel="0" max="13" min="13" style="1" width="9.17"/>
    <col collapsed="false" customWidth="true" hidden="false" outlineLevel="0" max="14" min="14" style="1" width="9.66"/>
    <col collapsed="false" customWidth="true" hidden="false" outlineLevel="0" max="15" min="15" style="1" width="9.5"/>
    <col collapsed="false" customWidth="true" hidden="false" outlineLevel="0" max="16" min="16" style="1" width="8.5"/>
    <col collapsed="false" customWidth="true" hidden="false" outlineLevel="0" max="17" min="17" style="1" width="9"/>
    <col collapsed="false" customWidth="true" hidden="false" outlineLevel="0" max="18" min="18" style="1" width="8.5"/>
    <col collapsed="false" customWidth="true" hidden="false" outlineLevel="0" max="19" min="19" style="1" width="5"/>
    <col collapsed="false" customWidth="true" hidden="false" outlineLevel="0" max="20" min="20" style="1" width="5.17"/>
    <col collapsed="false" customWidth="true" hidden="false" outlineLevel="0" max="21" min="21" style="1" width="4.66"/>
    <col collapsed="false" customWidth="true" hidden="false" outlineLevel="0" max="22" min="22" style="1" width="7.66"/>
    <col collapsed="false" customWidth="true" hidden="false" outlineLevel="0" max="23" min="23" style="1" width="12.17"/>
    <col collapsed="false" customWidth="true" hidden="false" outlineLevel="0" max="24" min="24" style="1" width="2.17"/>
    <col collapsed="false" customWidth="true" hidden="false" outlineLevel="0" max="25" min="25" style="1" width="3.66"/>
    <col collapsed="false" customWidth="true" hidden="false" outlineLevel="0" max="27" min="26" style="1" width="1.5"/>
    <col collapsed="false" customWidth="false" hidden="false" outlineLevel="0" max="30" min="28" style="1" width="8.66"/>
    <col collapsed="false" customWidth="true" hidden="false" outlineLevel="0" max="31" min="31" style="1" width="12.17"/>
    <col collapsed="false" customWidth="false" hidden="false" outlineLevel="0" max="1024" min="32" style="1" width="8.66"/>
  </cols>
  <sheetData>
    <row r="1" customFormat="false" ht="13.15" hidden="false" customHeight="false" outlineLevel="0" collapsed="false">
      <c r="G1" s="985" t="n">
        <v>2017</v>
      </c>
      <c r="H1" s="985"/>
      <c r="I1" s="985"/>
      <c r="J1" s="985"/>
      <c r="K1" s="985"/>
    </row>
    <row r="2" customFormat="false" ht="13.9" hidden="false" customHeight="false" outlineLevel="0" collapsed="false">
      <c r="A2" s="986" t="s">
        <v>524</v>
      </c>
      <c r="B2" s="987" t="s">
        <v>689</v>
      </c>
      <c r="C2" s="987" t="s">
        <v>1575</v>
      </c>
      <c r="D2" s="987" t="s">
        <v>1576</v>
      </c>
      <c r="E2" s="988" t="s">
        <v>1577</v>
      </c>
      <c r="F2" s="405"/>
      <c r="G2" s="67" t="s">
        <v>1578</v>
      </c>
      <c r="H2" s="987" t="s">
        <v>1579</v>
      </c>
      <c r="I2" s="987" t="s">
        <v>1580</v>
      </c>
      <c r="J2" s="987" t="s">
        <v>1581</v>
      </c>
      <c r="K2" s="987" t="s">
        <v>1582</v>
      </c>
      <c r="L2" s="989" t="s">
        <v>1583</v>
      </c>
      <c r="M2" s="987" t="s">
        <v>1584</v>
      </c>
      <c r="N2" s="987" t="s">
        <v>1585</v>
      </c>
      <c r="O2" s="987" t="s">
        <v>1586</v>
      </c>
    </row>
    <row r="3" customFormat="false" ht="13.15" hidden="false" customHeight="false" outlineLevel="0" collapsed="false">
      <c r="A3" s="990" t="s">
        <v>254</v>
      </c>
      <c r="B3" s="991" t="n">
        <f aca="false">'Plant loading'!G9</f>
        <v>382.372</v>
      </c>
      <c r="C3" s="69" t="n">
        <v>583.8</v>
      </c>
      <c r="D3" s="69" t="n">
        <v>33</v>
      </c>
      <c r="E3" s="992" t="n">
        <f aca="false">(C3-D3)/B3</f>
        <v>1.44048204366429</v>
      </c>
      <c r="F3" s="405" t="s">
        <v>1587</v>
      </c>
      <c r="G3" s="993" t="n">
        <v>1.38</v>
      </c>
      <c r="H3" s="69" t="n">
        <v>1.43</v>
      </c>
      <c r="I3" s="69" t="n">
        <v>1.47</v>
      </c>
      <c r="J3" s="69" t="n">
        <v>1.49</v>
      </c>
      <c r="K3" s="69" t="n">
        <v>1.54</v>
      </c>
      <c r="L3" s="75" t="n">
        <v>1.57</v>
      </c>
      <c r="M3" s="993" t="n">
        <v>1.58</v>
      </c>
      <c r="N3" s="993" t="n">
        <v>1.56</v>
      </c>
      <c r="O3" s="993" t="n">
        <v>1.55</v>
      </c>
    </row>
    <row r="4" customFormat="false" ht="13.15" hidden="false" customHeight="false" outlineLevel="0" collapsed="false">
      <c r="A4" s="994" t="s">
        <v>265</v>
      </c>
      <c r="B4" s="991" t="e">
        <f aca="false">SUM('Plant loading'!G39)+('inverter loading'!#ref!+'inverter loading'!#ref!)</f>
        <v>#VALUE!</v>
      </c>
      <c r="C4" s="69" t="n">
        <v>564</v>
      </c>
      <c r="D4" s="69" t="n">
        <v>0</v>
      </c>
      <c r="E4" s="992" t="e">
        <f aca="false">(C4-D4)/B4</f>
        <v>#VALUE!</v>
      </c>
      <c r="F4" s="405" t="s">
        <v>1588</v>
      </c>
      <c r="G4" s="993" t="n">
        <v>1.37</v>
      </c>
      <c r="H4" s="995" t="s">
        <v>1589</v>
      </c>
      <c r="I4" s="69" t="n">
        <v>1.43</v>
      </c>
      <c r="J4" s="69" t="n">
        <v>1.43</v>
      </c>
      <c r="K4" s="69" t="n">
        <v>1.52</v>
      </c>
      <c r="L4" s="75" t="n">
        <v>1.53</v>
      </c>
      <c r="M4" s="993" t="n">
        <v>1.51</v>
      </c>
      <c r="N4" s="993" t="n">
        <v>1.51</v>
      </c>
      <c r="O4" s="993" t="n">
        <v>1.48</v>
      </c>
    </row>
    <row r="5" customFormat="false" ht="13.15" hidden="false" customHeight="false" outlineLevel="0" collapsed="false">
      <c r="A5" s="996" t="s">
        <v>267</v>
      </c>
      <c r="B5" s="991" t="e">
        <f aca="false">SUM('Plant loading'!G56)+('inverter loading'!#ref!+'inverter loading'!#ref!)</f>
        <v>#VALUE!</v>
      </c>
      <c r="C5" s="69" t="n">
        <v>445.5</v>
      </c>
      <c r="D5" s="69" t="n">
        <v>5</v>
      </c>
      <c r="E5" s="993" t="e">
        <f aca="false">(C5-D5)/B5</f>
        <v>#VALUE!</v>
      </c>
      <c r="F5" s="405"/>
      <c r="G5" s="993" t="n">
        <v>1.43</v>
      </c>
      <c r="H5" s="69" t="n">
        <v>1.43</v>
      </c>
      <c r="I5" s="69" t="n">
        <v>1.46</v>
      </c>
      <c r="J5" s="69" t="n">
        <v>1.46</v>
      </c>
      <c r="K5" s="993" t="n">
        <v>1.5</v>
      </c>
      <c r="L5" s="75" t="n">
        <v>1.54</v>
      </c>
      <c r="M5" s="993" t="n">
        <v>1.52</v>
      </c>
      <c r="N5" s="993" t="n">
        <v>1.5</v>
      </c>
      <c r="O5" s="993" t="n">
        <v>1.49</v>
      </c>
    </row>
    <row r="6" customFormat="false" ht="13.15" hidden="false" customHeight="false" outlineLevel="0" collapsed="false">
      <c r="A6" s="996" t="s">
        <v>268</v>
      </c>
      <c r="B6" s="991" t="n">
        <f aca="false">'Plant loading'!G64</f>
        <v>384.661</v>
      </c>
      <c r="C6" s="69" t="n">
        <v>402.6</v>
      </c>
      <c r="D6" s="69" t="n">
        <v>0</v>
      </c>
      <c r="E6" s="992" t="n">
        <f aca="false">(C6-D6)/B6</f>
        <v>1.04663586898594</v>
      </c>
      <c r="F6" s="405"/>
      <c r="G6" s="993" t="n">
        <v>1.29</v>
      </c>
      <c r="H6" s="69" t="n">
        <v>1.34</v>
      </c>
      <c r="I6" s="69" t="n">
        <v>1.37</v>
      </c>
      <c r="J6" s="69" t="n">
        <v>1.36</v>
      </c>
      <c r="K6" s="69" t="n">
        <v>1.36</v>
      </c>
      <c r="L6" s="75" t="n">
        <v>1.44</v>
      </c>
      <c r="M6" s="993" t="n">
        <v>1.42</v>
      </c>
      <c r="N6" s="993" t="n">
        <v>1.42</v>
      </c>
      <c r="O6" s="993" t="n">
        <v>1.42</v>
      </c>
    </row>
    <row r="7" customFormat="false" ht="13.15" hidden="false" customHeight="false" outlineLevel="0" collapsed="false">
      <c r="A7" s="997" t="s">
        <v>253</v>
      </c>
      <c r="B7" s="991" t="n">
        <f aca="false">'Plant loading'!G4</f>
        <v>164.154</v>
      </c>
      <c r="C7" s="69" t="n">
        <v>240</v>
      </c>
      <c r="D7" s="69" t="n">
        <v>10</v>
      </c>
      <c r="E7" s="992" t="n">
        <f aca="false">(C7-D7)/B7</f>
        <v>1.40112333540456</v>
      </c>
      <c r="F7" s="405" t="s">
        <v>1587</v>
      </c>
      <c r="G7" s="993" t="n">
        <v>1.57</v>
      </c>
      <c r="H7" s="69" t="n">
        <v>1.63</v>
      </c>
      <c r="I7" s="69" t="n">
        <v>1.67</v>
      </c>
      <c r="J7" s="69" t="n">
        <v>1.68</v>
      </c>
      <c r="K7" s="69" t="n">
        <v>1.73</v>
      </c>
      <c r="L7" s="75" t="n">
        <v>1.88</v>
      </c>
      <c r="M7" s="993" t="n">
        <v>2.06</v>
      </c>
      <c r="N7" s="993" t="n">
        <v>1.77</v>
      </c>
      <c r="O7" s="993" t="n">
        <v>1.74</v>
      </c>
    </row>
    <row r="8" customFormat="false" ht="13.15" hidden="false" customHeight="false" outlineLevel="0" collapsed="false">
      <c r="A8" s="996" t="s">
        <v>256</v>
      </c>
      <c r="B8" s="991" t="n">
        <f aca="false">'Plant loading'!G17</f>
        <v>114.123</v>
      </c>
      <c r="C8" s="69" t="n">
        <v>199.3</v>
      </c>
      <c r="D8" s="69" t="n">
        <v>5</v>
      </c>
      <c r="E8" s="992" t="n">
        <f aca="false">(C8-D8)/B8</f>
        <v>1.70254900414465</v>
      </c>
      <c r="F8" s="405" t="s">
        <v>1587</v>
      </c>
      <c r="G8" s="993" t="n">
        <v>1.32</v>
      </c>
      <c r="H8" s="69" t="n">
        <v>1.37</v>
      </c>
      <c r="I8" s="69" t="n">
        <v>1.41</v>
      </c>
      <c r="J8" s="69" t="n">
        <v>1.43</v>
      </c>
      <c r="K8" s="69" t="n">
        <v>1.43</v>
      </c>
      <c r="L8" s="75" t="n">
        <v>1.44</v>
      </c>
      <c r="M8" s="993" t="n">
        <v>1.44</v>
      </c>
      <c r="N8" s="993" t="n">
        <v>1.44</v>
      </c>
      <c r="O8" s="998" t="n">
        <v>1.45</v>
      </c>
    </row>
    <row r="9" customFormat="false" ht="13.15" hidden="false" customHeight="false" outlineLevel="0" collapsed="false">
      <c r="A9" s="996" t="s">
        <v>263</v>
      </c>
      <c r="B9" s="991" t="n">
        <f aca="false">'Plant loading'!G32</f>
        <v>309.2875</v>
      </c>
      <c r="C9" s="69" t="n">
        <v>254</v>
      </c>
      <c r="D9" s="69" t="n">
        <v>0</v>
      </c>
      <c r="E9" s="993" t="n">
        <f aca="false">(C9-D9)/B9</f>
        <v>0.821242371579841</v>
      </c>
      <c r="F9" s="405"/>
      <c r="G9" s="993" t="n">
        <v>1.35</v>
      </c>
      <c r="H9" s="69" t="n">
        <v>1.38</v>
      </c>
      <c r="I9" s="993" t="s">
        <v>1589</v>
      </c>
      <c r="J9" s="993" t="s">
        <v>1589</v>
      </c>
      <c r="K9" s="993" t="n">
        <v>1.45</v>
      </c>
      <c r="L9" s="75" t="n">
        <v>1.48</v>
      </c>
      <c r="M9" s="993" t="n">
        <v>1.5</v>
      </c>
      <c r="N9" s="993" t="n">
        <v>1.32</v>
      </c>
      <c r="O9" s="993" t="n">
        <v>1.43</v>
      </c>
    </row>
    <row r="10" customFormat="false" ht="13.15" hidden="false" customHeight="false" outlineLevel="0" collapsed="false">
      <c r="A10" s="996" t="s">
        <v>269</v>
      </c>
      <c r="B10" s="991" t="n">
        <f aca="false">'Plant loading'!G72</f>
        <v>271.737</v>
      </c>
      <c r="C10" s="69" t="n">
        <v>419.5</v>
      </c>
      <c r="D10" s="501" t="n">
        <v>5</v>
      </c>
      <c r="E10" s="992" t="n">
        <f aca="false">(C10-D10)/B10</f>
        <v>1.52537195891616</v>
      </c>
      <c r="F10" s="405" t="s">
        <v>1588</v>
      </c>
      <c r="G10" s="993" t="n">
        <v>1.39</v>
      </c>
      <c r="H10" s="69" t="n">
        <v>1.33</v>
      </c>
      <c r="I10" s="69" t="n">
        <v>1.43</v>
      </c>
      <c r="J10" s="69" t="n">
        <v>1.43</v>
      </c>
      <c r="K10" s="69" t="n">
        <v>1.51</v>
      </c>
      <c r="L10" s="75" t="n">
        <v>1.54</v>
      </c>
      <c r="M10" s="993" t="n">
        <v>1.49</v>
      </c>
      <c r="N10" s="993" t="n">
        <v>1.5</v>
      </c>
      <c r="O10" s="993" t="n">
        <v>1.55</v>
      </c>
    </row>
    <row r="11" customFormat="false" ht="13.9" hidden="false" customHeight="false" outlineLevel="0" collapsed="false">
      <c r="A11" s="999" t="s">
        <v>270</v>
      </c>
      <c r="B11" s="991" t="n">
        <f aca="false">'Plant loading'!G80</f>
        <v>100.389</v>
      </c>
      <c r="C11" s="69" t="n">
        <v>309.9</v>
      </c>
      <c r="D11" s="501" t="n">
        <v>10</v>
      </c>
      <c r="E11" s="992" t="n">
        <f aca="false">(C11-D11)/B11</f>
        <v>2.98737909531921</v>
      </c>
      <c r="F11" s="405"/>
      <c r="G11" s="993" t="n">
        <v>1.42</v>
      </c>
      <c r="H11" s="69" t="n">
        <v>1.36</v>
      </c>
      <c r="I11" s="993" t="s">
        <v>1590</v>
      </c>
      <c r="J11" s="993" t="n">
        <v>1.48</v>
      </c>
      <c r="K11" s="993" t="n">
        <v>1.47</v>
      </c>
      <c r="L11" s="75" t="n">
        <v>1.5</v>
      </c>
      <c r="M11" s="993" t="n">
        <v>1.5</v>
      </c>
      <c r="N11" s="993" t="n">
        <v>1.32</v>
      </c>
      <c r="O11" s="998" t="n">
        <v>1.26</v>
      </c>
    </row>
    <row r="12" customFormat="false" ht="13.15" hidden="false" customHeight="false" outlineLevel="0" collapsed="false">
      <c r="A12" s="67" t="s">
        <v>259</v>
      </c>
      <c r="B12" s="77" t="n">
        <f aca="false">'Plant loading'!G22</f>
        <v>294.736</v>
      </c>
      <c r="C12" s="69" t="n">
        <v>317.5</v>
      </c>
      <c r="D12" s="501" t="n">
        <v>15</v>
      </c>
      <c r="E12" s="992" t="n">
        <f aca="false">(C12-D12)/B12</f>
        <v>1.02634221812062</v>
      </c>
      <c r="F12" s="405" t="s">
        <v>1591</v>
      </c>
      <c r="G12" s="993" t="n">
        <v>1.29</v>
      </c>
      <c r="H12" s="69" t="n">
        <v>1.28</v>
      </c>
      <c r="I12" s="69" t="n">
        <v>1.33</v>
      </c>
      <c r="J12" s="69" t="n">
        <v>1.36</v>
      </c>
      <c r="K12" s="69" t="n">
        <v>1.42</v>
      </c>
      <c r="L12" s="75" t="n">
        <v>1.44</v>
      </c>
      <c r="M12" s="993" t="n">
        <v>1.4</v>
      </c>
      <c r="N12" s="993" t="n">
        <v>1.21</v>
      </c>
      <c r="O12" s="993" t="n">
        <v>1.28</v>
      </c>
    </row>
    <row r="13" customFormat="false" ht="13.15" hidden="false" customHeight="false" outlineLevel="0" collapsed="false">
      <c r="A13" s="1000" t="s">
        <v>261</v>
      </c>
      <c r="B13" s="77" t="n">
        <f aca="false">'Plant loading'!G28</f>
        <v>68.7245</v>
      </c>
      <c r="C13" s="69" t="n">
        <v>224.5</v>
      </c>
      <c r="D13" s="69" t="n">
        <v>10</v>
      </c>
      <c r="E13" s="992" t="n">
        <f aca="false">(C13-D13)/B13</f>
        <v>3.12115766575239</v>
      </c>
      <c r="F13" s="405" t="s">
        <v>1588</v>
      </c>
      <c r="G13" s="993" t="n">
        <v>2.04</v>
      </c>
      <c r="H13" s="69" t="n">
        <v>1.84</v>
      </c>
      <c r="I13" s="69" t="n">
        <v>1.71</v>
      </c>
      <c r="J13" s="69" t="n">
        <v>1.95</v>
      </c>
      <c r="K13" s="69" t="n">
        <v>2.03</v>
      </c>
      <c r="L13" s="75" t="n">
        <v>1.83</v>
      </c>
      <c r="M13" s="993" t="n">
        <v>1.89</v>
      </c>
      <c r="N13" s="993" t="n">
        <v>1.89</v>
      </c>
      <c r="O13" s="993" t="n">
        <v>1.81</v>
      </c>
    </row>
    <row r="14" customFormat="false" ht="13.15" hidden="false" customHeight="false" outlineLevel="0" collapsed="false">
      <c r="A14" s="67" t="s">
        <v>266</v>
      </c>
      <c r="B14" s="77" t="n">
        <f aca="false">'Plant loading'!G47</f>
        <v>120.663</v>
      </c>
      <c r="C14" s="69" t="n">
        <v>399</v>
      </c>
      <c r="D14" s="69" t="n">
        <v>0</v>
      </c>
      <c r="E14" s="992" t="n">
        <f aca="false">(C14-D14)/B14</f>
        <v>3.30673031500957</v>
      </c>
      <c r="F14" s="405"/>
      <c r="G14" s="993" t="n">
        <v>1.92</v>
      </c>
      <c r="H14" s="69" t="n">
        <v>1.92</v>
      </c>
      <c r="I14" s="69" t="n">
        <v>1.94</v>
      </c>
      <c r="J14" s="69" t="n">
        <v>1.98</v>
      </c>
      <c r="K14" s="69" t="n">
        <v>1.97</v>
      </c>
      <c r="L14" s="75" t="n">
        <v>1.97</v>
      </c>
      <c r="M14" s="993" t="n">
        <v>1.99</v>
      </c>
      <c r="N14" s="993" t="n">
        <v>1.99</v>
      </c>
      <c r="O14" s="993" t="n">
        <v>1.97</v>
      </c>
    </row>
    <row r="15" customFormat="false" ht="13.15" hidden="false" customHeight="false" outlineLevel="0" collapsed="false">
      <c r="A15" s="1000" t="s">
        <v>271</v>
      </c>
      <c r="B15" s="77" t="n">
        <f aca="false">'Plant loading'!G85</f>
        <v>87.6905</v>
      </c>
      <c r="C15" s="69" t="n">
        <v>224.2</v>
      </c>
      <c r="D15" s="69" t="n">
        <v>5</v>
      </c>
      <c r="E15" s="992" t="n">
        <f aca="false">(C15-D15)/B15</f>
        <v>2.49970065172396</v>
      </c>
      <c r="F15" s="405" t="s">
        <v>1592</v>
      </c>
      <c r="G15" s="993" t="n">
        <v>1.74</v>
      </c>
      <c r="H15" s="69" t="n">
        <v>1.74</v>
      </c>
      <c r="I15" s="993" t="s">
        <v>1593</v>
      </c>
      <c r="J15" s="993" t="n">
        <v>1.77</v>
      </c>
      <c r="K15" s="993" t="n">
        <v>1.8</v>
      </c>
      <c r="L15" s="75" t="n">
        <v>1.85</v>
      </c>
      <c r="M15" s="993" t="n">
        <v>1.81</v>
      </c>
      <c r="N15" s="993" t="n">
        <v>1.83</v>
      </c>
      <c r="O15" s="993" t="n">
        <v>1.81</v>
      </c>
    </row>
    <row r="16" customFormat="false" ht="13.15" hidden="false" customHeight="false" outlineLevel="0" collapsed="false">
      <c r="A16" s="1001" t="s">
        <v>272</v>
      </c>
      <c r="B16" s="77" t="n">
        <f aca="false">'Plant loading'!G89</f>
        <v>108.8365</v>
      </c>
      <c r="C16" s="69" t="n">
        <v>225.9</v>
      </c>
      <c r="D16" s="69" t="n">
        <v>5</v>
      </c>
      <c r="E16" s="992" t="n">
        <f aca="false">(C16-D16)/B16</f>
        <v>2.02964997955649</v>
      </c>
      <c r="F16" s="405" t="s">
        <v>1592</v>
      </c>
      <c r="G16" s="993" t="n">
        <v>1.36</v>
      </c>
      <c r="H16" s="69" t="n">
        <v>1.38</v>
      </c>
      <c r="I16" s="69" t="n">
        <v>1.43</v>
      </c>
      <c r="J16" s="69" t="n">
        <v>1.43</v>
      </c>
      <c r="K16" s="69" t="n">
        <v>1.46</v>
      </c>
      <c r="L16" s="75" t="n">
        <v>1.48</v>
      </c>
      <c r="M16" s="993" t="n">
        <v>1.49</v>
      </c>
      <c r="N16" s="993" t="n">
        <v>1.47</v>
      </c>
      <c r="O16" s="993" t="n">
        <v>1.46</v>
      </c>
    </row>
    <row r="17" customFormat="false" ht="13.15" hidden="false" customHeight="false" outlineLevel="0" collapsed="false">
      <c r="D17" s="346" t="s">
        <v>1594</v>
      </c>
    </row>
    <row r="18" customFormat="false" ht="13.15" hidden="false" customHeight="false" outlineLevel="0" collapsed="false">
      <c r="A18" s="1002" t="s">
        <v>1595</v>
      </c>
      <c r="B18" s="1003"/>
    </row>
    <row r="19" customFormat="false" ht="13.15" hidden="false" customHeight="false" outlineLevel="0" collapsed="false">
      <c r="A19" s="346" t="s">
        <v>1596</v>
      </c>
    </row>
    <row r="20" customFormat="false" ht="13.15" hidden="false" customHeight="false" outlineLevel="0" collapsed="false">
      <c r="B20" s="1004" t="s">
        <v>1597</v>
      </c>
    </row>
    <row r="22" customFormat="false" ht="13.9" hidden="false" customHeight="false" outlineLevel="0" collapsed="false">
      <c r="A22" s="986" t="s">
        <v>524</v>
      </c>
      <c r="B22" s="67" t="s">
        <v>1598</v>
      </c>
      <c r="C22" s="67" t="s">
        <v>1599</v>
      </c>
      <c r="D22" s="2"/>
      <c r="E22" s="2"/>
      <c r="F22" s="2"/>
      <c r="H22" s="2"/>
      <c r="I22" s="2"/>
      <c r="J22" s="2"/>
      <c r="K22" s="2"/>
      <c r="L22" s="2"/>
      <c r="M22" s="2"/>
      <c r="N22" s="2"/>
      <c r="O22" s="2"/>
      <c r="P22" s="2"/>
      <c r="Q22" s="2"/>
      <c r="R22" s="2"/>
      <c r="S22" s="2"/>
    </row>
    <row r="23" customFormat="false" ht="13.15" hidden="false" customHeight="false" outlineLevel="0" collapsed="false">
      <c r="A23" s="990" t="s">
        <v>254</v>
      </c>
      <c r="B23" s="1005" t="n">
        <v>1.55</v>
      </c>
      <c r="C23" s="69" t="n">
        <v>1.58</v>
      </c>
      <c r="D23" s="497"/>
      <c r="E23" s="497"/>
      <c r="F23" s="497"/>
      <c r="H23" s="497"/>
      <c r="I23" s="497"/>
      <c r="J23" s="497"/>
      <c r="K23" s="497"/>
      <c r="L23" s="497"/>
      <c r="M23" s="497"/>
      <c r="N23" s="497"/>
      <c r="O23" s="497"/>
      <c r="P23" s="497"/>
      <c r="Q23" s="2"/>
      <c r="R23" s="497"/>
      <c r="S23" s="497"/>
    </row>
    <row r="24" customFormat="false" ht="13.15" hidden="false" customHeight="true" outlineLevel="0" collapsed="false">
      <c r="A24" s="994" t="s">
        <v>265</v>
      </c>
      <c r="B24" s="1005" t="n">
        <v>1.48</v>
      </c>
      <c r="C24" s="69" t="n">
        <v>1.51</v>
      </c>
      <c r="D24" s="497"/>
      <c r="E24" s="497"/>
      <c r="F24" s="497"/>
      <c r="H24" s="497"/>
      <c r="I24" s="497"/>
      <c r="J24" s="497"/>
      <c r="K24" s="1006" t="s">
        <v>1600</v>
      </c>
      <c r="L24" s="1006"/>
      <c r="M24" s="1006"/>
      <c r="N24" s="1006"/>
      <c r="O24" s="1006"/>
      <c r="P24" s="1006"/>
      <c r="Q24" s="1006"/>
      <c r="R24" s="1006"/>
      <c r="S24" s="1006"/>
      <c r="T24" s="1006"/>
      <c r="U24" s="1006"/>
      <c r="V24" s="1006"/>
    </row>
    <row r="25" customFormat="false" ht="13.15" hidden="false" customHeight="false" outlineLevel="0" collapsed="false">
      <c r="A25" s="996" t="s">
        <v>267</v>
      </c>
      <c r="B25" s="1005" t="n">
        <v>1.53</v>
      </c>
      <c r="C25" s="993" t="n">
        <v>1.52</v>
      </c>
      <c r="D25" s="497"/>
      <c r="E25" s="497"/>
      <c r="F25" s="497"/>
      <c r="H25" s="497"/>
      <c r="I25" s="497"/>
      <c r="J25" s="497"/>
      <c r="K25" s="1006"/>
      <c r="L25" s="1006"/>
      <c r="M25" s="1006"/>
      <c r="N25" s="1006"/>
      <c r="O25" s="1006"/>
      <c r="P25" s="1006"/>
      <c r="Q25" s="1006"/>
      <c r="R25" s="1006"/>
      <c r="S25" s="1006"/>
      <c r="T25" s="1006"/>
      <c r="U25" s="1006"/>
      <c r="V25" s="1006"/>
    </row>
    <row r="26" customFormat="false" ht="13.15" hidden="false" customHeight="false" outlineLevel="0" collapsed="false">
      <c r="A26" s="1007" t="s">
        <v>268</v>
      </c>
      <c r="B26" s="1005" t="n">
        <v>1.4</v>
      </c>
      <c r="C26" s="69" t="n">
        <v>1.42</v>
      </c>
      <c r="D26" s="497"/>
      <c r="E26" s="497"/>
      <c r="F26" s="497"/>
      <c r="H26" s="1008"/>
      <c r="I26" s="1008"/>
      <c r="J26" s="1008"/>
      <c r="K26" s="1006"/>
      <c r="L26" s="1006"/>
      <c r="M26" s="1006"/>
      <c r="N26" s="1006"/>
      <c r="O26" s="1006"/>
      <c r="P26" s="1006"/>
      <c r="Q26" s="1006"/>
      <c r="R26" s="1006"/>
      <c r="S26" s="1006"/>
      <c r="T26" s="1006"/>
      <c r="U26" s="1006"/>
      <c r="V26" s="1006"/>
    </row>
    <row r="27" customFormat="false" ht="13.15" hidden="false" customHeight="false" outlineLevel="0" collapsed="false">
      <c r="A27" s="997" t="s">
        <v>253</v>
      </c>
      <c r="B27" s="1005" t="n">
        <v>1.73</v>
      </c>
      <c r="C27" s="69" t="n">
        <v>2.06</v>
      </c>
      <c r="H27" s="1008"/>
      <c r="I27" s="1008"/>
      <c r="J27" s="1008"/>
      <c r="K27" s="1006"/>
      <c r="L27" s="1006"/>
      <c r="M27" s="1006"/>
      <c r="N27" s="1006"/>
      <c r="O27" s="1006"/>
      <c r="P27" s="1006"/>
      <c r="Q27" s="1006"/>
      <c r="R27" s="1006"/>
      <c r="S27" s="1006"/>
      <c r="T27" s="1006"/>
      <c r="U27" s="1006"/>
      <c r="V27" s="1006"/>
    </row>
    <row r="28" customFormat="false" ht="13.15" hidden="false" customHeight="false" outlineLevel="0" collapsed="false">
      <c r="A28" s="1007" t="s">
        <v>256</v>
      </c>
      <c r="B28" s="1005" t="n">
        <v>1.56</v>
      </c>
      <c r="C28" s="69" t="n">
        <v>1.44</v>
      </c>
      <c r="D28" s="497"/>
      <c r="E28" s="497"/>
      <c r="F28" s="497"/>
      <c r="H28" s="497"/>
      <c r="I28" s="497"/>
      <c r="J28" s="497"/>
      <c r="K28" s="1006"/>
      <c r="L28" s="1006"/>
      <c r="M28" s="1006"/>
      <c r="N28" s="1006"/>
      <c r="O28" s="1006"/>
      <c r="P28" s="1006"/>
      <c r="Q28" s="1006"/>
      <c r="R28" s="1006"/>
      <c r="S28" s="1006"/>
      <c r="T28" s="1006"/>
      <c r="U28" s="1006"/>
      <c r="V28" s="1006"/>
    </row>
    <row r="29" customFormat="false" ht="13.15" hidden="false" customHeight="false" outlineLevel="0" collapsed="false">
      <c r="A29" s="996" t="s">
        <v>263</v>
      </c>
      <c r="B29" s="1005" t="n">
        <v>1.49</v>
      </c>
      <c r="C29" s="993" t="n">
        <v>1.5</v>
      </c>
      <c r="D29" s="497"/>
      <c r="E29" s="497"/>
      <c r="F29" s="497"/>
      <c r="H29" s="497"/>
      <c r="I29" s="497"/>
      <c r="J29" s="497"/>
      <c r="K29" s="1006"/>
      <c r="L29" s="1006"/>
      <c r="M29" s="1006"/>
      <c r="N29" s="1006"/>
      <c r="O29" s="1006"/>
      <c r="P29" s="1006"/>
      <c r="Q29" s="1006"/>
      <c r="R29" s="1006"/>
      <c r="S29" s="1006"/>
      <c r="T29" s="1006"/>
      <c r="U29" s="1006"/>
      <c r="V29" s="1006"/>
    </row>
    <row r="30" customFormat="false" ht="13.15" hidden="false" customHeight="false" outlineLevel="0" collapsed="false">
      <c r="A30" s="996" t="s">
        <v>269</v>
      </c>
      <c r="B30" s="1005" t="n">
        <v>1.54</v>
      </c>
      <c r="C30" s="69" t="n">
        <v>1.49</v>
      </c>
      <c r="D30" s="497"/>
      <c r="E30" s="497"/>
      <c r="F30" s="497"/>
      <c r="H30" s="497"/>
      <c r="I30" s="497"/>
      <c r="J30" s="497"/>
      <c r="K30" s="1006"/>
      <c r="L30" s="1006"/>
      <c r="M30" s="1006"/>
      <c r="N30" s="1006"/>
      <c r="O30" s="1006"/>
      <c r="P30" s="1006"/>
      <c r="Q30" s="1006"/>
      <c r="R30" s="1006"/>
      <c r="S30" s="1006"/>
      <c r="T30" s="1006"/>
      <c r="U30" s="1006"/>
      <c r="V30" s="1006"/>
    </row>
    <row r="31" customFormat="false" ht="13.9" hidden="false" customHeight="false" outlineLevel="0" collapsed="false">
      <c r="A31" s="999" t="s">
        <v>270</v>
      </c>
      <c r="B31" s="1005" t="n">
        <v>1.52</v>
      </c>
      <c r="C31" s="993" t="n">
        <v>1.5</v>
      </c>
      <c r="D31" s="497"/>
      <c r="E31" s="497"/>
      <c r="F31" s="497"/>
      <c r="K31" s="1006"/>
      <c r="L31" s="1006"/>
      <c r="M31" s="1006"/>
      <c r="N31" s="1006"/>
      <c r="O31" s="1006"/>
      <c r="P31" s="1006"/>
      <c r="Q31" s="1006"/>
      <c r="R31" s="1006"/>
      <c r="S31" s="1006"/>
      <c r="T31" s="1006"/>
      <c r="U31" s="1006"/>
      <c r="V31" s="1006"/>
    </row>
    <row r="32" customFormat="false" ht="13.15" hidden="false" customHeight="false" outlineLevel="0" collapsed="false">
      <c r="A32" s="986" t="s">
        <v>524</v>
      </c>
      <c r="B32" s="67" t="s">
        <v>1598</v>
      </c>
      <c r="C32" s="67" t="s">
        <v>1599</v>
      </c>
      <c r="D32" s="2"/>
      <c r="E32" s="2"/>
      <c r="F32" s="2"/>
      <c r="K32" s="1006"/>
      <c r="L32" s="1006"/>
      <c r="M32" s="1006"/>
      <c r="N32" s="1006"/>
      <c r="O32" s="1006"/>
      <c r="P32" s="1006"/>
      <c r="Q32" s="1006"/>
      <c r="R32" s="1006"/>
      <c r="S32" s="1006"/>
      <c r="T32" s="1006"/>
      <c r="U32" s="1006"/>
      <c r="V32" s="1006"/>
    </row>
    <row r="33" customFormat="false" ht="13.15" hidden="false" customHeight="false" outlineLevel="0" collapsed="false">
      <c r="A33" s="67" t="s">
        <v>259</v>
      </c>
      <c r="B33" s="1005" t="n">
        <v>1.46</v>
      </c>
      <c r="C33" s="993" t="n">
        <v>1.4</v>
      </c>
      <c r="H33" s="2"/>
      <c r="I33" s="2"/>
      <c r="J33" s="2"/>
      <c r="K33" s="2"/>
      <c r="L33" s="2"/>
      <c r="M33" s="2"/>
      <c r="N33" s="2"/>
      <c r="O33" s="2"/>
      <c r="P33" s="2"/>
      <c r="Q33" s="2"/>
      <c r="R33" s="497"/>
      <c r="S33" s="497"/>
    </row>
    <row r="34" customFormat="false" ht="13.15" hidden="false" customHeight="false" outlineLevel="0" collapsed="false">
      <c r="A34" s="1000" t="s">
        <v>261</v>
      </c>
      <c r="B34" s="1005" t="n">
        <v>1.76</v>
      </c>
      <c r="C34" s="993" t="n">
        <v>1.89</v>
      </c>
      <c r="H34" s="497"/>
      <c r="I34" s="497"/>
      <c r="J34" s="497"/>
      <c r="K34" s="497"/>
      <c r="L34" s="497"/>
      <c r="M34" s="497"/>
      <c r="N34" s="497"/>
      <c r="O34" s="497"/>
      <c r="P34" s="497"/>
      <c r="Q34" s="497"/>
      <c r="R34" s="497"/>
      <c r="S34" s="497"/>
    </row>
    <row r="35" customFormat="false" ht="13.15" hidden="false" customHeight="false" outlineLevel="0" collapsed="false">
      <c r="A35" s="67" t="s">
        <v>266</v>
      </c>
      <c r="B35" s="1005" t="n">
        <v>2.02</v>
      </c>
      <c r="C35" s="993" t="n">
        <v>1.99</v>
      </c>
      <c r="D35" s="497"/>
      <c r="E35" s="497"/>
      <c r="F35" s="497"/>
      <c r="H35" s="497"/>
      <c r="I35" s="497"/>
      <c r="J35" s="497"/>
      <c r="K35" s="497"/>
      <c r="L35" s="497"/>
      <c r="M35" s="497"/>
      <c r="N35" s="497"/>
      <c r="O35" s="497"/>
      <c r="P35" s="497"/>
      <c r="Q35" s="497"/>
      <c r="R35" s="497"/>
      <c r="S35" s="497"/>
    </row>
    <row r="36" customFormat="false" ht="13.15" hidden="false" customHeight="false" outlineLevel="0" collapsed="false">
      <c r="A36" s="67" t="s">
        <v>271</v>
      </c>
      <c r="B36" s="1005" t="n">
        <v>1.74</v>
      </c>
      <c r="C36" s="993" t="n">
        <v>1.81</v>
      </c>
      <c r="D36" s="497"/>
      <c r="E36" s="497"/>
      <c r="F36" s="497"/>
      <c r="H36" s="497"/>
      <c r="I36" s="497"/>
      <c r="J36" s="497"/>
      <c r="K36" s="497"/>
      <c r="L36" s="497"/>
      <c r="M36" s="497"/>
      <c r="N36" s="497"/>
      <c r="O36" s="497"/>
      <c r="P36" s="497"/>
      <c r="Q36" s="497"/>
      <c r="R36" s="497"/>
      <c r="S36" s="497"/>
    </row>
    <row r="37" customFormat="false" ht="13.15" hidden="false" customHeight="false" outlineLevel="0" collapsed="false">
      <c r="A37" s="1001" t="s">
        <v>272</v>
      </c>
      <c r="B37" s="1005" t="n">
        <v>1.49</v>
      </c>
      <c r="C37" s="993" t="n">
        <v>1.49</v>
      </c>
      <c r="D37" s="497"/>
      <c r="E37" s="497"/>
      <c r="F37" s="497"/>
      <c r="H37" s="497"/>
      <c r="I37" s="497"/>
      <c r="J37" s="497"/>
      <c r="K37" s="497"/>
      <c r="L37" s="497"/>
      <c r="M37" s="497"/>
      <c r="N37" s="497"/>
      <c r="O37" s="497"/>
      <c r="P37" s="497"/>
      <c r="Q37" s="497"/>
      <c r="R37" s="497"/>
      <c r="S37" s="497"/>
      <c r="W37" s="405"/>
      <c r="X37" s="405"/>
      <c r="Y37" s="405"/>
    </row>
    <row r="38" customFormat="false" ht="13.15" hidden="false" customHeight="false" outlineLevel="0" collapsed="false">
      <c r="B38" s="497"/>
      <c r="C38" s="497"/>
      <c r="D38" s="497"/>
      <c r="E38" s="497"/>
      <c r="F38" s="497"/>
      <c r="G38" s="497"/>
      <c r="H38" s="2"/>
      <c r="I38" s="2"/>
      <c r="J38" s="2"/>
      <c r="K38" s="2"/>
      <c r="L38" s="2"/>
      <c r="M38" s="2"/>
      <c r="N38" s="2"/>
      <c r="O38" s="2"/>
      <c r="P38" s="2"/>
      <c r="Q38" s="2"/>
      <c r="R38" s="2"/>
      <c r="S38" s="497"/>
      <c r="W38" s="405" t="s">
        <v>1601</v>
      </c>
      <c r="X38" s="69" t="s">
        <v>1602</v>
      </c>
      <c r="Y38" s="69" t="s">
        <v>794</v>
      </c>
    </row>
    <row r="39" customFormat="false" ht="13.15" hidden="false" customHeight="false" outlineLevel="0" collapsed="false">
      <c r="G39" s="67" t="n">
        <v>2016</v>
      </c>
      <c r="H39" s="67"/>
      <c r="I39" s="67"/>
      <c r="J39" s="67"/>
      <c r="K39" s="67"/>
      <c r="L39" s="67"/>
      <c r="M39" s="67"/>
      <c r="N39" s="67"/>
      <c r="O39" s="67"/>
      <c r="P39" s="67"/>
      <c r="Q39" s="67"/>
      <c r="R39" s="67"/>
      <c r="W39" s="1009" t="s">
        <v>1603</v>
      </c>
      <c r="X39" s="405"/>
      <c r="Y39" s="405" t="n">
        <f aca="false">(400*X39*1.73)/1000</f>
        <v>0</v>
      </c>
    </row>
    <row r="40" customFormat="false" ht="13.9" hidden="false" customHeight="false" outlineLevel="0" collapsed="false">
      <c r="A40" s="986" t="s">
        <v>524</v>
      </c>
      <c r="B40" s="987" t="s">
        <v>689</v>
      </c>
      <c r="C40" s="987" t="s">
        <v>1575</v>
      </c>
      <c r="D40" s="987" t="s">
        <v>1576</v>
      </c>
      <c r="E40" s="988" t="s">
        <v>1577</v>
      </c>
      <c r="F40" s="405"/>
      <c r="G40" s="67" t="s">
        <v>1578</v>
      </c>
      <c r="H40" s="67" t="s">
        <v>1579</v>
      </c>
      <c r="I40" s="67" t="s">
        <v>1580</v>
      </c>
      <c r="J40" s="67" t="s">
        <v>1581</v>
      </c>
      <c r="K40" s="67" t="s">
        <v>1582</v>
      </c>
      <c r="L40" s="986" t="s">
        <v>1604</v>
      </c>
      <c r="M40" s="986" t="s">
        <v>1605</v>
      </c>
      <c r="N40" s="986" t="s">
        <v>1585</v>
      </c>
      <c r="O40" s="986" t="s">
        <v>1586</v>
      </c>
      <c r="P40" s="986" t="s">
        <v>1606</v>
      </c>
      <c r="Q40" s="986" t="s">
        <v>1607</v>
      </c>
      <c r="R40" s="986" t="s">
        <v>1608</v>
      </c>
      <c r="W40" s="1009" t="s">
        <v>1609</v>
      </c>
      <c r="X40" s="405"/>
      <c r="Y40" s="405" t="n">
        <f aca="false">(400*X40*1.73)/1000</f>
        <v>0</v>
      </c>
    </row>
    <row r="41" customFormat="false" ht="13.15" hidden="false" customHeight="false" outlineLevel="0" collapsed="false">
      <c r="A41" s="990" t="s">
        <v>254</v>
      </c>
      <c r="B41" s="991" t="n">
        <f aca="false">'Plant loading'!G50</f>
        <v>0</v>
      </c>
      <c r="C41" s="69" t="n">
        <v>583.8</v>
      </c>
      <c r="D41" s="69" t="n">
        <v>33</v>
      </c>
      <c r="E41" s="992" t="e">
        <f aca="false">(C41-D41)/B41</f>
        <v>#DIV/0!</v>
      </c>
      <c r="F41" s="405" t="s">
        <v>1587</v>
      </c>
      <c r="G41" s="993" t="n">
        <v>1.42</v>
      </c>
      <c r="H41" s="993" t="n">
        <v>1.42</v>
      </c>
      <c r="I41" s="993" t="n">
        <v>1.38</v>
      </c>
      <c r="J41" s="993" t="n">
        <v>1.43</v>
      </c>
      <c r="K41" s="1005" t="n">
        <v>1.46</v>
      </c>
      <c r="L41" s="1010" t="n">
        <v>1.52</v>
      </c>
      <c r="M41" s="1010" t="n">
        <v>1.55</v>
      </c>
      <c r="N41" s="1010" t="n">
        <v>1.54</v>
      </c>
      <c r="O41" s="1010" t="n">
        <v>1.55</v>
      </c>
      <c r="P41" s="1010" t="n">
        <v>1.51</v>
      </c>
      <c r="Q41" s="1010" t="n">
        <v>1.46</v>
      </c>
      <c r="R41" s="1010" t="n">
        <v>1.43</v>
      </c>
      <c r="W41" s="1009" t="s">
        <v>578</v>
      </c>
      <c r="X41" s="405" t="n">
        <f aca="false">SUM(X39:X40)</f>
        <v>0</v>
      </c>
      <c r="Y41" s="405" t="n">
        <f aca="false">SUM(Y39:Y40)</f>
        <v>0</v>
      </c>
    </row>
    <row r="42" customFormat="false" ht="13.15" hidden="false" customHeight="false" outlineLevel="0" collapsed="false">
      <c r="A42" s="994" t="s">
        <v>265</v>
      </c>
      <c r="B42" s="991" t="e">
        <f aca="false">SUM('Plant loading'!G83)+('Inverter Loading'!M49+'inverter loading'!#ref!)</f>
        <v>#VALUE!</v>
      </c>
      <c r="C42" s="69" t="n">
        <v>564</v>
      </c>
      <c r="D42" s="69" t="n">
        <v>0</v>
      </c>
      <c r="E42" s="992" t="e">
        <f aca="false">(C42-D42)/B42</f>
        <v>#VALUE!</v>
      </c>
      <c r="F42" s="405" t="s">
        <v>1588</v>
      </c>
      <c r="G42" s="993" t="n">
        <v>1.37</v>
      </c>
      <c r="H42" s="993" t="n">
        <v>1.38</v>
      </c>
      <c r="I42" s="993" t="n">
        <v>1.32</v>
      </c>
      <c r="J42" s="993" t="n">
        <v>1.4</v>
      </c>
      <c r="K42" s="1005" t="n">
        <v>1.46</v>
      </c>
      <c r="L42" s="35" t="n">
        <v>1.48</v>
      </c>
      <c r="M42" s="1010" t="n">
        <v>1.48</v>
      </c>
      <c r="N42" s="1010" t="n">
        <v>1.5</v>
      </c>
      <c r="O42" s="1010" t="n">
        <v>1.48</v>
      </c>
      <c r="P42" s="1010" t="n">
        <v>1.44</v>
      </c>
      <c r="Q42" s="1010" t="n">
        <v>1.38</v>
      </c>
      <c r="R42" s="1010" t="n">
        <v>1.4</v>
      </c>
    </row>
    <row r="43" customFormat="false" ht="13.15" hidden="false" customHeight="false" outlineLevel="0" collapsed="false">
      <c r="A43" s="996" t="s">
        <v>267</v>
      </c>
      <c r="B43" s="991" t="e">
        <f aca="false">SUM('Plant loading'!G100)+('Inverter Loading'!O62+'inverter loading'!#ref!)</f>
        <v>#VALUE!</v>
      </c>
      <c r="C43" s="69" t="n">
        <v>445.5</v>
      </c>
      <c r="D43" s="69" t="n">
        <v>5</v>
      </c>
      <c r="E43" s="993" t="e">
        <f aca="false">(C43-D43)/B43</f>
        <v>#VALUE!</v>
      </c>
      <c r="F43" s="405"/>
      <c r="G43" s="993" t="n">
        <v>1.41</v>
      </c>
      <c r="H43" s="993" t="n">
        <v>1.41</v>
      </c>
      <c r="I43" s="993" t="n">
        <v>1.3</v>
      </c>
      <c r="J43" s="993" t="n">
        <v>1.46</v>
      </c>
      <c r="K43" s="1005" t="n">
        <v>1.49</v>
      </c>
      <c r="L43" s="35" t="n">
        <v>1.54</v>
      </c>
      <c r="M43" s="1010" t="n">
        <v>1.53</v>
      </c>
      <c r="N43" s="1010" t="n">
        <v>1.51</v>
      </c>
      <c r="O43" s="1010" t="n">
        <v>1.5</v>
      </c>
      <c r="P43" s="1010" t="n">
        <v>1.47</v>
      </c>
      <c r="Q43" s="1010" t="n">
        <v>1.4</v>
      </c>
      <c r="R43" s="1010" t="n">
        <v>1.46</v>
      </c>
    </row>
    <row r="44" customFormat="false" ht="13.15" hidden="false" customHeight="false" outlineLevel="0" collapsed="false">
      <c r="A44" s="996" t="s">
        <v>268</v>
      </c>
      <c r="B44" s="991" t="e">
        <f aca="false">'plant loading'!#ref!</f>
        <v>#VALUE!</v>
      </c>
      <c r="C44" s="69" t="n">
        <v>402.6</v>
      </c>
      <c r="D44" s="69" t="n">
        <v>0</v>
      </c>
      <c r="E44" s="992" t="e">
        <f aca="false">(C44-D44)/B44</f>
        <v>#VALUE!</v>
      </c>
      <c r="F44" s="405"/>
      <c r="G44" s="993" t="n">
        <v>1.4</v>
      </c>
      <c r="H44" s="993" t="n">
        <v>1.29</v>
      </c>
      <c r="I44" s="993" t="n">
        <v>1.25</v>
      </c>
      <c r="J44" s="993" t="n">
        <v>1.36</v>
      </c>
      <c r="K44" s="1005" t="n">
        <v>1.37</v>
      </c>
      <c r="L44" s="35" t="n">
        <v>1.37</v>
      </c>
      <c r="M44" s="1010" t="n">
        <v>1.4</v>
      </c>
      <c r="N44" s="1010" t="n">
        <v>1.4</v>
      </c>
      <c r="O44" s="1010" t="n">
        <v>1.39</v>
      </c>
      <c r="P44" s="1010" t="n">
        <v>1.38</v>
      </c>
      <c r="Q44" s="1010" t="n">
        <v>1.31</v>
      </c>
      <c r="R44" s="1010" t="n">
        <v>1.33</v>
      </c>
    </row>
    <row r="45" customFormat="false" ht="13.15" hidden="false" customHeight="false" outlineLevel="0" collapsed="false">
      <c r="A45" s="997" t="s">
        <v>253</v>
      </c>
      <c r="B45" s="991" t="n">
        <f aca="false">'Plant loading'!G47</f>
        <v>120.663</v>
      </c>
      <c r="C45" s="69" t="n">
        <v>240</v>
      </c>
      <c r="D45" s="69" t="n">
        <v>10</v>
      </c>
      <c r="E45" s="992" t="n">
        <f aca="false">(C45-D45)/B45</f>
        <v>1.90613526930376</v>
      </c>
      <c r="F45" s="405" t="s">
        <v>1587</v>
      </c>
      <c r="G45" s="993" t="n">
        <v>1.55</v>
      </c>
      <c r="H45" s="993" t="n">
        <v>1.6</v>
      </c>
      <c r="I45" s="993" t="n">
        <v>1.58</v>
      </c>
      <c r="J45" s="993" t="n">
        <v>1.62</v>
      </c>
      <c r="K45" s="1005" t="n">
        <v>1.67</v>
      </c>
      <c r="L45" s="69" t="n">
        <v>1.72</v>
      </c>
      <c r="M45" s="993" t="n">
        <v>1.73</v>
      </c>
      <c r="N45" s="993" t="n">
        <v>1.73</v>
      </c>
      <c r="O45" s="993" t="n">
        <v>1.73</v>
      </c>
      <c r="P45" s="993" t="n">
        <v>1.69</v>
      </c>
      <c r="Q45" s="993" t="n">
        <v>1.63</v>
      </c>
      <c r="R45" s="993" t="n">
        <v>1.62</v>
      </c>
    </row>
    <row r="46" customFormat="false" ht="13.15" hidden="false" customHeight="false" outlineLevel="0" collapsed="false">
      <c r="A46" s="996" t="s">
        <v>256</v>
      </c>
      <c r="B46" s="991" t="n">
        <f aca="false">'Plant loading'!G58</f>
        <v>0</v>
      </c>
      <c r="C46" s="69" t="n">
        <v>199.3</v>
      </c>
      <c r="D46" s="69" t="n">
        <v>5</v>
      </c>
      <c r="E46" s="992" t="e">
        <f aca="false">(C46-D46)/B46</f>
        <v>#DIV/0!</v>
      </c>
      <c r="F46" s="405" t="s">
        <v>1587</v>
      </c>
      <c r="G46" s="993" t="n">
        <v>1.58</v>
      </c>
      <c r="H46" s="993" t="n">
        <v>1.55</v>
      </c>
      <c r="I46" s="993" t="n">
        <v>1.55</v>
      </c>
      <c r="J46" s="993" t="n">
        <v>1.49</v>
      </c>
      <c r="K46" s="1005" t="n">
        <v>1.47</v>
      </c>
      <c r="L46" s="69" t="n">
        <v>1.47</v>
      </c>
      <c r="M46" s="993" t="n">
        <v>1.56</v>
      </c>
      <c r="N46" s="993" t="n">
        <v>1.64</v>
      </c>
      <c r="O46" s="993" t="n">
        <v>1.55</v>
      </c>
      <c r="P46" s="993" t="n">
        <v>1.44</v>
      </c>
      <c r="Q46" s="993" t="n">
        <v>1.37</v>
      </c>
      <c r="R46" s="993" t="n">
        <v>1.36</v>
      </c>
    </row>
    <row r="47" customFormat="false" ht="13.15" hidden="false" customHeight="false" outlineLevel="0" collapsed="false">
      <c r="A47" s="996" t="s">
        <v>263</v>
      </c>
      <c r="B47" s="991" t="n">
        <f aca="false">'Plant loading'!G76</f>
        <v>0</v>
      </c>
      <c r="C47" s="69" t="n">
        <v>254</v>
      </c>
      <c r="D47" s="69" t="n">
        <v>0</v>
      </c>
      <c r="E47" s="993" t="e">
        <f aca="false">(C47-D47)/B47</f>
        <v>#DIV/0!</v>
      </c>
      <c r="F47" s="405"/>
      <c r="G47" s="993" t="n">
        <v>1.45</v>
      </c>
      <c r="H47" s="993" t="n">
        <v>1.55</v>
      </c>
      <c r="I47" s="993" t="n">
        <v>1.55</v>
      </c>
      <c r="J47" s="993" t="n">
        <v>1.44</v>
      </c>
      <c r="K47" s="1005" t="n">
        <v>1.52</v>
      </c>
      <c r="L47" s="186" t="n">
        <v>1.52</v>
      </c>
      <c r="M47" s="1011" t="n">
        <v>1.49</v>
      </c>
      <c r="N47" s="1011" t="n">
        <v>1.47</v>
      </c>
      <c r="O47" s="1011" t="n">
        <v>1.45</v>
      </c>
      <c r="P47" s="1011" t="n">
        <v>1.4</v>
      </c>
      <c r="Q47" s="1011" t="n">
        <v>1.34</v>
      </c>
      <c r="R47" s="1011" t="n">
        <v>1.34</v>
      </c>
    </row>
    <row r="48" customFormat="false" ht="13.15" hidden="false" customHeight="false" outlineLevel="0" collapsed="false">
      <c r="A48" s="996" t="s">
        <v>269</v>
      </c>
      <c r="B48" s="991" t="n">
        <f aca="false">'Plant loading'!G108</f>
        <v>0.256245614035088</v>
      </c>
      <c r="C48" s="69" t="n">
        <v>419.5</v>
      </c>
      <c r="D48" s="501" t="n">
        <v>5</v>
      </c>
      <c r="E48" s="992" t="n">
        <f aca="false">(C48-D48)/B48</f>
        <v>1617.58866219362</v>
      </c>
      <c r="F48" s="405" t="s">
        <v>1588</v>
      </c>
      <c r="G48" s="993" t="n">
        <v>1.41</v>
      </c>
      <c r="H48" s="993" t="n">
        <v>1.39</v>
      </c>
      <c r="I48" s="993" t="n">
        <v>1.41</v>
      </c>
      <c r="J48" s="993" t="n">
        <v>1.43</v>
      </c>
      <c r="K48" s="1005" t="n">
        <v>1.46</v>
      </c>
      <c r="L48" s="35" t="n">
        <v>1.51</v>
      </c>
      <c r="M48" s="1010" t="n">
        <v>1.54</v>
      </c>
      <c r="N48" s="1010" t="n">
        <v>1.55</v>
      </c>
      <c r="O48" s="1010" t="n">
        <v>1.5</v>
      </c>
      <c r="P48" s="1010" t="n">
        <v>1.38</v>
      </c>
      <c r="Q48" s="1010" t="n">
        <v>1.35</v>
      </c>
      <c r="R48" s="1010" t="n">
        <v>1.36</v>
      </c>
    </row>
    <row r="49" customFormat="false" ht="13.9" hidden="false" customHeight="false" outlineLevel="0" collapsed="false">
      <c r="A49" s="999" t="s">
        <v>270</v>
      </c>
      <c r="B49" s="991" t="n">
        <f aca="false">'Plant loading'!G112</f>
        <v>16.132</v>
      </c>
      <c r="C49" s="69" t="n">
        <v>309.9</v>
      </c>
      <c r="D49" s="501" t="n">
        <v>10</v>
      </c>
      <c r="E49" s="992" t="n">
        <f aca="false">(C49-D49)/B49</f>
        <v>18.5903793701959</v>
      </c>
      <c r="F49" s="405"/>
      <c r="G49" s="993" t="n">
        <v>1.45</v>
      </c>
      <c r="H49" s="993" t="n">
        <v>1.46</v>
      </c>
      <c r="I49" s="993" t="n">
        <v>1.47</v>
      </c>
      <c r="J49" s="993" t="n">
        <v>1.47</v>
      </c>
      <c r="K49" s="1005" t="n">
        <v>1.54</v>
      </c>
      <c r="L49" s="35" t="n">
        <v>1.55</v>
      </c>
      <c r="M49" s="1010" t="n">
        <v>1.52</v>
      </c>
      <c r="N49" s="1010" t="n">
        <v>1.62</v>
      </c>
      <c r="O49" s="1010" t="n">
        <v>1.51</v>
      </c>
      <c r="P49" s="1010" t="n">
        <v>1.44</v>
      </c>
      <c r="Q49" s="1010" t="n">
        <v>1.37</v>
      </c>
      <c r="R49" s="1010" t="n">
        <v>1.45</v>
      </c>
    </row>
    <row r="50" customFormat="false" ht="13.15" hidden="false" customHeight="false" outlineLevel="0" collapsed="false">
      <c r="A50" s="67" t="s">
        <v>259</v>
      </c>
      <c r="B50" s="77" t="n">
        <f aca="false">'Plant loading'!G65</f>
        <v>0</v>
      </c>
      <c r="C50" s="69" t="n">
        <v>317.5</v>
      </c>
      <c r="D50" s="501" t="n">
        <v>15</v>
      </c>
      <c r="E50" s="992" t="e">
        <f aca="false">(C50-D50)/B50</f>
        <v>#DIV/0!</v>
      </c>
      <c r="F50" s="405" t="s">
        <v>1591</v>
      </c>
      <c r="G50" s="993" t="n">
        <v>1.3</v>
      </c>
      <c r="H50" s="993" t="n">
        <v>1.28</v>
      </c>
      <c r="I50" s="993" t="n">
        <v>1.28</v>
      </c>
      <c r="J50" s="993" t="n">
        <v>1.31</v>
      </c>
      <c r="K50" s="1005" t="n">
        <v>1.26</v>
      </c>
      <c r="L50" s="35" t="n">
        <v>1.43</v>
      </c>
      <c r="M50" s="1010" t="n">
        <v>1.46</v>
      </c>
      <c r="N50" s="1010" t="n">
        <v>1.45</v>
      </c>
      <c r="O50" s="1010" t="n">
        <v>1.45</v>
      </c>
      <c r="P50" s="1010" t="n">
        <v>1.36</v>
      </c>
      <c r="Q50" s="1010" t="n">
        <v>1.51</v>
      </c>
      <c r="R50" s="1010" t="n">
        <v>1.35</v>
      </c>
    </row>
    <row r="51" customFormat="false" ht="13.15" hidden="false" customHeight="false" outlineLevel="0" collapsed="false">
      <c r="A51" s="1000" t="s">
        <v>261</v>
      </c>
      <c r="B51" s="77" t="n">
        <f aca="false">'Plant loading'!G72</f>
        <v>271.737</v>
      </c>
      <c r="C51" s="69" t="n">
        <v>224.5</v>
      </c>
      <c r="D51" s="69" t="n">
        <v>10</v>
      </c>
      <c r="E51" s="992" t="n">
        <f aca="false">(C51-D51)/B51</f>
        <v>0.789366188630919</v>
      </c>
      <c r="F51" s="405" t="s">
        <v>1588</v>
      </c>
      <c r="G51" s="993" t="n">
        <v>1.93</v>
      </c>
      <c r="H51" s="993" t="n">
        <v>1.77</v>
      </c>
      <c r="I51" s="993" t="n">
        <v>1.74</v>
      </c>
      <c r="J51" s="993" t="n">
        <v>1.74</v>
      </c>
      <c r="K51" s="1005" t="n">
        <v>1.98</v>
      </c>
      <c r="L51" s="1010" t="n">
        <v>1.86</v>
      </c>
      <c r="M51" s="1010" t="n">
        <v>1.76</v>
      </c>
      <c r="N51" s="1010" t="n">
        <v>1.87</v>
      </c>
      <c r="O51" s="1010" t="n">
        <v>2.12</v>
      </c>
      <c r="P51" s="1010" t="n">
        <v>1.74</v>
      </c>
      <c r="Q51" s="1010" t="n">
        <v>2.03</v>
      </c>
      <c r="R51" s="1010" t="n">
        <v>2.03</v>
      </c>
    </row>
    <row r="52" customFormat="false" ht="13.15" hidden="false" customHeight="false" outlineLevel="0" collapsed="false">
      <c r="A52" s="67" t="s">
        <v>266</v>
      </c>
      <c r="B52" s="77" t="n">
        <f aca="false">'Plant loading'!G89</f>
        <v>108.8365</v>
      </c>
      <c r="C52" s="69" t="n">
        <v>399</v>
      </c>
      <c r="D52" s="69" t="n">
        <v>0</v>
      </c>
      <c r="E52" s="992" t="n">
        <f aca="false">(C52-D52)/B52</f>
        <v>3.66604953301512</v>
      </c>
      <c r="F52" s="405"/>
      <c r="G52" s="993" t="n">
        <v>1.92</v>
      </c>
      <c r="H52" s="993" t="n">
        <v>2.02</v>
      </c>
      <c r="I52" s="993" t="n">
        <v>1.95</v>
      </c>
      <c r="J52" s="993" t="n">
        <v>1.93</v>
      </c>
      <c r="K52" s="1005" t="n">
        <v>1.96</v>
      </c>
      <c r="L52" s="35" t="n">
        <v>2</v>
      </c>
      <c r="M52" s="1010" t="n">
        <v>2.02</v>
      </c>
      <c r="N52" s="1010" t="n">
        <v>2.14</v>
      </c>
      <c r="O52" s="1010" t="n">
        <v>2.04</v>
      </c>
      <c r="P52" s="1010" t="n">
        <v>1.95</v>
      </c>
      <c r="Q52" s="1010" t="n">
        <v>1.92</v>
      </c>
      <c r="R52" s="1010" t="n">
        <v>2.01</v>
      </c>
    </row>
    <row r="53" customFormat="false" ht="13.15" hidden="false" customHeight="false" outlineLevel="0" collapsed="false">
      <c r="A53" s="1000" t="s">
        <v>271</v>
      </c>
      <c r="B53" s="77" t="n">
        <f aca="false">'Plant loading'!G117</f>
        <v>0</v>
      </c>
      <c r="C53" s="69" t="n">
        <v>224.2</v>
      </c>
      <c r="D53" s="69" t="n">
        <v>5</v>
      </c>
      <c r="E53" s="992" t="e">
        <f aca="false">(C53-D53)/B53</f>
        <v>#DIV/0!</v>
      </c>
      <c r="F53" s="405" t="s">
        <v>1592</v>
      </c>
      <c r="G53" s="993" t="n">
        <v>1.74</v>
      </c>
      <c r="H53" s="993" t="n">
        <v>1.8</v>
      </c>
      <c r="I53" s="993" t="n">
        <v>1.84</v>
      </c>
      <c r="J53" s="993" t="n">
        <v>1.86</v>
      </c>
      <c r="K53" s="1005" t="n">
        <v>1.81</v>
      </c>
      <c r="L53" s="69" t="n">
        <v>1.77</v>
      </c>
      <c r="M53" s="993" t="n">
        <v>1.74</v>
      </c>
      <c r="N53" s="993" t="n">
        <v>1.75</v>
      </c>
      <c r="O53" s="993" t="n">
        <v>1.75</v>
      </c>
      <c r="P53" s="993" t="n">
        <v>1.76</v>
      </c>
      <c r="Q53" s="993" t="n">
        <v>1.75</v>
      </c>
      <c r="R53" s="993" t="n">
        <v>1.75</v>
      </c>
    </row>
    <row r="54" customFormat="false" ht="13.15" hidden="false" customHeight="false" outlineLevel="0" collapsed="false">
      <c r="A54" s="1001" t="s">
        <v>272</v>
      </c>
      <c r="B54" s="77" t="e">
        <f aca="false">'plant loading'!#ref!</f>
        <v>#VALUE!</v>
      </c>
      <c r="C54" s="69" t="n">
        <v>225.9</v>
      </c>
      <c r="D54" s="69" t="n">
        <v>5</v>
      </c>
      <c r="E54" s="992" t="e">
        <f aca="false">(C54-D54)/B54</f>
        <v>#VALUE!</v>
      </c>
      <c r="F54" s="405" t="s">
        <v>1592</v>
      </c>
      <c r="G54" s="993" t="n">
        <v>1.42</v>
      </c>
      <c r="H54" s="993" t="n">
        <v>1.38</v>
      </c>
      <c r="I54" s="993" t="n">
        <v>1.42</v>
      </c>
      <c r="J54" s="993" t="n">
        <v>1.5</v>
      </c>
      <c r="K54" s="1005" t="n">
        <v>1.51</v>
      </c>
      <c r="L54" s="127" t="n">
        <v>1.51</v>
      </c>
      <c r="M54" s="1012" t="n">
        <v>1.49</v>
      </c>
      <c r="N54" s="1012" t="n">
        <v>1.49</v>
      </c>
      <c r="O54" s="1012" t="n">
        <v>1.55</v>
      </c>
      <c r="P54" s="1012" t="n">
        <v>1.45</v>
      </c>
      <c r="Q54" s="1012" t="n">
        <v>1.4</v>
      </c>
      <c r="R54" s="1012" t="n">
        <v>1.4</v>
      </c>
    </row>
    <row r="55" customFormat="false" ht="13.15" hidden="false" customHeight="false" outlineLevel="0" collapsed="false">
      <c r="G55" s="67" t="n">
        <v>2015</v>
      </c>
      <c r="H55" s="67"/>
      <c r="I55" s="67"/>
      <c r="J55" s="67"/>
      <c r="K55" s="67"/>
      <c r="L55" s="67"/>
      <c r="M55" s="67"/>
      <c r="N55" s="67"/>
      <c r="O55" s="67"/>
      <c r="P55" s="67"/>
      <c r="Q55" s="67"/>
      <c r="R55" s="67"/>
    </row>
    <row r="56" customFormat="false" ht="13.9" hidden="false" customHeight="false" outlineLevel="0" collapsed="false">
      <c r="A56" s="986" t="s">
        <v>524</v>
      </c>
      <c r="B56" s="987" t="s">
        <v>689</v>
      </c>
      <c r="C56" s="987" t="s">
        <v>1575</v>
      </c>
      <c r="D56" s="987" t="s">
        <v>1576</v>
      </c>
      <c r="E56" s="988" t="s">
        <v>1577</v>
      </c>
      <c r="F56" s="405"/>
      <c r="G56" s="67" t="s">
        <v>1578</v>
      </c>
      <c r="H56" s="67" t="s">
        <v>1579</v>
      </c>
      <c r="I56" s="67" t="s">
        <v>1580</v>
      </c>
      <c r="J56" s="67" t="s">
        <v>1581</v>
      </c>
      <c r="K56" s="67" t="s">
        <v>1582</v>
      </c>
      <c r="L56" s="987" t="s">
        <v>1604</v>
      </c>
      <c r="M56" s="987" t="s">
        <v>1605</v>
      </c>
      <c r="N56" s="987" t="s">
        <v>1585</v>
      </c>
      <c r="O56" s="987" t="s">
        <v>1586</v>
      </c>
      <c r="P56" s="987" t="s">
        <v>1606</v>
      </c>
      <c r="Q56" s="987" t="s">
        <v>1607</v>
      </c>
      <c r="R56" s="987" t="s">
        <v>1608</v>
      </c>
    </row>
    <row r="57" customFormat="false" ht="13.15" hidden="false" customHeight="false" outlineLevel="0" collapsed="false">
      <c r="A57" s="990" t="s">
        <v>254</v>
      </c>
      <c r="B57" s="991" t="n">
        <f aca="false">'Plant loading'!G49</f>
        <v>0</v>
      </c>
      <c r="C57" s="69" t="n">
        <v>583.8</v>
      </c>
      <c r="D57" s="69" t="n">
        <v>33</v>
      </c>
      <c r="E57" s="992" t="e">
        <f aca="false">(C57-D57)/B57</f>
        <v>#DIV/0!</v>
      </c>
      <c r="F57" s="405" t="s">
        <v>1587</v>
      </c>
      <c r="G57" s="993" t="n">
        <v>1.59</v>
      </c>
      <c r="H57" s="993" t="n">
        <v>1.5</v>
      </c>
      <c r="I57" s="993" t="n">
        <v>1.46</v>
      </c>
      <c r="J57" s="993" t="n">
        <v>1.49</v>
      </c>
      <c r="K57" s="1005" t="n">
        <v>1.49</v>
      </c>
      <c r="L57" s="1010" t="n">
        <v>1.5</v>
      </c>
      <c r="M57" s="1010" t="n">
        <v>1.51</v>
      </c>
      <c r="N57" s="1010" t="n">
        <v>1.5</v>
      </c>
      <c r="O57" s="1010" t="n">
        <v>1.48</v>
      </c>
      <c r="P57" s="1010" t="n">
        <v>1.46</v>
      </c>
      <c r="Q57" s="1010" t="n">
        <v>1.46</v>
      </c>
      <c r="R57" s="1010" t="n">
        <v>1.47</v>
      </c>
    </row>
    <row r="58" customFormat="false" ht="13.15" hidden="false" customHeight="false" outlineLevel="0" collapsed="false">
      <c r="A58" s="994" t="s">
        <v>265</v>
      </c>
      <c r="B58" s="991" t="n">
        <v>339</v>
      </c>
      <c r="C58" s="69" t="n">
        <v>564</v>
      </c>
      <c r="D58" s="69" t="n">
        <v>0</v>
      </c>
      <c r="E58" s="992" t="n">
        <f aca="false">(C58-D58)/B58</f>
        <v>1.66371681415929</v>
      </c>
      <c r="F58" s="405" t="s">
        <v>1588</v>
      </c>
      <c r="G58" s="993" t="n">
        <v>1.51</v>
      </c>
      <c r="H58" s="993" t="n">
        <v>1.34</v>
      </c>
      <c r="I58" s="993" t="n">
        <v>1.37</v>
      </c>
      <c r="J58" s="993" t="n">
        <v>1.42</v>
      </c>
      <c r="K58" s="1005" t="n">
        <v>1.45</v>
      </c>
      <c r="L58" s="35" t="n">
        <v>1.48</v>
      </c>
      <c r="M58" s="1010" t="n">
        <v>1.5</v>
      </c>
      <c r="N58" s="1010" t="n">
        <v>1.49</v>
      </c>
      <c r="O58" s="1010" t="n">
        <v>1.52</v>
      </c>
      <c r="P58" s="1010" t="n">
        <v>1.45</v>
      </c>
      <c r="Q58" s="1010" t="n">
        <v>1.44</v>
      </c>
      <c r="R58" s="1010" t="n">
        <v>1.39</v>
      </c>
    </row>
    <row r="59" customFormat="false" ht="13.15" hidden="false" customHeight="false" outlineLevel="0" collapsed="false">
      <c r="A59" s="996" t="s">
        <v>267</v>
      </c>
      <c r="B59" s="991" t="n">
        <v>275</v>
      </c>
      <c r="C59" s="69" t="n">
        <v>445.5</v>
      </c>
      <c r="D59" s="69" t="n">
        <v>5</v>
      </c>
      <c r="E59" s="993" t="n">
        <f aca="false">(C59-D59)/B59</f>
        <v>1.60181818181818</v>
      </c>
      <c r="F59" s="405"/>
      <c r="G59" s="993" t="n">
        <v>1.43</v>
      </c>
      <c r="H59" s="993" t="n">
        <v>1.39</v>
      </c>
      <c r="I59" s="993" t="n">
        <v>1.41</v>
      </c>
      <c r="J59" s="993" t="n">
        <v>1.4</v>
      </c>
      <c r="K59" s="1005" t="n">
        <v>1.48</v>
      </c>
      <c r="L59" s="35" t="n">
        <v>1.51</v>
      </c>
      <c r="M59" s="1010" t="n">
        <v>1.53</v>
      </c>
      <c r="N59" s="1010" t="n">
        <v>1.55</v>
      </c>
      <c r="O59" s="1010" t="n">
        <v>1.55</v>
      </c>
      <c r="P59" s="1010" t="n">
        <v>1.54</v>
      </c>
      <c r="Q59" s="1010" t="n">
        <v>1.47</v>
      </c>
      <c r="R59" s="1010" t="n">
        <v>1.41</v>
      </c>
    </row>
    <row r="60" customFormat="false" ht="13.15" hidden="false" customHeight="false" outlineLevel="0" collapsed="false">
      <c r="A60" s="996" t="s">
        <v>268</v>
      </c>
      <c r="B60" s="991" t="e">
        <f aca="false">'plant loading'!#ref!</f>
        <v>#VALUE!</v>
      </c>
      <c r="C60" s="69" t="n">
        <v>402.6</v>
      </c>
      <c r="D60" s="69" t="n">
        <v>0</v>
      </c>
      <c r="E60" s="992" t="e">
        <f aca="false">(C60-D60)/B60</f>
        <v>#VALUE!</v>
      </c>
      <c r="F60" s="405"/>
      <c r="G60" s="993" t="n">
        <v>1.3</v>
      </c>
      <c r="H60" s="993" t="n">
        <v>1.32</v>
      </c>
      <c r="I60" s="993" t="n">
        <v>1.34</v>
      </c>
      <c r="J60" s="993" t="n">
        <v>1.39</v>
      </c>
      <c r="K60" s="1005" t="n">
        <v>1.4</v>
      </c>
      <c r="L60" s="35" t="n">
        <v>1.43</v>
      </c>
      <c r="M60" s="1010" t="n">
        <v>1.43</v>
      </c>
      <c r="N60" s="1010" t="n">
        <v>1.45</v>
      </c>
      <c r="O60" s="1010" t="n">
        <v>1.38</v>
      </c>
      <c r="P60" s="1010" t="n">
        <v>1.38</v>
      </c>
      <c r="Q60" s="1010" t="n">
        <v>1.42</v>
      </c>
      <c r="R60" s="1010" t="n">
        <v>1.27</v>
      </c>
    </row>
    <row r="61" customFormat="false" ht="13.15" hidden="false" customHeight="false" outlineLevel="0" collapsed="false">
      <c r="A61" s="997" t="s">
        <v>253</v>
      </c>
      <c r="B61" s="991" t="n">
        <f aca="false">'Plant loading'!G44</f>
        <v>0</v>
      </c>
      <c r="C61" s="69" t="n">
        <v>240</v>
      </c>
      <c r="D61" s="69" t="n">
        <v>10</v>
      </c>
      <c r="E61" s="992" t="e">
        <f aca="false">(C61-D61)/B61</f>
        <v>#DIV/0!</v>
      </c>
      <c r="F61" s="405" t="s">
        <v>1587</v>
      </c>
      <c r="G61" s="993" t="n">
        <v>1.55</v>
      </c>
      <c r="H61" s="993" t="n">
        <v>1.52</v>
      </c>
      <c r="I61" s="993" t="n">
        <v>1.52</v>
      </c>
      <c r="J61" s="993" t="n">
        <v>1.67</v>
      </c>
      <c r="K61" s="1005" t="n">
        <v>1.68</v>
      </c>
      <c r="L61" s="69" t="n">
        <v>1.72</v>
      </c>
      <c r="M61" s="993" t="n">
        <v>1.7</v>
      </c>
      <c r="N61" s="993" t="n">
        <v>1.68</v>
      </c>
      <c r="O61" s="993" t="n">
        <v>1.68</v>
      </c>
      <c r="P61" s="993" t="n">
        <v>1.63</v>
      </c>
      <c r="Q61" s="993" t="n">
        <v>1.61</v>
      </c>
      <c r="R61" s="993" t="n">
        <v>1.69</v>
      </c>
    </row>
    <row r="62" customFormat="false" ht="13.15" hidden="false" customHeight="false" outlineLevel="0" collapsed="false">
      <c r="A62" s="996" t="s">
        <v>256</v>
      </c>
      <c r="B62" s="991" t="n">
        <f aca="false">'Plant loading'!G57</f>
        <v>0</v>
      </c>
      <c r="C62" s="69" t="n">
        <v>199.3</v>
      </c>
      <c r="D62" s="69" t="n">
        <v>5</v>
      </c>
      <c r="E62" s="992" t="e">
        <f aca="false">(C62-D62)/B62</f>
        <v>#DIV/0!</v>
      </c>
      <c r="F62" s="405" t="s">
        <v>1587</v>
      </c>
      <c r="G62" s="993" t="n">
        <v>1.52</v>
      </c>
      <c r="H62" s="993" t="n">
        <v>1.46</v>
      </c>
      <c r="I62" s="993" t="n">
        <v>1.54</v>
      </c>
      <c r="J62" s="993" t="n">
        <v>1.43</v>
      </c>
      <c r="K62" s="1005" t="n">
        <v>1.42</v>
      </c>
      <c r="L62" s="69" t="n">
        <v>1.5</v>
      </c>
      <c r="M62" s="993" t="n">
        <v>1.5</v>
      </c>
      <c r="N62" s="993" t="n">
        <v>1.5</v>
      </c>
      <c r="O62" s="993" t="n">
        <v>1.49</v>
      </c>
      <c r="P62" s="993" t="n">
        <v>1.46</v>
      </c>
      <c r="Q62" s="993" t="n">
        <v>1.42</v>
      </c>
      <c r="R62" s="993" t="n">
        <v>1.63</v>
      </c>
    </row>
    <row r="63" customFormat="false" ht="13.15" hidden="false" customHeight="false" outlineLevel="0" collapsed="false">
      <c r="A63" s="996" t="s">
        <v>263</v>
      </c>
      <c r="B63" s="991" t="n">
        <f aca="false">'Plant loading'!G75</f>
        <v>0.58438064516129</v>
      </c>
      <c r="C63" s="69" t="n">
        <v>254</v>
      </c>
      <c r="D63" s="69" t="n">
        <v>0</v>
      </c>
      <c r="E63" s="993" t="n">
        <f aca="false">(C63-D63)/B63</f>
        <v>434.648207641948</v>
      </c>
      <c r="F63" s="405"/>
      <c r="G63" s="993" t="n">
        <v>1.54</v>
      </c>
      <c r="H63" s="993" t="n">
        <v>1.47</v>
      </c>
      <c r="I63" s="993" t="n">
        <v>1.43</v>
      </c>
      <c r="J63" s="993" t="n">
        <v>1.45</v>
      </c>
      <c r="K63" s="1005" t="n">
        <v>1.48</v>
      </c>
      <c r="L63" s="186" t="n">
        <v>1.53</v>
      </c>
      <c r="M63" s="1011" t="n">
        <v>1.57</v>
      </c>
      <c r="N63" s="1011" t="n">
        <v>1.53</v>
      </c>
      <c r="O63" s="1011" t="n">
        <v>1.52</v>
      </c>
      <c r="P63" s="1011" t="n">
        <v>1.52</v>
      </c>
      <c r="Q63" s="1011" t="n">
        <v>1.51</v>
      </c>
      <c r="R63" s="1011" t="n">
        <v>1.51</v>
      </c>
    </row>
    <row r="64" customFormat="false" ht="13.15" hidden="false" customHeight="false" outlineLevel="0" collapsed="false">
      <c r="A64" s="996" t="s">
        <v>269</v>
      </c>
      <c r="B64" s="991" t="n">
        <f aca="false">'Plant loading'!G107</f>
        <v>29.212</v>
      </c>
      <c r="C64" s="69" t="n">
        <v>419.5</v>
      </c>
      <c r="D64" s="501" t="n">
        <v>5</v>
      </c>
      <c r="E64" s="992" t="n">
        <f aca="false">(C64-D64)/B64</f>
        <v>14.1893742297686</v>
      </c>
      <c r="F64" s="405" t="s">
        <v>1588</v>
      </c>
      <c r="G64" s="993" t="n">
        <v>1.62</v>
      </c>
      <c r="H64" s="993" t="n">
        <v>1.62</v>
      </c>
      <c r="I64" s="993" t="n">
        <v>1.61</v>
      </c>
      <c r="J64" s="993" t="n">
        <v>1.56</v>
      </c>
      <c r="K64" s="1005" t="n">
        <v>1.58</v>
      </c>
      <c r="L64" s="35" t="n">
        <v>1.58</v>
      </c>
      <c r="M64" s="1010" t="n">
        <v>1.57</v>
      </c>
      <c r="N64" s="1010" t="n">
        <v>1.57</v>
      </c>
      <c r="O64" s="1010" t="n">
        <v>1.51</v>
      </c>
      <c r="P64" s="1010" t="n">
        <v>1.49</v>
      </c>
      <c r="Q64" s="1010" t="n">
        <v>1.49</v>
      </c>
      <c r="R64" s="1010" t="n">
        <v>1.42</v>
      </c>
    </row>
    <row r="65" customFormat="false" ht="13.9" hidden="false" customHeight="false" outlineLevel="0" collapsed="false">
      <c r="A65" s="999" t="s">
        <v>270</v>
      </c>
      <c r="B65" s="991" t="n">
        <f aca="false">'Plant loading'!G111</f>
        <v>0.2725</v>
      </c>
      <c r="C65" s="69" t="n">
        <v>309.9</v>
      </c>
      <c r="D65" s="501" t="n">
        <v>10</v>
      </c>
      <c r="E65" s="992" t="n">
        <f aca="false">(C65-D65)/B65</f>
        <v>1100.5504587156</v>
      </c>
      <c r="F65" s="405"/>
      <c r="G65" s="993" t="n">
        <v>1.6</v>
      </c>
      <c r="H65" s="993" t="n">
        <v>1.46</v>
      </c>
      <c r="I65" s="993" t="n">
        <v>1.38</v>
      </c>
      <c r="J65" s="993" t="n">
        <v>1.42</v>
      </c>
      <c r="K65" s="1005" t="n">
        <v>1.43</v>
      </c>
      <c r="L65" s="35" t="n">
        <v>1.47</v>
      </c>
      <c r="M65" s="1010" t="n">
        <v>1.51</v>
      </c>
      <c r="N65" s="1010" t="n">
        <v>1.5</v>
      </c>
      <c r="O65" s="1010" t="n">
        <v>1.56</v>
      </c>
      <c r="P65" s="1010" t="n">
        <v>1.59</v>
      </c>
      <c r="Q65" s="1010" t="n">
        <v>1.54</v>
      </c>
      <c r="R65" s="1010" t="n">
        <v>1.48</v>
      </c>
    </row>
    <row r="66" customFormat="false" ht="13.15" hidden="false" customHeight="false" outlineLevel="0" collapsed="false">
      <c r="A66" s="67" t="s">
        <v>259</v>
      </c>
      <c r="B66" s="77" t="n">
        <f aca="false">'Plant loading'!G64</f>
        <v>384.661</v>
      </c>
      <c r="C66" s="69" t="n">
        <v>317.5</v>
      </c>
      <c r="D66" s="501" t="n">
        <v>15</v>
      </c>
      <c r="E66" s="992" t="n">
        <f aca="false">(C66-D66)/B66</f>
        <v>0.786406732161566</v>
      </c>
      <c r="F66" s="405" t="s">
        <v>1591</v>
      </c>
      <c r="G66" s="993" t="n">
        <v>1.92</v>
      </c>
      <c r="H66" s="993" t="n">
        <v>1.91</v>
      </c>
      <c r="I66" s="993" t="n">
        <v>1.9</v>
      </c>
      <c r="J66" s="993" t="n">
        <v>1.92</v>
      </c>
      <c r="K66" s="1005" t="n">
        <v>1.89</v>
      </c>
      <c r="L66" s="35" t="n">
        <v>1.84</v>
      </c>
      <c r="M66" s="1010" t="n">
        <v>1.52</v>
      </c>
      <c r="N66" s="1010" t="n">
        <v>1.57</v>
      </c>
      <c r="O66" s="1010" t="n">
        <v>1.58</v>
      </c>
      <c r="P66" s="1010" t="n">
        <v>1.58</v>
      </c>
      <c r="Q66" s="1010" t="n">
        <v>1.58</v>
      </c>
      <c r="R66" s="1010" t="n">
        <v>1.38</v>
      </c>
    </row>
    <row r="67" customFormat="false" ht="13.15" hidden="false" customHeight="false" outlineLevel="0" collapsed="false">
      <c r="A67" s="1000" t="s">
        <v>261</v>
      </c>
      <c r="B67" s="77" t="n">
        <f aca="false">'Plant loading'!G69</f>
        <v>0</v>
      </c>
      <c r="C67" s="69" t="n">
        <v>224.5</v>
      </c>
      <c r="D67" s="69" t="n">
        <v>10</v>
      </c>
      <c r="E67" s="992" t="e">
        <f aca="false">(C67-D67)/B67</f>
        <v>#DIV/0!</v>
      </c>
      <c r="F67" s="405" t="s">
        <v>1588</v>
      </c>
      <c r="G67" s="993" t="n">
        <v>1.6</v>
      </c>
      <c r="H67" s="993" t="n">
        <v>1.59</v>
      </c>
      <c r="I67" s="993" t="n">
        <v>1.67</v>
      </c>
      <c r="J67" s="993" t="n">
        <v>2</v>
      </c>
      <c r="K67" s="1005" t="n">
        <v>1.92</v>
      </c>
      <c r="L67" s="1010" t="n">
        <v>2</v>
      </c>
      <c r="M67" s="1010" t="n">
        <v>2.01</v>
      </c>
      <c r="N67" s="1010" t="n">
        <v>2.09</v>
      </c>
      <c r="O67" s="1010" t="n">
        <v>1.95</v>
      </c>
      <c r="P67" s="1010" t="n">
        <v>1.95</v>
      </c>
      <c r="Q67" s="1010" t="n">
        <v>2.07</v>
      </c>
      <c r="R67" s="1010" t="n">
        <v>2.07</v>
      </c>
    </row>
    <row r="68" customFormat="false" ht="13.15" hidden="false" customHeight="false" outlineLevel="0" collapsed="false">
      <c r="A68" s="67" t="s">
        <v>266</v>
      </c>
      <c r="B68" s="77" t="n">
        <f aca="false">'Plant loading'!G88</f>
        <v>0</v>
      </c>
      <c r="C68" s="69" t="n">
        <v>399</v>
      </c>
      <c r="D68" s="69" t="n">
        <v>0</v>
      </c>
      <c r="E68" s="992" t="e">
        <f aca="false">(C68-D68)/B68</f>
        <v>#DIV/0!</v>
      </c>
      <c r="F68" s="405"/>
      <c r="G68" s="993" t="n">
        <v>1.9</v>
      </c>
      <c r="H68" s="993" t="n">
        <v>1.9</v>
      </c>
      <c r="I68" s="993" t="n">
        <v>1.91</v>
      </c>
      <c r="J68" s="993" t="n">
        <v>1.93</v>
      </c>
      <c r="K68" s="1005" t="n">
        <v>1.94</v>
      </c>
      <c r="L68" s="35" t="n">
        <v>1.99</v>
      </c>
      <c r="M68" s="1010" t="n">
        <v>2.06</v>
      </c>
      <c r="N68" s="1010" t="n">
        <v>2.07</v>
      </c>
      <c r="O68" s="1010" t="n">
        <v>2.07</v>
      </c>
      <c r="P68" s="1010" t="n">
        <v>2.07</v>
      </c>
      <c r="Q68" s="1010" t="n">
        <v>1.94</v>
      </c>
      <c r="R68" s="1010" t="n">
        <v>1.97</v>
      </c>
    </row>
    <row r="69" customFormat="false" ht="13.15" hidden="false" customHeight="false" outlineLevel="0" collapsed="false">
      <c r="A69" s="67" t="s">
        <v>271</v>
      </c>
      <c r="B69" s="77" t="n">
        <f aca="false">'Plant loading'!G116</f>
        <v>45.126</v>
      </c>
      <c r="C69" s="69" t="n">
        <v>224.2</v>
      </c>
      <c r="D69" s="69" t="n">
        <v>5</v>
      </c>
      <c r="E69" s="992" t="n">
        <f aca="false">(C69-D69)/B69</f>
        <v>4.85751008287905</v>
      </c>
      <c r="F69" s="405" t="s">
        <v>1592</v>
      </c>
      <c r="G69" s="993" t="n">
        <v>1.82</v>
      </c>
      <c r="H69" s="993" t="n">
        <v>1.82</v>
      </c>
      <c r="I69" s="993" t="n">
        <v>1.75</v>
      </c>
      <c r="J69" s="993" t="n">
        <v>1.66</v>
      </c>
      <c r="K69" s="1005" t="n">
        <v>1.7</v>
      </c>
      <c r="L69" s="69" t="n">
        <v>1.72</v>
      </c>
      <c r="M69" s="993" t="n">
        <v>1.75</v>
      </c>
      <c r="N69" s="993" t="n">
        <v>1.75</v>
      </c>
      <c r="O69" s="993" t="n">
        <v>1.72</v>
      </c>
      <c r="P69" s="993" t="n">
        <v>1.72</v>
      </c>
      <c r="Q69" s="993" t="n">
        <v>1.73</v>
      </c>
      <c r="R69" s="993" t="n">
        <v>1.74</v>
      </c>
    </row>
    <row r="70" customFormat="false" ht="13.15" hidden="false" customHeight="false" outlineLevel="0" collapsed="false">
      <c r="A70" s="1001" t="s">
        <v>272</v>
      </c>
      <c r="B70" s="77" t="n">
        <f aca="false">'Plant loading'!G119</f>
        <v>0</v>
      </c>
      <c r="C70" s="69" t="n">
        <v>225.9</v>
      </c>
      <c r="D70" s="69" t="n">
        <v>5</v>
      </c>
      <c r="E70" s="992" t="e">
        <f aca="false">(C70-D70)/B70</f>
        <v>#DIV/0!</v>
      </c>
      <c r="F70" s="405" t="s">
        <v>1592</v>
      </c>
      <c r="G70" s="993" t="n">
        <v>1.61</v>
      </c>
      <c r="H70" s="993" t="n">
        <v>1.58</v>
      </c>
      <c r="I70" s="993" t="n">
        <v>1.6</v>
      </c>
      <c r="J70" s="993" t="n">
        <v>1.69</v>
      </c>
      <c r="K70" s="1005" t="n">
        <v>1.68</v>
      </c>
      <c r="L70" s="127" t="n">
        <v>1.52</v>
      </c>
      <c r="M70" s="1012" t="n">
        <v>1.49</v>
      </c>
      <c r="N70" s="1012" t="n">
        <v>1.5</v>
      </c>
      <c r="O70" s="1012" t="n">
        <v>1.49</v>
      </c>
      <c r="P70" s="1012" t="n">
        <v>1.49</v>
      </c>
      <c r="Q70" s="1012" t="n">
        <v>1.47</v>
      </c>
      <c r="R70" s="1012" t="n">
        <v>1.48</v>
      </c>
    </row>
    <row r="71" customFormat="false" ht="13.15" hidden="false" customHeight="false" outlineLevel="0" collapsed="false">
      <c r="G71" s="67" t="n">
        <v>2014</v>
      </c>
      <c r="H71" s="67"/>
      <c r="I71" s="67"/>
      <c r="J71" s="67"/>
      <c r="K71" s="67"/>
      <c r="L71" s="67"/>
      <c r="M71" s="67"/>
      <c r="N71" s="67"/>
      <c r="O71" s="67"/>
      <c r="P71" s="67"/>
      <c r="Q71" s="67"/>
      <c r="R71" s="67"/>
    </row>
    <row r="72" customFormat="false" ht="13.9" hidden="false" customHeight="false" outlineLevel="0" collapsed="false">
      <c r="A72" s="986" t="s">
        <v>524</v>
      </c>
      <c r="B72" s="987" t="s">
        <v>689</v>
      </c>
      <c r="C72" s="987" t="s">
        <v>1575</v>
      </c>
      <c r="D72" s="987" t="s">
        <v>1576</v>
      </c>
      <c r="E72" s="988" t="s">
        <v>1577</v>
      </c>
      <c r="F72" s="405"/>
      <c r="G72" s="67" t="s">
        <v>1578</v>
      </c>
      <c r="H72" s="67" t="s">
        <v>1579</v>
      </c>
      <c r="I72" s="67" t="s">
        <v>1610</v>
      </c>
      <c r="J72" s="67" t="s">
        <v>1611</v>
      </c>
      <c r="K72" s="67" t="s">
        <v>1582</v>
      </c>
      <c r="L72" s="67" t="s">
        <v>1583</v>
      </c>
      <c r="M72" s="67" t="s">
        <v>1584</v>
      </c>
      <c r="N72" s="1013" t="s">
        <v>1585</v>
      </c>
      <c r="O72" s="67" t="s">
        <v>1586</v>
      </c>
      <c r="P72" s="67" t="s">
        <v>1606</v>
      </c>
      <c r="Q72" s="67" t="s">
        <v>1607</v>
      </c>
      <c r="R72" s="67" t="s">
        <v>1608</v>
      </c>
    </row>
    <row r="73" customFormat="false" ht="13.15" hidden="false" customHeight="false" outlineLevel="0" collapsed="false">
      <c r="A73" s="990" t="s">
        <v>254</v>
      </c>
      <c r="B73" s="991" t="n">
        <f aca="false">'Plant loading'!G49</f>
        <v>0</v>
      </c>
      <c r="C73" s="69" t="n">
        <v>583.8</v>
      </c>
      <c r="D73" s="69" t="n">
        <v>33</v>
      </c>
      <c r="E73" s="992" t="e">
        <f aca="false">(C73-D73)/B73</f>
        <v>#DIV/0!</v>
      </c>
      <c r="F73" s="405" t="s">
        <v>1587</v>
      </c>
      <c r="G73" s="69" t="n">
        <v>1.61</v>
      </c>
      <c r="H73" s="69" t="n">
        <v>1.55</v>
      </c>
      <c r="I73" s="993" t="n">
        <v>1.63</v>
      </c>
      <c r="J73" s="993" t="n">
        <v>1.64</v>
      </c>
      <c r="K73" s="69" t="n">
        <v>1.66</v>
      </c>
      <c r="L73" s="69" t="n">
        <v>1.66</v>
      </c>
      <c r="M73" s="69" t="n">
        <v>1.69</v>
      </c>
      <c r="N73" s="993" t="n">
        <v>1.69</v>
      </c>
      <c r="O73" s="1005" t="n">
        <v>1.66</v>
      </c>
      <c r="P73" s="993" t="n">
        <v>1.61</v>
      </c>
      <c r="Q73" s="993" t="n">
        <v>1.59</v>
      </c>
      <c r="R73" s="993" t="n">
        <v>1.59</v>
      </c>
    </row>
    <row r="74" customFormat="false" ht="13.15" hidden="false" customHeight="false" outlineLevel="0" collapsed="false">
      <c r="A74" s="994" t="s">
        <v>265</v>
      </c>
      <c r="B74" s="991" t="n">
        <v>339</v>
      </c>
      <c r="C74" s="69" t="n">
        <v>564</v>
      </c>
      <c r="D74" s="69" t="n">
        <v>0</v>
      </c>
      <c r="E74" s="992" t="n">
        <f aca="false">(C74-D74)/B74</f>
        <v>1.66371681415929</v>
      </c>
      <c r="F74" s="405" t="s">
        <v>1588</v>
      </c>
      <c r="G74" s="69" t="n">
        <v>1.62</v>
      </c>
      <c r="H74" s="69" t="n">
        <v>1.65</v>
      </c>
      <c r="I74" s="993" t="n">
        <v>1.76</v>
      </c>
      <c r="J74" s="993" t="n">
        <v>1.77</v>
      </c>
      <c r="K74" s="69" t="n">
        <v>1.66</v>
      </c>
      <c r="L74" s="69" t="n">
        <v>1.65</v>
      </c>
      <c r="M74" s="69" t="n">
        <v>1.68</v>
      </c>
      <c r="N74" s="993" t="n">
        <v>1.65</v>
      </c>
      <c r="O74" s="993" t="n">
        <v>1.66</v>
      </c>
      <c r="P74" s="993" t="n">
        <v>1.65</v>
      </c>
      <c r="Q74" s="993" t="n">
        <v>1.65</v>
      </c>
      <c r="R74" s="993" t="n">
        <v>1.63</v>
      </c>
    </row>
    <row r="75" customFormat="false" ht="13.15" hidden="false" customHeight="false" outlineLevel="0" collapsed="false">
      <c r="A75" s="996" t="s">
        <v>267</v>
      </c>
      <c r="B75" s="991" t="n">
        <v>275</v>
      </c>
      <c r="C75" s="69" t="n">
        <v>445.5</v>
      </c>
      <c r="D75" s="69" t="n">
        <v>5</v>
      </c>
      <c r="E75" s="993" t="n">
        <f aca="false">(C75-D75)/B75</f>
        <v>1.60181818181818</v>
      </c>
      <c r="F75" s="405"/>
      <c r="G75" s="69" t="n">
        <v>1.61</v>
      </c>
      <c r="H75" s="69" t="n">
        <v>1.57</v>
      </c>
      <c r="I75" s="993" t="n">
        <v>1.74</v>
      </c>
      <c r="J75" s="993" t="n">
        <v>1.73</v>
      </c>
      <c r="K75" s="69" t="n">
        <v>1.65</v>
      </c>
      <c r="L75" s="69" t="n">
        <v>1.72</v>
      </c>
      <c r="M75" s="69" t="n">
        <v>1.77</v>
      </c>
      <c r="N75" s="993" t="n">
        <v>1.79</v>
      </c>
      <c r="O75" s="993" t="n">
        <v>1.8</v>
      </c>
      <c r="P75" s="993" t="n">
        <v>1.78</v>
      </c>
      <c r="Q75" s="993" t="n">
        <v>1.66</v>
      </c>
      <c r="R75" s="993" t="n">
        <v>1.45</v>
      </c>
    </row>
    <row r="76" customFormat="false" ht="13.15" hidden="false" customHeight="false" outlineLevel="0" collapsed="false">
      <c r="A76" s="996" t="s">
        <v>268</v>
      </c>
      <c r="B76" s="991" t="e">
        <f aca="false">'plant loading'!#ref!</f>
        <v>#VALUE!</v>
      </c>
      <c r="C76" s="69" t="n">
        <v>402.6</v>
      </c>
      <c r="D76" s="69" t="n">
        <v>0</v>
      </c>
      <c r="E76" s="992" t="e">
        <f aca="false">(C76-D76)/B76</f>
        <v>#VALUE!</v>
      </c>
      <c r="F76" s="405"/>
      <c r="G76" s="69" t="n">
        <v>1.54</v>
      </c>
      <c r="H76" s="69" t="n">
        <v>1.62</v>
      </c>
      <c r="I76" s="993" t="n">
        <v>1.78</v>
      </c>
      <c r="J76" s="993" t="n">
        <v>1.81</v>
      </c>
      <c r="K76" s="69" t="n">
        <v>1.76</v>
      </c>
      <c r="L76" s="69" t="n">
        <v>1.77</v>
      </c>
      <c r="M76" s="69" t="n">
        <v>1.83</v>
      </c>
      <c r="N76" s="993" t="n">
        <v>1.83</v>
      </c>
      <c r="O76" s="993" t="n">
        <v>1.57</v>
      </c>
      <c r="P76" s="993" t="n">
        <v>1.54</v>
      </c>
      <c r="Q76" s="993" t="n">
        <v>1.53</v>
      </c>
      <c r="R76" s="993" t="n">
        <v>1.35</v>
      </c>
    </row>
    <row r="77" customFormat="false" ht="13.15" hidden="false" customHeight="false" outlineLevel="0" collapsed="false">
      <c r="A77" s="997" t="s">
        <v>253</v>
      </c>
      <c r="B77" s="991" t="n">
        <f aca="false">'Plant loading'!G44</f>
        <v>0</v>
      </c>
      <c r="C77" s="69" t="n">
        <v>240</v>
      </c>
      <c r="D77" s="69" t="n">
        <v>10</v>
      </c>
      <c r="E77" s="992" t="e">
        <f aca="false">(C77-D77)/B77</f>
        <v>#DIV/0!</v>
      </c>
      <c r="F77" s="405" t="s">
        <v>1587</v>
      </c>
      <c r="G77" s="69" t="n">
        <v>1.73</v>
      </c>
      <c r="H77" s="69" t="n">
        <v>1.71</v>
      </c>
      <c r="I77" s="993" t="n">
        <v>1.71</v>
      </c>
      <c r="J77" s="993" t="n">
        <v>1.76</v>
      </c>
      <c r="K77" s="69" t="n">
        <v>1.76</v>
      </c>
      <c r="L77" s="69" t="n">
        <v>1.74</v>
      </c>
      <c r="M77" s="69" t="n">
        <v>1.72</v>
      </c>
      <c r="N77" s="993" t="n">
        <v>1.72</v>
      </c>
      <c r="O77" s="1005" t="n">
        <v>1.74</v>
      </c>
      <c r="P77" s="993" t="n">
        <v>1.73</v>
      </c>
      <c r="Q77" s="993" t="n">
        <v>1.64</v>
      </c>
      <c r="R77" s="993" t="n">
        <v>1.59</v>
      </c>
    </row>
    <row r="78" customFormat="false" ht="13.15" hidden="false" customHeight="false" outlineLevel="0" collapsed="false">
      <c r="A78" s="996" t="s">
        <v>256</v>
      </c>
      <c r="B78" s="991" t="n">
        <f aca="false">'Plant loading'!G57</f>
        <v>0</v>
      </c>
      <c r="C78" s="69" t="n">
        <v>199.3</v>
      </c>
      <c r="D78" s="69" t="n">
        <v>5</v>
      </c>
      <c r="E78" s="992" t="e">
        <f aca="false">(C78-D78)/B78</f>
        <v>#DIV/0!</v>
      </c>
      <c r="F78" s="405" t="s">
        <v>1587</v>
      </c>
      <c r="G78" s="69" t="n">
        <v>1.69</v>
      </c>
      <c r="H78" s="69" t="n">
        <v>1.77</v>
      </c>
      <c r="I78" s="993" t="n">
        <v>1.79</v>
      </c>
      <c r="J78" s="993" t="n">
        <v>1.78</v>
      </c>
      <c r="K78" s="69" t="n">
        <v>1.77</v>
      </c>
      <c r="L78" s="69" t="n">
        <v>1.77</v>
      </c>
      <c r="M78" s="993" t="n">
        <v>1.8</v>
      </c>
      <c r="N78" s="993" t="n">
        <v>1.8</v>
      </c>
      <c r="O78" s="1005" t="n">
        <v>1.53</v>
      </c>
      <c r="P78" s="993" t="n">
        <v>1.48</v>
      </c>
      <c r="Q78" s="993" t="n">
        <v>1.5</v>
      </c>
      <c r="R78" s="993" t="n">
        <v>1.52</v>
      </c>
    </row>
    <row r="79" customFormat="false" ht="13.15" hidden="false" customHeight="false" outlineLevel="0" collapsed="false">
      <c r="A79" s="996" t="s">
        <v>263</v>
      </c>
      <c r="B79" s="991" t="n">
        <f aca="false">'Plant loading'!G75</f>
        <v>0.58438064516129</v>
      </c>
      <c r="C79" s="69" t="n">
        <v>254</v>
      </c>
      <c r="D79" s="69" t="n">
        <v>0</v>
      </c>
      <c r="E79" s="993" t="n">
        <f aca="false">(C79-D79)/B79</f>
        <v>434.648207641948</v>
      </c>
      <c r="F79" s="405"/>
      <c r="G79" s="69" t="n">
        <v>1.67</v>
      </c>
      <c r="H79" s="69" t="n">
        <v>1.69</v>
      </c>
      <c r="I79" s="993" t="n">
        <v>1.71</v>
      </c>
      <c r="J79" s="993" t="n">
        <v>1.55</v>
      </c>
      <c r="K79" s="69" t="n">
        <v>1.52</v>
      </c>
      <c r="L79" s="69" t="n">
        <v>1.53</v>
      </c>
      <c r="M79" s="69" t="n">
        <v>1.55</v>
      </c>
      <c r="N79" s="993" t="n">
        <v>1.55</v>
      </c>
      <c r="O79" s="1005" t="n">
        <v>1.56</v>
      </c>
      <c r="P79" s="993" t="n">
        <v>1.52</v>
      </c>
      <c r="Q79" s="993" t="n">
        <v>1.57</v>
      </c>
      <c r="R79" s="993" t="n">
        <v>1.56</v>
      </c>
    </row>
    <row r="80" customFormat="false" ht="13.15" hidden="false" customHeight="false" outlineLevel="0" collapsed="false">
      <c r="A80" s="996" t="s">
        <v>269</v>
      </c>
      <c r="B80" s="991" t="n">
        <f aca="false">'Plant loading'!G107</f>
        <v>29.212</v>
      </c>
      <c r="C80" s="69" t="n">
        <v>419.5</v>
      </c>
      <c r="D80" s="501" t="n">
        <v>5</v>
      </c>
      <c r="E80" s="992" t="n">
        <f aca="false">(C80-D80)/B80</f>
        <v>14.1893742297686</v>
      </c>
      <c r="F80" s="405" t="s">
        <v>1588</v>
      </c>
      <c r="G80" s="69" t="n">
        <v>1.74</v>
      </c>
      <c r="H80" s="69" t="n">
        <v>1.69</v>
      </c>
      <c r="I80" s="993" t="n">
        <v>1.75</v>
      </c>
      <c r="J80" s="993" t="n">
        <v>1.77</v>
      </c>
      <c r="K80" s="69" t="n">
        <v>1.66</v>
      </c>
      <c r="L80" s="69" t="n">
        <v>1.69</v>
      </c>
      <c r="M80" s="69" t="n">
        <v>1.75</v>
      </c>
      <c r="N80" s="993" t="n">
        <v>1.81</v>
      </c>
      <c r="O80" s="993" t="n">
        <v>1.81</v>
      </c>
      <c r="P80" s="993" t="n">
        <v>1.8</v>
      </c>
      <c r="Q80" s="993" t="n">
        <v>1.77</v>
      </c>
      <c r="R80" s="993" t="n">
        <v>1.61</v>
      </c>
    </row>
    <row r="81" customFormat="false" ht="13.9" hidden="false" customHeight="false" outlineLevel="0" collapsed="false">
      <c r="A81" s="999" t="s">
        <v>270</v>
      </c>
      <c r="B81" s="991" t="n">
        <f aca="false">'Plant loading'!G111</f>
        <v>0.2725</v>
      </c>
      <c r="C81" s="69" t="n">
        <v>309.9</v>
      </c>
      <c r="D81" s="501" t="n">
        <v>10</v>
      </c>
      <c r="E81" s="992" t="n">
        <f aca="false">(C81-D81)/B81</f>
        <v>1100.5504587156</v>
      </c>
      <c r="F81" s="405"/>
      <c r="G81" s="69" t="n">
        <v>1.8</v>
      </c>
      <c r="H81" s="69" t="n">
        <v>1.75</v>
      </c>
      <c r="I81" s="993" t="n">
        <v>1.77</v>
      </c>
      <c r="J81" s="993" t="n">
        <v>1.86</v>
      </c>
      <c r="K81" s="69" t="n">
        <v>1.75</v>
      </c>
      <c r="L81" s="993" t="n">
        <v>1.7</v>
      </c>
      <c r="M81" s="69" t="n">
        <v>1.76</v>
      </c>
      <c r="N81" s="993" t="n">
        <v>1.79</v>
      </c>
      <c r="O81" s="993" t="n">
        <v>1.8</v>
      </c>
      <c r="P81" s="993" t="n">
        <v>1.8</v>
      </c>
      <c r="Q81" s="993" t="n">
        <v>1.8</v>
      </c>
      <c r="R81" s="993" t="n">
        <v>1.71</v>
      </c>
    </row>
    <row r="82" customFormat="false" ht="13.15" hidden="false" customHeight="false" outlineLevel="0" collapsed="false">
      <c r="A82" s="67" t="s">
        <v>259</v>
      </c>
      <c r="B82" s="77" t="n">
        <f aca="false">'Plant loading'!G64</f>
        <v>384.661</v>
      </c>
      <c r="C82" s="69" t="n">
        <v>317.5</v>
      </c>
      <c r="D82" s="501" t="n">
        <v>15</v>
      </c>
      <c r="E82" s="992" t="n">
        <f aca="false">(C82-D82)/B82</f>
        <v>0.786406732161566</v>
      </c>
      <c r="F82" s="405" t="s">
        <v>1591</v>
      </c>
      <c r="G82" s="69" t="n">
        <v>2.04</v>
      </c>
      <c r="H82" s="69" t="n">
        <v>2.05</v>
      </c>
      <c r="I82" s="993" t="n">
        <v>2.01</v>
      </c>
      <c r="J82" s="993" t="n">
        <v>1.97</v>
      </c>
      <c r="K82" s="69" t="n">
        <v>1.99</v>
      </c>
      <c r="L82" s="69" t="n">
        <v>2.05</v>
      </c>
      <c r="M82" s="69" t="n">
        <v>2.03</v>
      </c>
      <c r="N82" s="993" t="n">
        <v>2</v>
      </c>
      <c r="O82" s="1005" t="n">
        <v>2</v>
      </c>
      <c r="P82" s="993" t="n">
        <v>1.99</v>
      </c>
      <c r="Q82" s="993" t="n">
        <v>2.01</v>
      </c>
      <c r="R82" s="993" t="n">
        <v>1.93</v>
      </c>
    </row>
    <row r="83" customFormat="false" ht="13.15" hidden="false" customHeight="false" outlineLevel="0" collapsed="false">
      <c r="A83" s="1000" t="s">
        <v>261</v>
      </c>
      <c r="B83" s="77" t="n">
        <f aca="false">'Plant loading'!G69</f>
        <v>0</v>
      </c>
      <c r="C83" s="69" t="n">
        <v>224.5</v>
      </c>
      <c r="D83" s="69" t="n">
        <v>10</v>
      </c>
      <c r="E83" s="992" t="e">
        <f aca="false">(C83-D83)/B83</f>
        <v>#DIV/0!</v>
      </c>
      <c r="F83" s="405" t="s">
        <v>1588</v>
      </c>
      <c r="G83" s="69" t="n">
        <v>1.84</v>
      </c>
      <c r="H83" s="69" t="n">
        <v>1.74</v>
      </c>
      <c r="I83" s="993" t="n">
        <v>1.83</v>
      </c>
      <c r="J83" s="993" t="n">
        <v>1.84</v>
      </c>
      <c r="K83" s="69" t="n">
        <v>1.95</v>
      </c>
      <c r="L83" s="69" t="n">
        <v>2.22</v>
      </c>
      <c r="M83" s="69" t="n">
        <v>2.29</v>
      </c>
      <c r="N83" s="993" t="n">
        <v>2.29</v>
      </c>
      <c r="O83" s="1005" t="n">
        <v>1.79</v>
      </c>
      <c r="P83" s="993" t="n">
        <v>1.76</v>
      </c>
      <c r="Q83" s="993" t="n">
        <v>1.88</v>
      </c>
      <c r="R83" s="993" t="n">
        <v>1.78</v>
      </c>
    </row>
    <row r="84" customFormat="false" ht="13.15" hidden="false" customHeight="false" outlineLevel="0" collapsed="false">
      <c r="A84" s="67" t="s">
        <v>266</v>
      </c>
      <c r="B84" s="77" t="n">
        <f aca="false">'Plant loading'!G88</f>
        <v>0</v>
      </c>
      <c r="C84" s="69" t="n">
        <v>399</v>
      </c>
      <c r="D84" s="69" t="n">
        <v>0</v>
      </c>
      <c r="E84" s="992" t="e">
        <f aca="false">(C84-D84)/B84</f>
        <v>#DIV/0!</v>
      </c>
      <c r="F84" s="405"/>
      <c r="G84" s="69" t="n">
        <v>2.07</v>
      </c>
      <c r="H84" s="69" t="n">
        <v>1.97</v>
      </c>
      <c r="I84" s="993" t="n">
        <v>1.93</v>
      </c>
      <c r="J84" s="993" t="n">
        <v>1.91</v>
      </c>
      <c r="K84" s="69" t="n">
        <v>1.93</v>
      </c>
      <c r="L84" s="69" t="n">
        <v>1.92</v>
      </c>
      <c r="M84" s="69" t="n">
        <v>1.92</v>
      </c>
      <c r="N84" s="993" t="n">
        <v>1.92</v>
      </c>
      <c r="O84" s="993" t="n">
        <v>1.93</v>
      </c>
      <c r="P84" s="993" t="n">
        <v>1.91</v>
      </c>
      <c r="Q84" s="993" t="n">
        <v>1.91</v>
      </c>
      <c r="R84" s="993" t="n">
        <v>1.9</v>
      </c>
    </row>
    <row r="85" customFormat="false" ht="13.15" hidden="false" customHeight="false" outlineLevel="0" collapsed="false">
      <c r="A85" s="67" t="s">
        <v>271</v>
      </c>
      <c r="B85" s="77" t="n">
        <f aca="false">'Plant loading'!G116</f>
        <v>45.126</v>
      </c>
      <c r="C85" s="69" t="n">
        <v>224.2</v>
      </c>
      <c r="D85" s="69" t="n">
        <v>5</v>
      </c>
      <c r="E85" s="992" t="n">
        <f aca="false">(C85-D85)/B85</f>
        <v>4.85751008287905</v>
      </c>
      <c r="F85" s="405" t="s">
        <v>1592</v>
      </c>
      <c r="G85" s="69" t="n">
        <v>1.62</v>
      </c>
      <c r="H85" s="69" t="n">
        <v>1.61</v>
      </c>
      <c r="I85" s="993" t="n">
        <v>1.58</v>
      </c>
      <c r="J85" s="993" t="n">
        <v>1.64</v>
      </c>
      <c r="K85" s="993" t="n">
        <v>1.7</v>
      </c>
      <c r="L85" s="69" t="n">
        <v>1.78</v>
      </c>
      <c r="M85" s="69" t="n">
        <v>1.76</v>
      </c>
      <c r="N85" s="993" t="n">
        <v>1.76</v>
      </c>
      <c r="O85" s="993" t="n">
        <v>1.79</v>
      </c>
      <c r="P85" s="993" t="n">
        <v>1.8</v>
      </c>
      <c r="Q85" s="993" t="n">
        <v>1.82</v>
      </c>
      <c r="R85" s="993" t="n">
        <v>1.82</v>
      </c>
    </row>
    <row r="86" customFormat="false" ht="13.15" hidden="false" customHeight="false" outlineLevel="0" collapsed="false">
      <c r="A86" s="1001" t="s">
        <v>272</v>
      </c>
      <c r="B86" s="77" t="n">
        <f aca="false">'Plant loading'!G119</f>
        <v>0</v>
      </c>
      <c r="C86" s="69" t="n">
        <v>225.9</v>
      </c>
      <c r="D86" s="69" t="n">
        <v>5</v>
      </c>
      <c r="E86" s="992" t="e">
        <f aca="false">(C86-D86)/B86</f>
        <v>#DIV/0!</v>
      </c>
      <c r="F86" s="405" t="s">
        <v>1592</v>
      </c>
      <c r="G86" s="69" t="n">
        <v>1.72</v>
      </c>
      <c r="H86" s="69" t="n">
        <v>1.69</v>
      </c>
      <c r="I86" s="993" t="n">
        <v>1.61</v>
      </c>
      <c r="J86" s="993" t="n">
        <v>1.61</v>
      </c>
      <c r="K86" s="69" t="n">
        <v>1.61</v>
      </c>
      <c r="L86" s="69" t="n">
        <v>1.59</v>
      </c>
      <c r="M86" s="69" t="n">
        <v>1.58</v>
      </c>
      <c r="N86" s="993" t="n">
        <v>1.58</v>
      </c>
      <c r="O86" s="993" t="n">
        <v>1.66</v>
      </c>
      <c r="P86" s="993" t="n">
        <v>1.6</v>
      </c>
      <c r="Q86" s="993" t="n">
        <v>1.6</v>
      </c>
      <c r="R86" s="993" t="n">
        <v>1.6</v>
      </c>
    </row>
    <row r="87" customFormat="false" ht="13.15" hidden="false" customHeight="false" outlineLevel="0" collapsed="false">
      <c r="B87" s="497"/>
      <c r="C87" s="497"/>
      <c r="D87" s="497"/>
      <c r="E87" s="497"/>
      <c r="F87" s="497"/>
      <c r="G87" s="497"/>
    </row>
    <row r="96" customFormat="false" ht="13.15" hidden="false" customHeight="false" outlineLevel="0" collapsed="false">
      <c r="A96" s="987" t="s">
        <v>524</v>
      </c>
      <c r="B96" s="987" t="s">
        <v>689</v>
      </c>
      <c r="C96" s="987" t="s">
        <v>1575</v>
      </c>
      <c r="D96" s="987" t="s">
        <v>1612</v>
      </c>
      <c r="E96" s="67" t="s">
        <v>1577</v>
      </c>
    </row>
    <row r="97" customFormat="false" ht="13.15" hidden="false" customHeight="false" outlineLevel="0" collapsed="false">
      <c r="A97" s="67" t="s">
        <v>274</v>
      </c>
      <c r="B97" s="77" t="n">
        <f aca="false">'Plant loading'!G94</f>
        <v>41.2565</v>
      </c>
      <c r="C97" s="405" t="n">
        <v>94</v>
      </c>
      <c r="D97" s="69" t="n">
        <v>0</v>
      </c>
      <c r="E97" s="69" t="n">
        <f aca="false">(C97-D97)/B97</f>
        <v>2.27842885363518</v>
      </c>
    </row>
    <row r="98" customFormat="false" ht="13.15" hidden="false" customHeight="false" outlineLevel="0" collapsed="false">
      <c r="A98" s="67" t="s">
        <v>277</v>
      </c>
      <c r="B98" s="77" t="n">
        <f aca="false">'Plant loading'!G103</f>
        <v>9.7555</v>
      </c>
      <c r="C98" s="405" t="n">
        <v>124</v>
      </c>
      <c r="D98" s="69" t="n">
        <v>0</v>
      </c>
      <c r="E98" s="69" t="n">
        <f aca="false">(C98-D98)/B98</f>
        <v>12.7107785351853</v>
      </c>
    </row>
    <row r="99" customFormat="false" ht="13.15" hidden="false" customHeight="false" outlineLevel="0" collapsed="false">
      <c r="A99" s="67" t="s">
        <v>276</v>
      </c>
      <c r="B99" s="77" t="n">
        <f aca="false">'Plant loading'!G96</f>
        <v>39.5125</v>
      </c>
      <c r="C99" s="405" t="n">
        <v>79</v>
      </c>
      <c r="D99" s="69" t="n">
        <v>0</v>
      </c>
      <c r="E99" s="69" t="n">
        <f aca="false">(C99-D99)/B99</f>
        <v>1.99936728883265</v>
      </c>
    </row>
    <row r="100" customFormat="false" ht="13.15" hidden="false" customHeight="false" outlineLevel="0" collapsed="false">
      <c r="A100" s="67" t="s">
        <v>278</v>
      </c>
      <c r="B100" s="77" t="e">
        <f aca="false">'plant loading'!#ref!</f>
        <v>#VALUE!</v>
      </c>
      <c r="C100" s="405"/>
      <c r="D100" s="69" t="n">
        <v>0</v>
      </c>
      <c r="E100" s="69" t="e">
        <f aca="false">(C100-D100)/B100</f>
        <v>#VALUE!</v>
      </c>
    </row>
    <row r="101" customFormat="false" ht="13.15" hidden="false" customHeight="false" outlineLevel="0" collapsed="false">
      <c r="A101" s="67" t="s">
        <v>279</v>
      </c>
      <c r="B101" s="77" t="n">
        <f aca="false">'Plant loading'!G103</f>
        <v>9.7555</v>
      </c>
      <c r="C101" s="405" t="n">
        <v>32</v>
      </c>
      <c r="D101" s="69" t="n">
        <v>0</v>
      </c>
      <c r="E101" s="69" t="n">
        <f aca="false">(C101-D101)/B101</f>
        <v>3.28020091230588</v>
      </c>
    </row>
    <row r="102" customFormat="false" ht="13.15" hidden="false" customHeight="false" outlineLevel="0" collapsed="false">
      <c r="A102" s="67" t="s">
        <v>1479</v>
      </c>
      <c r="B102" s="77" t="e">
        <f aca="false">'plant loading'!#ref!</f>
        <v>#VALUE!</v>
      </c>
      <c r="C102" s="405"/>
      <c r="D102" s="69" t="n">
        <v>0</v>
      </c>
      <c r="E102" s="69" t="e">
        <f aca="false">(C102-D102)/B102</f>
        <v>#VALUE!</v>
      </c>
    </row>
    <row r="103" customFormat="false" ht="13.15" hidden="false" customHeight="false" outlineLevel="0" collapsed="false">
      <c r="A103" s="1014" t="s">
        <v>280</v>
      </c>
      <c r="B103" s="77" t="e">
        <f aca="false">'plant loading'!#ref!</f>
        <v>#VALUE!</v>
      </c>
      <c r="C103" s="405"/>
      <c r="D103" s="69" t="n">
        <v>0</v>
      </c>
      <c r="E103" s="69" t="e">
        <f aca="false">(C103-D103)/B103</f>
        <v>#VALUE!</v>
      </c>
    </row>
    <row r="104" customFormat="false" ht="13.15" hidden="false" customHeight="false" outlineLevel="0" collapsed="false">
      <c r="A104" s="67" t="s">
        <v>282</v>
      </c>
      <c r="B104" s="77" t="e">
        <f aca="false">'plant loading'!#ref!</f>
        <v>#VALUE!</v>
      </c>
      <c r="C104" s="405" t="n">
        <v>149</v>
      </c>
      <c r="D104" s="69" t="n">
        <v>0</v>
      </c>
      <c r="E104" s="69" t="e">
        <f aca="false">(C104-D104)/B104</f>
        <v>#VALUE!</v>
      </c>
    </row>
    <row r="105" customFormat="false" ht="13.15" hidden="false" customHeight="false" outlineLevel="0" collapsed="false">
      <c r="A105" s="67" t="s">
        <v>281</v>
      </c>
      <c r="B105" s="77" t="e">
        <f aca="false">'plant loading'!#ref!</f>
        <v>#VALUE!</v>
      </c>
      <c r="C105" s="405"/>
      <c r="D105" s="69" t="n">
        <v>0</v>
      </c>
      <c r="E105" s="69" t="e">
        <f aca="false">(C105-D105)/B105</f>
        <v>#VALUE!</v>
      </c>
    </row>
    <row r="106" customFormat="false" ht="13.15" hidden="false" customHeight="false" outlineLevel="0" collapsed="false">
      <c r="A106" s="67" t="s">
        <v>283</v>
      </c>
      <c r="B106" s="77" t="e">
        <f aca="false">'plant loading'!#ref!</f>
        <v>#VALUE!</v>
      </c>
      <c r="C106" s="405" t="n">
        <v>78</v>
      </c>
      <c r="D106" s="69" t="n">
        <v>0</v>
      </c>
      <c r="E106" s="69" t="e">
        <f aca="false">(C106-D106)/B106</f>
        <v>#VALUE!</v>
      </c>
    </row>
    <row r="107" customFormat="false" ht="13.15" hidden="false" customHeight="false" outlineLevel="0" collapsed="false">
      <c r="A107" s="67" t="s">
        <v>284</v>
      </c>
      <c r="B107" s="77" t="e">
        <f aca="false">'plant loading'!#ref!</f>
        <v>#VALUE!</v>
      </c>
      <c r="C107" s="405" t="n">
        <v>174</v>
      </c>
      <c r="D107" s="69" t="n">
        <v>0</v>
      </c>
      <c r="E107" s="69" t="e">
        <f aca="false">(C107-D107)/B107</f>
        <v>#VALUE!</v>
      </c>
    </row>
    <row r="108" customFormat="false" ht="13.15" hidden="false" customHeight="false" outlineLevel="0" collapsed="false">
      <c r="A108" s="67" t="s">
        <v>285</v>
      </c>
      <c r="B108" s="77" t="n">
        <f aca="false">'Plant loading'!G116</f>
        <v>45.126</v>
      </c>
      <c r="C108" s="405"/>
      <c r="D108" s="69" t="n">
        <v>0</v>
      </c>
      <c r="E108" s="69" t="n">
        <f aca="false">(C108-D108)/B108</f>
        <v>0</v>
      </c>
    </row>
  </sheetData>
  <mergeCells count="5">
    <mergeCell ref="G1:K1"/>
    <mergeCell ref="K24:V32"/>
    <mergeCell ref="G39:R39"/>
    <mergeCell ref="G55:R55"/>
    <mergeCell ref="G71:R71"/>
  </mergeCells>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legacyDrawing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S72" activePane="bottomLeft" state="frozen"/>
      <selection pane="topLeft" activeCell="A1" activeCellId="0" sqref="A1"/>
      <selection pane="bottomLeft" activeCell="S72" activeCellId="0" sqref="S72"/>
    </sheetView>
  </sheetViews>
  <sheetFormatPr defaultColWidth="9.171875" defaultRowHeight="14.45" zeroHeight="false" outlineLevelRow="0" outlineLevelCol="0"/>
  <cols>
    <col collapsed="false" customWidth="true" hidden="false" outlineLevel="0" max="1" min="1" style="1015" width="11.5"/>
    <col collapsed="false" customWidth="true" hidden="false" outlineLevel="0" max="2" min="2" style="1016" width="22.17"/>
    <col collapsed="false" customWidth="true" hidden="false" outlineLevel="0" max="3" min="3" style="1015" width="78.16"/>
    <col collapsed="false" customWidth="true" hidden="false" outlineLevel="0" max="4" min="4" style="1015" width="33.66"/>
    <col collapsed="false" customWidth="true" hidden="false" outlineLevel="0" max="6" min="5" style="1015" width="9.5"/>
    <col collapsed="false" customWidth="true" hidden="false" outlineLevel="0" max="7" min="7" style="1015" width="12.66"/>
    <col collapsed="false" customWidth="true" hidden="false" outlineLevel="0" max="8" min="8" style="1017" width="12.5"/>
    <col collapsed="false" customWidth="true" hidden="false" outlineLevel="0" max="9" min="9" style="1015" width="7.83"/>
    <col collapsed="false" customWidth="true" hidden="false" outlineLevel="0" max="10" min="10" style="1015" width="7.5"/>
    <col collapsed="false" customWidth="true" hidden="false" outlineLevel="0" max="13" min="11" style="1018" width="8"/>
    <col collapsed="false" customWidth="false" hidden="false" outlineLevel="0" max="256" min="14" style="1018" width="9.17"/>
    <col collapsed="false" customWidth="true" hidden="false" outlineLevel="0" max="257" min="257" style="1018" width="11.5"/>
    <col collapsed="false" customWidth="true" hidden="false" outlineLevel="0" max="258" min="258" style="1018" width="13.34"/>
    <col collapsed="false" customWidth="true" hidden="false" outlineLevel="0" max="259" min="259" style="1018" width="78.16"/>
    <col collapsed="false" customWidth="true" hidden="false" outlineLevel="0" max="260" min="260" style="1018" width="33.66"/>
    <col collapsed="false" customWidth="true" hidden="false" outlineLevel="0" max="262" min="261" style="1018" width="9.5"/>
    <col collapsed="false" customWidth="true" hidden="false" outlineLevel="0" max="263" min="263" style="1018" width="12.66"/>
    <col collapsed="false" customWidth="true" hidden="false" outlineLevel="0" max="264" min="264" style="1018" width="12.5"/>
    <col collapsed="false" customWidth="true" hidden="false" outlineLevel="0" max="265" min="265" style="1018" width="7.83"/>
    <col collapsed="false" customWidth="true" hidden="false" outlineLevel="0" max="266" min="266" style="1018" width="7.5"/>
    <col collapsed="false" customWidth="true" hidden="false" outlineLevel="0" max="269" min="267" style="1018" width="8"/>
    <col collapsed="false" customWidth="false" hidden="false" outlineLevel="0" max="512" min="270" style="1018" width="9.17"/>
    <col collapsed="false" customWidth="true" hidden="false" outlineLevel="0" max="513" min="513" style="1018" width="11.5"/>
    <col collapsed="false" customWidth="true" hidden="false" outlineLevel="0" max="514" min="514" style="1018" width="13.34"/>
    <col collapsed="false" customWidth="true" hidden="false" outlineLevel="0" max="515" min="515" style="1018" width="78.16"/>
    <col collapsed="false" customWidth="true" hidden="false" outlineLevel="0" max="516" min="516" style="1018" width="33.66"/>
    <col collapsed="false" customWidth="true" hidden="false" outlineLevel="0" max="518" min="517" style="1018" width="9.5"/>
    <col collapsed="false" customWidth="true" hidden="false" outlineLevel="0" max="519" min="519" style="1018" width="12.66"/>
    <col collapsed="false" customWidth="true" hidden="false" outlineLevel="0" max="520" min="520" style="1018" width="12.5"/>
    <col collapsed="false" customWidth="true" hidden="false" outlineLevel="0" max="521" min="521" style="1018" width="7.83"/>
    <col collapsed="false" customWidth="true" hidden="false" outlineLevel="0" max="522" min="522" style="1018" width="7.5"/>
    <col collapsed="false" customWidth="true" hidden="false" outlineLevel="0" max="525" min="523" style="1018" width="8"/>
    <col collapsed="false" customWidth="false" hidden="false" outlineLevel="0" max="768" min="526" style="1018" width="9.17"/>
    <col collapsed="false" customWidth="true" hidden="false" outlineLevel="0" max="769" min="769" style="1018" width="11.5"/>
    <col collapsed="false" customWidth="true" hidden="false" outlineLevel="0" max="770" min="770" style="1018" width="13.34"/>
    <col collapsed="false" customWidth="true" hidden="false" outlineLevel="0" max="771" min="771" style="1018" width="78.16"/>
    <col collapsed="false" customWidth="true" hidden="false" outlineLevel="0" max="772" min="772" style="1018" width="33.66"/>
    <col collapsed="false" customWidth="true" hidden="false" outlineLevel="0" max="774" min="773" style="1018" width="9.5"/>
    <col collapsed="false" customWidth="true" hidden="false" outlineLevel="0" max="775" min="775" style="1018" width="12.66"/>
    <col collapsed="false" customWidth="true" hidden="false" outlineLevel="0" max="776" min="776" style="1018" width="12.5"/>
    <col collapsed="false" customWidth="true" hidden="false" outlineLevel="0" max="777" min="777" style="1018" width="7.83"/>
    <col collapsed="false" customWidth="true" hidden="false" outlineLevel="0" max="778" min="778" style="1018" width="7.5"/>
    <col collapsed="false" customWidth="true" hidden="false" outlineLevel="0" max="781" min="779" style="1018" width="8"/>
    <col collapsed="false" customWidth="false" hidden="false" outlineLevel="0" max="1024" min="782" style="1018" width="9.17"/>
  </cols>
  <sheetData>
    <row r="1" customFormat="false" ht="14.45" hidden="false" customHeight="false" outlineLevel="0" collapsed="false">
      <c r="A1" s="1015" t="s">
        <v>1613</v>
      </c>
      <c r="B1" s="1016" t="s">
        <v>787</v>
      </c>
      <c r="C1" s="1015" t="s">
        <v>1614</v>
      </c>
      <c r="D1" s="1015" t="s">
        <v>789</v>
      </c>
      <c r="E1" s="1015" t="s">
        <v>790</v>
      </c>
      <c r="F1" s="1015" t="s">
        <v>791</v>
      </c>
      <c r="G1" s="1019" t="s">
        <v>1615</v>
      </c>
      <c r="H1" s="1020" t="s">
        <v>792</v>
      </c>
      <c r="I1" s="1019" t="s">
        <v>1616</v>
      </c>
      <c r="J1" s="1019" t="s">
        <v>794</v>
      </c>
      <c r="K1" s="1018" t="s">
        <v>1617</v>
      </c>
      <c r="L1" s="1018" t="s">
        <v>1618</v>
      </c>
      <c r="M1" s="1018" t="s">
        <v>1619</v>
      </c>
    </row>
    <row r="2" customFormat="false" ht="14.45" hidden="false" customHeight="false" outlineLevel="0" collapsed="false">
      <c r="A2" s="1015" t="s">
        <v>796</v>
      </c>
      <c r="B2" s="1016" t="s">
        <v>1620</v>
      </c>
      <c r="C2" s="1015" t="s">
        <v>1621</v>
      </c>
      <c r="E2" s="1015" t="s">
        <v>800</v>
      </c>
      <c r="F2" s="1015" t="s">
        <v>838</v>
      </c>
      <c r="G2" s="1015" t="s">
        <v>802</v>
      </c>
      <c r="H2" s="1017" t="n">
        <v>52920</v>
      </c>
      <c r="I2" s="1015" t="s">
        <v>1269</v>
      </c>
      <c r="J2" s="1015" t="n">
        <v>1</v>
      </c>
      <c r="K2" s="1018" t="n">
        <v>23.4</v>
      </c>
      <c r="L2" s="1018" t="n">
        <v>29</v>
      </c>
    </row>
    <row r="3" customFormat="false" ht="14.45" hidden="false" customHeight="false" outlineLevel="0" collapsed="false">
      <c r="A3" s="1015" t="s">
        <v>796</v>
      </c>
      <c r="B3" s="1016" t="s">
        <v>815</v>
      </c>
      <c r="C3" s="1015" t="s">
        <v>1622</v>
      </c>
      <c r="D3" s="1015" t="s">
        <v>817</v>
      </c>
      <c r="E3" s="1015" t="s">
        <v>800</v>
      </c>
      <c r="F3" s="1015" t="s">
        <v>801</v>
      </c>
      <c r="G3" s="1015" t="s">
        <v>802</v>
      </c>
      <c r="H3" s="1017" t="n">
        <v>52922</v>
      </c>
      <c r="I3" s="1015" t="s">
        <v>1269</v>
      </c>
      <c r="J3" s="1015" t="n">
        <v>6</v>
      </c>
      <c r="K3" s="1018" t="n">
        <v>2.8</v>
      </c>
    </row>
    <row r="4" customFormat="false" ht="14.45" hidden="false" customHeight="false" outlineLevel="0" collapsed="false">
      <c r="A4" s="1015" t="s">
        <v>796</v>
      </c>
      <c r="B4" s="1016" t="s">
        <v>819</v>
      </c>
      <c r="C4" s="1015" t="s">
        <v>1623</v>
      </c>
      <c r="D4" s="1015" t="s">
        <v>817</v>
      </c>
      <c r="E4" s="1015" t="s">
        <v>800</v>
      </c>
      <c r="F4" s="1015" t="s">
        <v>801</v>
      </c>
      <c r="G4" s="1015" t="s">
        <v>802</v>
      </c>
      <c r="H4" s="1017" t="n">
        <v>59729</v>
      </c>
      <c r="I4" s="1015" t="s">
        <v>898</v>
      </c>
      <c r="J4" s="1015" t="n">
        <v>6</v>
      </c>
      <c r="K4" s="1018" t="n">
        <v>2.8</v>
      </c>
    </row>
    <row r="5" customFormat="false" ht="14.45" hidden="false" customHeight="false" outlineLevel="0" collapsed="false">
      <c r="A5" s="1015" t="s">
        <v>796</v>
      </c>
      <c r="B5" s="1016" t="s">
        <v>804</v>
      </c>
      <c r="C5" s="1015" t="s">
        <v>805</v>
      </c>
      <c r="D5" s="1015" t="s">
        <v>799</v>
      </c>
      <c r="E5" s="1015" t="s">
        <v>800</v>
      </c>
      <c r="F5" s="1015" t="s">
        <v>801</v>
      </c>
      <c r="G5" s="1015" t="s">
        <v>802</v>
      </c>
      <c r="H5" s="1017" t="n">
        <v>61850</v>
      </c>
      <c r="I5" s="1015" t="s">
        <v>898</v>
      </c>
      <c r="J5" s="1015" t="n">
        <v>76</v>
      </c>
      <c r="K5" s="1018" t="n">
        <v>16</v>
      </c>
    </row>
    <row r="6" customFormat="false" ht="14.45" hidden="false" customHeight="false" outlineLevel="0" collapsed="false">
      <c r="A6" s="1015" t="s">
        <v>796</v>
      </c>
      <c r="B6" s="1016" t="s">
        <v>808</v>
      </c>
      <c r="C6" s="1015" t="s">
        <v>809</v>
      </c>
      <c r="D6" s="1015" t="s">
        <v>799</v>
      </c>
      <c r="E6" s="1015" t="s">
        <v>800</v>
      </c>
      <c r="F6" s="1015" t="s">
        <v>801</v>
      </c>
      <c r="G6" s="1015" t="s">
        <v>802</v>
      </c>
      <c r="H6" s="1017" t="n">
        <v>61851</v>
      </c>
      <c r="I6" s="1015" t="s">
        <v>898</v>
      </c>
      <c r="J6" s="1015" t="n">
        <v>76</v>
      </c>
      <c r="K6" s="1018" t="n">
        <v>16</v>
      </c>
    </row>
    <row r="7" customFormat="false" ht="14.45" hidden="false" customHeight="false" outlineLevel="0" collapsed="false">
      <c r="A7" s="1015" t="s">
        <v>796</v>
      </c>
      <c r="B7" s="1016" t="s">
        <v>811</v>
      </c>
      <c r="C7" s="1015" t="s">
        <v>812</v>
      </c>
      <c r="D7" s="1015" t="s">
        <v>799</v>
      </c>
      <c r="E7" s="1015" t="s">
        <v>800</v>
      </c>
      <c r="F7" s="1015" t="s">
        <v>801</v>
      </c>
      <c r="G7" s="1015" t="s">
        <v>802</v>
      </c>
      <c r="H7" s="1017" t="n">
        <v>61852</v>
      </c>
      <c r="I7" s="1015" t="s">
        <v>898</v>
      </c>
      <c r="J7" s="1015" t="n">
        <v>76</v>
      </c>
      <c r="K7" s="1018" t="n">
        <v>16</v>
      </c>
    </row>
    <row r="8" customFormat="false" ht="14.45" hidden="false" customHeight="false" outlineLevel="0" collapsed="false">
      <c r="A8" s="1015" t="s">
        <v>796</v>
      </c>
      <c r="B8" s="1016" t="s">
        <v>821</v>
      </c>
      <c r="C8" s="1015" t="s">
        <v>822</v>
      </c>
      <c r="D8" s="1015" t="s">
        <v>799</v>
      </c>
      <c r="E8" s="1015" t="s">
        <v>800</v>
      </c>
      <c r="F8" s="1015" t="s">
        <v>801</v>
      </c>
      <c r="G8" s="1015" t="s">
        <v>802</v>
      </c>
      <c r="H8" s="1017" t="n">
        <v>61853</v>
      </c>
      <c r="I8" s="1015" t="s">
        <v>898</v>
      </c>
      <c r="J8" s="1015" t="n">
        <v>76</v>
      </c>
      <c r="K8" s="1018" t="n">
        <v>16</v>
      </c>
    </row>
    <row r="9" customFormat="false" ht="14.45" hidden="false" customHeight="false" outlineLevel="0" collapsed="false">
      <c r="A9" s="1015" t="s">
        <v>796</v>
      </c>
      <c r="B9" s="1016" t="s">
        <v>797</v>
      </c>
      <c r="C9" s="1015" t="s">
        <v>798</v>
      </c>
      <c r="D9" s="1015" t="s">
        <v>799</v>
      </c>
      <c r="E9" s="1015" t="s">
        <v>800</v>
      </c>
      <c r="F9" s="1015" t="s">
        <v>801</v>
      </c>
      <c r="G9" s="1015" t="s">
        <v>802</v>
      </c>
      <c r="H9" s="1017" t="n">
        <v>61854</v>
      </c>
      <c r="I9" s="1015" t="s">
        <v>898</v>
      </c>
      <c r="J9" s="1015" t="n">
        <v>76</v>
      </c>
      <c r="K9" s="1018" t="n">
        <v>16</v>
      </c>
    </row>
    <row r="10" customFormat="false" ht="14.45" hidden="false" customHeight="false" outlineLevel="0" collapsed="false">
      <c r="A10" s="1015" t="s">
        <v>796</v>
      </c>
      <c r="B10" s="1016" t="s">
        <v>813</v>
      </c>
      <c r="C10" s="1015" t="s">
        <v>814</v>
      </c>
      <c r="D10" s="1015" t="s">
        <v>799</v>
      </c>
      <c r="E10" s="1015" t="s">
        <v>800</v>
      </c>
      <c r="F10" s="1015" t="s">
        <v>801</v>
      </c>
      <c r="G10" s="1015" t="s">
        <v>802</v>
      </c>
      <c r="H10" s="1017" t="n">
        <v>61855</v>
      </c>
      <c r="I10" s="1015" t="s">
        <v>898</v>
      </c>
      <c r="J10" s="1015" t="n">
        <v>76</v>
      </c>
      <c r="K10" s="1018" t="n">
        <v>16</v>
      </c>
    </row>
    <row r="11" customFormat="false" ht="14.45" hidden="false" customHeight="false" outlineLevel="0" collapsed="false">
      <c r="A11" s="1015" t="s">
        <v>1624</v>
      </c>
      <c r="B11" s="1016" t="n">
        <v>21736</v>
      </c>
      <c r="C11" s="1015" t="s">
        <v>824</v>
      </c>
      <c r="D11" s="1015" t="s">
        <v>825</v>
      </c>
      <c r="E11" s="1015" t="s">
        <v>800</v>
      </c>
      <c r="F11" s="1015" t="s">
        <v>826</v>
      </c>
      <c r="G11" s="1015" t="s">
        <v>827</v>
      </c>
      <c r="H11" s="1017" t="n">
        <v>54913</v>
      </c>
      <c r="I11" s="1015" t="s">
        <v>898</v>
      </c>
      <c r="J11" s="1015" t="n">
        <v>80</v>
      </c>
      <c r="K11" s="1018" t="n">
        <v>12.5</v>
      </c>
      <c r="L11" s="1018" t="n">
        <v>12.5</v>
      </c>
    </row>
    <row r="12" customFormat="false" ht="14.45" hidden="false" customHeight="false" outlineLevel="0" collapsed="false">
      <c r="A12" s="1015" t="s">
        <v>1624</v>
      </c>
      <c r="B12" s="1016" t="n">
        <v>21738</v>
      </c>
      <c r="C12" s="1015" t="s">
        <v>829</v>
      </c>
      <c r="D12" s="1015" t="s">
        <v>825</v>
      </c>
      <c r="E12" s="1015" t="s">
        <v>800</v>
      </c>
      <c r="F12" s="1015" t="s">
        <v>826</v>
      </c>
      <c r="G12" s="1015" t="s">
        <v>827</v>
      </c>
      <c r="H12" s="1017" t="n">
        <v>54914</v>
      </c>
      <c r="I12" s="1015" t="s">
        <v>898</v>
      </c>
      <c r="J12" s="1015" t="n">
        <v>80</v>
      </c>
      <c r="K12" s="1018" t="n">
        <v>12.5</v>
      </c>
      <c r="L12" s="1018" t="n">
        <v>12.5</v>
      </c>
    </row>
    <row r="13" customFormat="false" ht="14.45" hidden="false" customHeight="false" outlineLevel="0" collapsed="false">
      <c r="A13" s="1015" t="s">
        <v>1624</v>
      </c>
      <c r="B13" s="1016" t="n">
        <v>21740</v>
      </c>
      <c r="C13" s="1015" t="s">
        <v>830</v>
      </c>
      <c r="D13" s="1015" t="s">
        <v>825</v>
      </c>
      <c r="E13" s="1015" t="s">
        <v>800</v>
      </c>
      <c r="F13" s="1015" t="s">
        <v>826</v>
      </c>
      <c r="G13" s="1015" t="s">
        <v>827</v>
      </c>
      <c r="H13" s="1017" t="n">
        <v>54915</v>
      </c>
      <c r="I13" s="1015" t="s">
        <v>898</v>
      </c>
      <c r="J13" s="1015" t="n">
        <v>80</v>
      </c>
      <c r="K13" s="1018" t="n">
        <v>12.5</v>
      </c>
      <c r="L13" s="1018" t="n">
        <v>12.5</v>
      </c>
    </row>
    <row r="14" customFormat="false" ht="14.45" hidden="false" customHeight="false" outlineLevel="0" collapsed="false">
      <c r="A14" s="1015" t="s">
        <v>1624</v>
      </c>
      <c r="B14" s="1016" t="n">
        <v>21742</v>
      </c>
      <c r="C14" s="1015" t="s">
        <v>831</v>
      </c>
      <c r="D14" s="1015" t="s">
        <v>825</v>
      </c>
      <c r="E14" s="1015" t="s">
        <v>800</v>
      </c>
      <c r="F14" s="1015" t="s">
        <v>826</v>
      </c>
      <c r="G14" s="1015" t="s">
        <v>827</v>
      </c>
      <c r="H14" s="1017" t="n">
        <v>54916</v>
      </c>
      <c r="I14" s="1015" t="s">
        <v>898</v>
      </c>
      <c r="J14" s="1015" t="n">
        <v>80</v>
      </c>
      <c r="K14" s="1018" t="n">
        <v>12.5</v>
      </c>
      <c r="L14" s="1018" t="n">
        <v>12.5</v>
      </c>
    </row>
    <row r="15" customFormat="false" ht="14.45" hidden="false" customHeight="false" outlineLevel="0" collapsed="false">
      <c r="A15" s="1015" t="s">
        <v>1624</v>
      </c>
      <c r="B15" s="1016" t="n">
        <v>21744</v>
      </c>
      <c r="C15" s="1015" t="s">
        <v>832</v>
      </c>
      <c r="D15" s="1015" t="s">
        <v>825</v>
      </c>
      <c r="E15" s="1015" t="s">
        <v>800</v>
      </c>
      <c r="F15" s="1015" t="s">
        <v>826</v>
      </c>
      <c r="G15" s="1015" t="s">
        <v>827</v>
      </c>
      <c r="H15" s="1017" t="n">
        <v>54917</v>
      </c>
      <c r="I15" s="1015" t="s">
        <v>898</v>
      </c>
      <c r="J15" s="1015" t="n">
        <v>80</v>
      </c>
      <c r="K15" s="1018" t="n">
        <v>12.5</v>
      </c>
      <c r="L15" s="1018" t="n">
        <v>12.5</v>
      </c>
    </row>
    <row r="16" customFormat="false" ht="14.45" hidden="false" customHeight="false" outlineLevel="0" collapsed="false">
      <c r="A16" s="1015" t="s">
        <v>1624</v>
      </c>
      <c r="B16" s="1016" t="n">
        <v>21746</v>
      </c>
      <c r="C16" s="1015" t="s">
        <v>833</v>
      </c>
      <c r="D16" s="1015" t="s">
        <v>825</v>
      </c>
      <c r="E16" s="1015" t="s">
        <v>800</v>
      </c>
      <c r="F16" s="1015" t="s">
        <v>826</v>
      </c>
      <c r="G16" s="1015" t="s">
        <v>827</v>
      </c>
      <c r="H16" s="1017" t="n">
        <v>54918</v>
      </c>
      <c r="I16" s="1015" t="s">
        <v>898</v>
      </c>
      <c r="J16" s="1015" t="n">
        <v>80</v>
      </c>
      <c r="K16" s="1018" t="n">
        <v>12.5</v>
      </c>
      <c r="L16" s="1018" t="n">
        <v>12.5</v>
      </c>
    </row>
    <row r="17" customFormat="false" ht="14.45" hidden="false" customHeight="false" outlineLevel="0" collapsed="false">
      <c r="A17" s="1015" t="s">
        <v>1624</v>
      </c>
      <c r="B17" s="1016" t="n">
        <v>21748</v>
      </c>
      <c r="C17" s="1015" t="s">
        <v>834</v>
      </c>
      <c r="D17" s="1015" t="s">
        <v>825</v>
      </c>
      <c r="E17" s="1015" t="s">
        <v>800</v>
      </c>
      <c r="F17" s="1015" t="s">
        <v>826</v>
      </c>
      <c r="G17" s="1015" t="s">
        <v>827</v>
      </c>
      <c r="H17" s="1017" t="n">
        <v>54919</v>
      </c>
      <c r="I17" s="1015" t="s">
        <v>898</v>
      </c>
      <c r="J17" s="1015" t="n">
        <v>80</v>
      </c>
      <c r="K17" s="1018" t="n">
        <v>12.5</v>
      </c>
      <c r="L17" s="1018" t="n">
        <v>12.5</v>
      </c>
    </row>
    <row r="18" customFormat="false" ht="14.45" hidden="false" customHeight="false" outlineLevel="0" collapsed="false">
      <c r="A18" s="1015" t="s">
        <v>1624</v>
      </c>
      <c r="B18" s="1016" t="n">
        <v>21750</v>
      </c>
      <c r="C18" s="1015" t="s">
        <v>835</v>
      </c>
      <c r="D18" s="1015" t="s">
        <v>825</v>
      </c>
      <c r="E18" s="1015" t="s">
        <v>800</v>
      </c>
      <c r="F18" s="1015" t="s">
        <v>826</v>
      </c>
      <c r="G18" s="1015" t="s">
        <v>827</v>
      </c>
      <c r="H18" s="1017" t="n">
        <v>54920</v>
      </c>
      <c r="I18" s="1015" t="s">
        <v>898</v>
      </c>
      <c r="J18" s="1015" t="n">
        <v>80</v>
      </c>
      <c r="K18" s="1018" t="n">
        <v>12.5</v>
      </c>
      <c r="L18" s="1018" t="n">
        <v>12.5</v>
      </c>
    </row>
    <row r="19" customFormat="false" ht="14.45" hidden="false" customHeight="false" outlineLevel="0" collapsed="false">
      <c r="A19" s="1015" t="s">
        <v>1624</v>
      </c>
      <c r="B19" s="1016" t="n">
        <v>21756</v>
      </c>
      <c r="C19" s="1015" t="s">
        <v>843</v>
      </c>
      <c r="D19" s="1015" t="s">
        <v>837</v>
      </c>
      <c r="E19" s="1015" t="s">
        <v>800</v>
      </c>
      <c r="F19" s="1015" t="s">
        <v>801</v>
      </c>
      <c r="G19" s="1015" t="s">
        <v>827</v>
      </c>
      <c r="H19" s="1017" t="n">
        <v>54938</v>
      </c>
      <c r="I19" s="1015" t="s">
        <v>1269</v>
      </c>
      <c r="J19" s="1015" t="n">
        <v>66</v>
      </c>
      <c r="K19" s="1018" t="n">
        <v>19.5</v>
      </c>
    </row>
    <row r="20" customFormat="false" ht="14.45" hidden="false" customHeight="false" outlineLevel="0" collapsed="false">
      <c r="A20" s="1015" t="s">
        <v>851</v>
      </c>
      <c r="B20" s="1016" t="s">
        <v>1625</v>
      </c>
      <c r="C20" s="1015" t="s">
        <v>1626</v>
      </c>
      <c r="D20" s="1015" t="s">
        <v>999</v>
      </c>
      <c r="E20" s="1015" t="s">
        <v>800</v>
      </c>
      <c r="F20" s="1015" t="s">
        <v>1627</v>
      </c>
      <c r="G20" s="1015" t="s">
        <v>827</v>
      </c>
      <c r="H20" s="1017" t="n">
        <v>67037</v>
      </c>
      <c r="I20" s="1015" t="s">
        <v>898</v>
      </c>
      <c r="J20" s="1015" t="n">
        <v>7</v>
      </c>
      <c r="K20" s="1018" t="n">
        <v>12.5</v>
      </c>
      <c r="L20" s="1018" t="n">
        <v>12.5</v>
      </c>
    </row>
    <row r="21" customFormat="false" ht="14.45" hidden="false" customHeight="false" outlineLevel="0" collapsed="false">
      <c r="A21" s="1015" t="s">
        <v>1624</v>
      </c>
      <c r="B21" s="1016" t="s">
        <v>1628</v>
      </c>
      <c r="C21" s="1015" t="s">
        <v>1629</v>
      </c>
      <c r="E21" s="1015" t="s">
        <v>800</v>
      </c>
      <c r="F21" s="1015" t="s">
        <v>801</v>
      </c>
      <c r="G21" s="1015" t="s">
        <v>827</v>
      </c>
      <c r="H21" s="1017" t="n">
        <v>67615</v>
      </c>
      <c r="I21" s="1015" t="s">
        <v>1630</v>
      </c>
      <c r="J21" s="1015" t="n">
        <v>10</v>
      </c>
      <c r="K21" s="1018" t="n">
        <v>3.2</v>
      </c>
    </row>
    <row r="22" customFormat="false" ht="14.45" hidden="false" customHeight="false" outlineLevel="0" collapsed="false">
      <c r="A22" s="1015" t="s">
        <v>1624</v>
      </c>
      <c r="B22" s="1016" t="s">
        <v>1631</v>
      </c>
      <c r="C22" s="1015" t="s">
        <v>1632</v>
      </c>
      <c r="E22" s="1015" t="s">
        <v>800</v>
      </c>
      <c r="F22" s="1015" t="s">
        <v>801</v>
      </c>
      <c r="G22" s="1015" t="s">
        <v>827</v>
      </c>
      <c r="H22" s="1017" t="n">
        <v>67616</v>
      </c>
      <c r="I22" s="1015" t="s">
        <v>1630</v>
      </c>
      <c r="J22" s="1015" t="n">
        <v>10</v>
      </c>
      <c r="K22" s="1018" t="n">
        <v>3.2</v>
      </c>
    </row>
    <row r="23" customFormat="false" ht="14.45" hidden="false" customHeight="false" outlineLevel="0" collapsed="false">
      <c r="A23" s="1015" t="s">
        <v>851</v>
      </c>
      <c r="B23" s="1016" t="s">
        <v>1633</v>
      </c>
      <c r="C23" s="1015" t="s">
        <v>1634</v>
      </c>
      <c r="D23" s="1015" t="s">
        <v>894</v>
      </c>
      <c r="E23" s="1015" t="s">
        <v>800</v>
      </c>
      <c r="F23" s="1015" t="s">
        <v>801</v>
      </c>
      <c r="G23" s="1015" t="s">
        <v>856</v>
      </c>
      <c r="H23" s="1017" t="n">
        <v>50847</v>
      </c>
      <c r="I23" s="1015" t="s">
        <v>898</v>
      </c>
      <c r="J23" s="1015" t="n">
        <v>7</v>
      </c>
      <c r="K23" s="1018" t="n">
        <v>1</v>
      </c>
    </row>
    <row r="24" customFormat="false" ht="14.45" hidden="false" customHeight="false" outlineLevel="0" collapsed="false">
      <c r="A24" s="1015" t="s">
        <v>851</v>
      </c>
      <c r="B24" s="1016" t="s">
        <v>1635</v>
      </c>
      <c r="C24" s="1015" t="s">
        <v>1636</v>
      </c>
      <c r="D24" s="1015" t="s">
        <v>894</v>
      </c>
      <c r="E24" s="1015" t="s">
        <v>800</v>
      </c>
      <c r="F24" s="1015" t="s">
        <v>801</v>
      </c>
      <c r="G24" s="1015" t="s">
        <v>856</v>
      </c>
      <c r="H24" s="1017" t="n">
        <v>50849</v>
      </c>
      <c r="I24" s="1015" t="s">
        <v>898</v>
      </c>
      <c r="J24" s="1015" t="n">
        <v>10</v>
      </c>
      <c r="K24" s="1018" t="n">
        <v>11.1</v>
      </c>
    </row>
    <row r="25" customFormat="false" ht="14.45" hidden="false" customHeight="false" outlineLevel="0" collapsed="false">
      <c r="A25" s="1015" t="s">
        <v>851</v>
      </c>
      <c r="B25" s="1016" t="s">
        <v>1637</v>
      </c>
      <c r="C25" s="1015" t="s">
        <v>1638</v>
      </c>
      <c r="D25" s="1015" t="s">
        <v>799</v>
      </c>
      <c r="E25" s="1015" t="s">
        <v>800</v>
      </c>
      <c r="F25" s="1015" t="s">
        <v>826</v>
      </c>
      <c r="G25" s="1015" t="s">
        <v>856</v>
      </c>
      <c r="H25" s="1017" t="n">
        <v>51108</v>
      </c>
      <c r="I25" s="1015" t="s">
        <v>898</v>
      </c>
      <c r="J25" s="1015" t="n">
        <v>82</v>
      </c>
      <c r="K25" s="1018" t="n">
        <v>12.5</v>
      </c>
    </row>
    <row r="26" customFormat="false" ht="14.45" hidden="false" customHeight="false" outlineLevel="0" collapsed="false">
      <c r="A26" s="1015" t="s">
        <v>851</v>
      </c>
      <c r="B26" s="1016" t="s">
        <v>1639</v>
      </c>
      <c r="C26" s="1015" t="s">
        <v>1640</v>
      </c>
      <c r="D26" s="1015" t="s">
        <v>799</v>
      </c>
      <c r="E26" s="1015" t="s">
        <v>800</v>
      </c>
      <c r="F26" s="1015" t="s">
        <v>826</v>
      </c>
      <c r="G26" s="1015" t="s">
        <v>856</v>
      </c>
      <c r="H26" s="1017" t="n">
        <v>51109</v>
      </c>
      <c r="I26" s="1015" t="s">
        <v>898</v>
      </c>
      <c r="J26" s="1015" t="n">
        <v>82</v>
      </c>
      <c r="K26" s="1018" t="n">
        <v>12.5</v>
      </c>
    </row>
    <row r="27" customFormat="false" ht="14.45" hidden="false" customHeight="false" outlineLevel="0" collapsed="false">
      <c r="A27" s="1015" t="s">
        <v>851</v>
      </c>
      <c r="B27" s="1016" t="s">
        <v>1641</v>
      </c>
      <c r="C27" s="1015" t="s">
        <v>1642</v>
      </c>
      <c r="D27" s="1015" t="s">
        <v>799</v>
      </c>
      <c r="E27" s="1015" t="s">
        <v>800</v>
      </c>
      <c r="F27" s="1015" t="s">
        <v>826</v>
      </c>
      <c r="G27" s="1015" t="s">
        <v>856</v>
      </c>
      <c r="H27" s="1017" t="n">
        <v>51110</v>
      </c>
      <c r="I27" s="1015" t="s">
        <v>898</v>
      </c>
      <c r="J27" s="1015" t="n">
        <v>82</v>
      </c>
      <c r="K27" s="1018" t="n">
        <v>12.5</v>
      </c>
    </row>
    <row r="28" customFormat="false" ht="14.45" hidden="false" customHeight="false" outlineLevel="0" collapsed="false">
      <c r="A28" s="1015" t="s">
        <v>851</v>
      </c>
      <c r="B28" s="1016" t="s">
        <v>867</v>
      </c>
      <c r="C28" s="1015" t="s">
        <v>1643</v>
      </c>
      <c r="D28" s="1015" t="s">
        <v>799</v>
      </c>
      <c r="E28" s="1015" t="s">
        <v>800</v>
      </c>
      <c r="F28" s="1015" t="s">
        <v>826</v>
      </c>
      <c r="G28" s="1015" t="s">
        <v>856</v>
      </c>
      <c r="H28" s="1017" t="n">
        <v>51111</v>
      </c>
      <c r="I28" s="1015" t="s">
        <v>898</v>
      </c>
      <c r="J28" s="1015" t="n">
        <v>82.6</v>
      </c>
      <c r="K28" s="1018" t="n">
        <v>12.5</v>
      </c>
    </row>
    <row r="29" customFormat="false" ht="14.45" hidden="false" customHeight="false" outlineLevel="0" collapsed="false">
      <c r="A29" s="1015" t="s">
        <v>851</v>
      </c>
      <c r="B29" s="1016" t="s">
        <v>1644</v>
      </c>
      <c r="C29" s="1015" t="s">
        <v>1645</v>
      </c>
      <c r="D29" s="1015" t="s">
        <v>799</v>
      </c>
      <c r="E29" s="1015" t="s">
        <v>800</v>
      </c>
      <c r="F29" s="1015" t="s">
        <v>826</v>
      </c>
      <c r="G29" s="1015" t="s">
        <v>856</v>
      </c>
      <c r="H29" s="1017" t="n">
        <v>51112</v>
      </c>
      <c r="I29" s="1015" t="s">
        <v>898</v>
      </c>
      <c r="J29" s="1015" t="n">
        <v>82</v>
      </c>
      <c r="K29" s="1018" t="n">
        <v>12.5</v>
      </c>
    </row>
    <row r="30" customFormat="false" ht="14.45" hidden="false" customHeight="false" outlineLevel="0" collapsed="false">
      <c r="A30" s="1015" t="s">
        <v>851</v>
      </c>
      <c r="B30" s="1016" t="s">
        <v>1646</v>
      </c>
      <c r="C30" s="1015" t="s">
        <v>1647</v>
      </c>
      <c r="D30" s="1015" t="s">
        <v>884</v>
      </c>
      <c r="E30" s="1015" t="s">
        <v>800</v>
      </c>
      <c r="F30" s="1015" t="s">
        <v>826</v>
      </c>
      <c r="G30" s="1015" t="s">
        <v>856</v>
      </c>
      <c r="H30" s="1017" t="n">
        <v>51113</v>
      </c>
      <c r="I30" s="1015" t="s">
        <v>898</v>
      </c>
      <c r="J30" s="1015" t="n">
        <v>82</v>
      </c>
      <c r="K30" s="1018" t="n">
        <v>12.5</v>
      </c>
    </row>
    <row r="31" customFormat="false" ht="14.45" hidden="false" customHeight="false" outlineLevel="0" collapsed="false">
      <c r="A31" s="1015" t="s">
        <v>851</v>
      </c>
      <c r="B31" s="1016" t="s">
        <v>1648</v>
      </c>
      <c r="C31" s="1015" t="s">
        <v>1649</v>
      </c>
      <c r="D31" s="1015" t="s">
        <v>799</v>
      </c>
      <c r="E31" s="1015" t="s">
        <v>800</v>
      </c>
      <c r="F31" s="1015" t="s">
        <v>826</v>
      </c>
      <c r="G31" s="1015" t="s">
        <v>856</v>
      </c>
      <c r="H31" s="1017" t="n">
        <v>51114</v>
      </c>
      <c r="I31" s="1015" t="s">
        <v>898</v>
      </c>
      <c r="J31" s="1015" t="n">
        <v>82</v>
      </c>
      <c r="K31" s="1018" t="n">
        <v>12.5</v>
      </c>
    </row>
    <row r="32" customFormat="false" ht="14.45" hidden="false" customHeight="false" outlineLevel="0" collapsed="false">
      <c r="A32" s="1015" t="s">
        <v>851</v>
      </c>
      <c r="B32" s="1016" t="s">
        <v>1650</v>
      </c>
      <c r="C32" s="1015" t="s">
        <v>1651</v>
      </c>
      <c r="D32" s="1015" t="s">
        <v>799</v>
      </c>
      <c r="E32" s="1015" t="s">
        <v>800</v>
      </c>
      <c r="F32" s="1015" t="s">
        <v>826</v>
      </c>
      <c r="G32" s="1015" t="s">
        <v>856</v>
      </c>
      <c r="H32" s="1017" t="n">
        <v>51115</v>
      </c>
      <c r="I32" s="1015" t="s">
        <v>898</v>
      </c>
      <c r="J32" s="1015" t="n">
        <v>82</v>
      </c>
      <c r="K32" s="1018" t="n">
        <v>12.5</v>
      </c>
    </row>
    <row r="33" customFormat="false" ht="14.45" hidden="false" customHeight="false" outlineLevel="0" collapsed="false">
      <c r="A33" s="1015" t="s">
        <v>851</v>
      </c>
      <c r="B33" s="1016" t="s">
        <v>1652</v>
      </c>
      <c r="C33" s="1015" t="s">
        <v>1653</v>
      </c>
      <c r="D33" s="1015" t="s">
        <v>799</v>
      </c>
      <c r="E33" s="1015" t="s">
        <v>800</v>
      </c>
      <c r="F33" s="1015" t="s">
        <v>826</v>
      </c>
      <c r="G33" s="1015" t="s">
        <v>856</v>
      </c>
      <c r="H33" s="1017" t="n">
        <v>51116</v>
      </c>
      <c r="I33" s="1015" t="s">
        <v>898</v>
      </c>
      <c r="J33" s="1015" t="n">
        <v>82</v>
      </c>
      <c r="K33" s="1018" t="n">
        <v>12.5</v>
      </c>
    </row>
    <row r="34" customFormat="false" ht="14.45" hidden="false" customHeight="false" outlineLevel="0" collapsed="false">
      <c r="A34" s="1015" t="s">
        <v>851</v>
      </c>
      <c r="B34" s="1016" t="s">
        <v>1654</v>
      </c>
      <c r="C34" s="1015" t="s">
        <v>1655</v>
      </c>
      <c r="D34" s="1015" t="s">
        <v>799</v>
      </c>
      <c r="E34" s="1015" t="s">
        <v>800</v>
      </c>
      <c r="F34" s="1015" t="s">
        <v>826</v>
      </c>
      <c r="G34" s="1015" t="s">
        <v>856</v>
      </c>
      <c r="H34" s="1017" t="n">
        <v>51117</v>
      </c>
      <c r="I34" s="1015" t="s">
        <v>898</v>
      </c>
      <c r="J34" s="1015" t="n">
        <v>82</v>
      </c>
      <c r="K34" s="1018" t="n">
        <v>12.5</v>
      </c>
    </row>
    <row r="35" customFormat="false" ht="14.45" hidden="false" customHeight="false" outlineLevel="0" collapsed="false">
      <c r="A35" s="1015" t="s">
        <v>1656</v>
      </c>
      <c r="B35" s="1016" t="s">
        <v>1178</v>
      </c>
      <c r="C35" s="1015" t="s">
        <v>849</v>
      </c>
      <c r="D35" s="1015" t="s">
        <v>999</v>
      </c>
      <c r="E35" s="1015" t="s">
        <v>800</v>
      </c>
      <c r="F35" s="1015" t="s">
        <v>838</v>
      </c>
      <c r="G35" s="1015" t="s">
        <v>856</v>
      </c>
      <c r="H35" s="1017" t="n">
        <v>66922</v>
      </c>
      <c r="I35" s="1015" t="s">
        <v>1657</v>
      </c>
      <c r="J35" s="1015" t="n">
        <v>75.6</v>
      </c>
      <c r="K35" s="1018" t="n">
        <v>3.2</v>
      </c>
    </row>
    <row r="36" customFormat="false" ht="14.45" hidden="false" customHeight="false" outlineLevel="0" collapsed="false">
      <c r="A36" s="1015" t="s">
        <v>851</v>
      </c>
      <c r="B36" s="1016" t="s">
        <v>1658</v>
      </c>
      <c r="C36" s="1015" t="s">
        <v>1659</v>
      </c>
      <c r="D36" s="1015" t="s">
        <v>999</v>
      </c>
      <c r="E36" s="1015" t="s">
        <v>800</v>
      </c>
      <c r="F36" s="1015" t="s">
        <v>1627</v>
      </c>
      <c r="G36" s="1015" t="s">
        <v>856</v>
      </c>
      <c r="H36" s="1017" t="n">
        <v>67035</v>
      </c>
      <c r="I36" s="1015" t="s">
        <v>1657</v>
      </c>
      <c r="J36" s="1015" t="n">
        <v>7</v>
      </c>
      <c r="K36" s="1018" t="n">
        <v>3.2</v>
      </c>
    </row>
    <row r="37" customFormat="false" ht="14.45" hidden="false" customHeight="false" outlineLevel="0" collapsed="false">
      <c r="A37" s="1015" t="s">
        <v>851</v>
      </c>
      <c r="B37" s="1016" t="s">
        <v>1660</v>
      </c>
      <c r="C37" s="1015" t="s">
        <v>1661</v>
      </c>
      <c r="D37" s="1015" t="s">
        <v>999</v>
      </c>
      <c r="E37" s="1015" t="s">
        <v>800</v>
      </c>
      <c r="F37" s="1015" t="s">
        <v>1627</v>
      </c>
      <c r="G37" s="1015" t="s">
        <v>856</v>
      </c>
      <c r="H37" s="1017" t="n">
        <v>67036</v>
      </c>
      <c r="I37" s="1015" t="s">
        <v>1657</v>
      </c>
      <c r="J37" s="1015" t="n">
        <v>7</v>
      </c>
      <c r="K37" s="1018" t="n">
        <v>3.2</v>
      </c>
    </row>
    <row r="38" customFormat="false" ht="14.45" hidden="false" customHeight="false" outlineLevel="0" collapsed="false">
      <c r="A38" s="1015" t="s">
        <v>929</v>
      </c>
      <c r="B38" s="1016" t="s">
        <v>930</v>
      </c>
      <c r="C38" s="1015" t="s">
        <v>824</v>
      </c>
      <c r="D38" s="1015" t="s">
        <v>932</v>
      </c>
      <c r="E38" s="1015" t="s">
        <v>800</v>
      </c>
      <c r="F38" s="1015" t="s">
        <v>826</v>
      </c>
      <c r="G38" s="1015" t="s">
        <v>933</v>
      </c>
      <c r="H38" s="1017" t="n">
        <v>51508</v>
      </c>
      <c r="I38" s="1015" t="s">
        <v>898</v>
      </c>
      <c r="J38" s="1015" t="n">
        <v>110</v>
      </c>
      <c r="K38" s="1018" t="n">
        <v>18</v>
      </c>
    </row>
    <row r="39" customFormat="false" ht="14.45" hidden="false" customHeight="false" outlineLevel="0" collapsed="false">
      <c r="A39" s="1015" t="s">
        <v>929</v>
      </c>
      <c r="B39" s="1016" t="s">
        <v>935</v>
      </c>
      <c r="C39" s="1015" t="s">
        <v>829</v>
      </c>
      <c r="D39" s="1015" t="s">
        <v>932</v>
      </c>
      <c r="E39" s="1015" t="s">
        <v>800</v>
      </c>
      <c r="F39" s="1015" t="s">
        <v>826</v>
      </c>
      <c r="G39" s="1015" t="s">
        <v>933</v>
      </c>
      <c r="H39" s="1017" t="n">
        <v>51509</v>
      </c>
      <c r="I39" s="1015" t="s">
        <v>898</v>
      </c>
      <c r="J39" s="1015" t="n">
        <v>110</v>
      </c>
      <c r="K39" s="1018" t="n">
        <v>18</v>
      </c>
    </row>
    <row r="40" customFormat="false" ht="14.45" hidden="false" customHeight="false" outlineLevel="0" collapsed="false">
      <c r="A40" s="1015" t="s">
        <v>929</v>
      </c>
      <c r="B40" s="1016" t="s">
        <v>937</v>
      </c>
      <c r="C40" s="1015" t="s">
        <v>1662</v>
      </c>
      <c r="E40" s="1015" t="s">
        <v>800</v>
      </c>
      <c r="F40" s="1015" t="s">
        <v>801</v>
      </c>
      <c r="G40" s="1015" t="s">
        <v>933</v>
      </c>
      <c r="H40" s="1017" t="n">
        <v>58775</v>
      </c>
      <c r="I40" s="1015" t="s">
        <v>898</v>
      </c>
      <c r="J40" s="1015" t="n">
        <v>3</v>
      </c>
      <c r="K40" s="1018" t="n">
        <v>1.8</v>
      </c>
    </row>
    <row r="41" customFormat="false" ht="14.45" hidden="false" customHeight="false" outlineLevel="0" collapsed="false">
      <c r="A41" s="1015" t="s">
        <v>929</v>
      </c>
      <c r="B41" s="1016" t="s">
        <v>1663</v>
      </c>
      <c r="C41" s="1015" t="s">
        <v>1664</v>
      </c>
      <c r="E41" s="1015" t="s">
        <v>800</v>
      </c>
      <c r="F41" s="1015" t="s">
        <v>801</v>
      </c>
      <c r="G41" s="1015" t="s">
        <v>933</v>
      </c>
      <c r="H41" s="1017" t="n">
        <v>70382</v>
      </c>
      <c r="I41" s="1015" t="s">
        <v>1630</v>
      </c>
      <c r="J41" s="1015" t="n">
        <v>10</v>
      </c>
      <c r="K41" s="1018" t="n">
        <v>3.6</v>
      </c>
    </row>
    <row r="42" customFormat="false" ht="14.45" hidden="false" customHeight="false" outlineLevel="0" collapsed="false">
      <c r="A42" s="1015" t="s">
        <v>929</v>
      </c>
      <c r="B42" s="1016" t="s">
        <v>1665</v>
      </c>
      <c r="C42" s="1015" t="s">
        <v>1666</v>
      </c>
      <c r="E42" s="1015" t="s">
        <v>800</v>
      </c>
      <c r="F42" s="1015" t="s">
        <v>801</v>
      </c>
      <c r="G42" s="1015" t="s">
        <v>933</v>
      </c>
      <c r="H42" s="1017" t="n">
        <v>70383</v>
      </c>
      <c r="I42" s="1015" t="s">
        <v>1630</v>
      </c>
      <c r="J42" s="1015" t="n">
        <v>2.5</v>
      </c>
      <c r="K42" s="1018" t="n">
        <v>2.5</v>
      </c>
    </row>
    <row r="43" customFormat="false" ht="14.45" hidden="false" customHeight="false" outlineLevel="0" collapsed="false">
      <c r="A43" s="1015" t="s">
        <v>929</v>
      </c>
      <c r="B43" s="1016" t="s">
        <v>941</v>
      </c>
      <c r="C43" s="1015" t="s">
        <v>1667</v>
      </c>
      <c r="D43" s="1015" t="s">
        <v>943</v>
      </c>
      <c r="E43" s="1015" t="s">
        <v>800</v>
      </c>
      <c r="F43" s="1015" t="s">
        <v>801</v>
      </c>
      <c r="G43" s="1015" t="s">
        <v>944</v>
      </c>
      <c r="H43" s="1017" t="n">
        <v>50664</v>
      </c>
      <c r="I43" s="1015" t="s">
        <v>1269</v>
      </c>
      <c r="J43" s="1015" t="n">
        <v>60</v>
      </c>
      <c r="K43" s="1018" t="n">
        <v>13.5</v>
      </c>
      <c r="L43" s="1018" t="n">
        <v>13.5</v>
      </c>
    </row>
    <row r="44" customFormat="false" ht="14.45" hidden="false" customHeight="false" outlineLevel="0" collapsed="false">
      <c r="A44" s="1015" t="s">
        <v>929</v>
      </c>
      <c r="B44" s="1016" t="n">
        <v>111118</v>
      </c>
      <c r="C44" s="1015" t="s">
        <v>1668</v>
      </c>
      <c r="D44" s="1015" t="s">
        <v>943</v>
      </c>
      <c r="E44" s="1015" t="s">
        <v>800</v>
      </c>
      <c r="F44" s="1015" t="s">
        <v>801</v>
      </c>
      <c r="G44" s="1015" t="s">
        <v>944</v>
      </c>
      <c r="H44" s="1017" t="n">
        <v>50665</v>
      </c>
      <c r="I44" s="1015" t="s">
        <v>1269</v>
      </c>
      <c r="J44" s="1015" t="n">
        <v>60</v>
      </c>
      <c r="K44" s="1018" t="n">
        <v>13</v>
      </c>
      <c r="L44" s="1018" t="n">
        <v>13</v>
      </c>
    </row>
    <row r="45" customFormat="false" ht="14.45" hidden="false" customHeight="false" outlineLevel="0" collapsed="false">
      <c r="A45" s="1015" t="s">
        <v>929</v>
      </c>
      <c r="B45" s="1016" t="s">
        <v>949</v>
      </c>
      <c r="C45" s="1015" t="s">
        <v>1669</v>
      </c>
      <c r="D45" s="1015" t="s">
        <v>943</v>
      </c>
      <c r="E45" s="1015" t="s">
        <v>800</v>
      </c>
      <c r="F45" s="1015" t="s">
        <v>801</v>
      </c>
      <c r="G45" s="1015" t="s">
        <v>944</v>
      </c>
      <c r="H45" s="1017" t="n">
        <v>50666</v>
      </c>
      <c r="I45" s="1015" t="s">
        <v>1269</v>
      </c>
      <c r="J45" s="1015" t="n">
        <v>60</v>
      </c>
      <c r="K45" s="1018" t="n">
        <v>12.5</v>
      </c>
      <c r="L45" s="1018" t="n">
        <v>12.5</v>
      </c>
    </row>
    <row r="46" customFormat="false" ht="14.45" hidden="false" customHeight="false" outlineLevel="0" collapsed="false">
      <c r="A46" s="1015" t="s">
        <v>929</v>
      </c>
      <c r="B46" s="1016" t="s">
        <v>952</v>
      </c>
      <c r="C46" s="1015" t="s">
        <v>1670</v>
      </c>
      <c r="D46" s="1015" t="s">
        <v>943</v>
      </c>
      <c r="E46" s="1015" t="s">
        <v>800</v>
      </c>
      <c r="F46" s="1015" t="s">
        <v>801</v>
      </c>
      <c r="G46" s="1015" t="s">
        <v>944</v>
      </c>
      <c r="H46" s="1017" t="n">
        <v>50667</v>
      </c>
      <c r="I46" s="1015" t="s">
        <v>1269</v>
      </c>
      <c r="J46" s="1015" t="n">
        <v>60</v>
      </c>
      <c r="K46" s="1018" t="n">
        <v>15.5</v>
      </c>
      <c r="L46" s="1018" t="n">
        <v>15.5</v>
      </c>
    </row>
    <row r="47" customFormat="false" ht="14.45" hidden="false" customHeight="false" outlineLevel="0" collapsed="false">
      <c r="A47" s="1015" t="s">
        <v>929</v>
      </c>
      <c r="B47" s="1016" t="s">
        <v>962</v>
      </c>
      <c r="C47" s="1015" t="s">
        <v>1671</v>
      </c>
      <c r="D47" s="1015" t="s">
        <v>957</v>
      </c>
      <c r="E47" s="1015" t="s">
        <v>800</v>
      </c>
      <c r="F47" s="1015" t="s">
        <v>801</v>
      </c>
      <c r="G47" s="1015" t="s">
        <v>944</v>
      </c>
      <c r="H47" s="1017" t="n">
        <v>50737</v>
      </c>
      <c r="I47" s="1015" t="s">
        <v>898</v>
      </c>
      <c r="J47" s="1015" t="n">
        <v>6</v>
      </c>
      <c r="K47" s="1018" t="n">
        <v>1.7</v>
      </c>
    </row>
    <row r="48" customFormat="false" ht="14.45" hidden="false" customHeight="false" outlineLevel="0" collapsed="false">
      <c r="A48" s="1015" t="s">
        <v>929</v>
      </c>
      <c r="B48" s="1016" t="s">
        <v>959</v>
      </c>
      <c r="C48" s="1015" t="s">
        <v>1672</v>
      </c>
      <c r="D48" s="1015" t="s">
        <v>961</v>
      </c>
      <c r="E48" s="1015" t="s">
        <v>800</v>
      </c>
      <c r="F48" s="1015" t="s">
        <v>801</v>
      </c>
      <c r="G48" s="1015" t="s">
        <v>944</v>
      </c>
      <c r="H48" s="1017" t="n">
        <v>55838</v>
      </c>
      <c r="I48" s="1015" t="s">
        <v>1673</v>
      </c>
      <c r="J48" s="1015" t="n">
        <v>5</v>
      </c>
      <c r="K48" s="1018" t="n">
        <v>3.6</v>
      </c>
    </row>
    <row r="49" customFormat="false" ht="14.45" hidden="false" customHeight="false" outlineLevel="0" collapsed="false">
      <c r="A49" s="1015" t="s">
        <v>1674</v>
      </c>
      <c r="B49" s="1016" t="n">
        <v>510515</v>
      </c>
      <c r="C49" s="1015" t="s">
        <v>824</v>
      </c>
      <c r="D49" s="1015" t="s">
        <v>799</v>
      </c>
      <c r="E49" s="1015" t="s">
        <v>800</v>
      </c>
      <c r="F49" s="1015" t="s">
        <v>826</v>
      </c>
      <c r="G49" s="1015" t="s">
        <v>966</v>
      </c>
      <c r="H49" s="1017" t="n">
        <v>53002</v>
      </c>
      <c r="I49" s="1015" t="s">
        <v>898</v>
      </c>
      <c r="J49" s="1015" t="n">
        <v>80</v>
      </c>
      <c r="K49" s="1018" t="n">
        <v>12.5</v>
      </c>
    </row>
    <row r="50" customFormat="false" ht="14.45" hidden="false" customHeight="false" outlineLevel="0" collapsed="false">
      <c r="A50" s="1015" t="s">
        <v>1674</v>
      </c>
      <c r="B50" s="1016" t="n">
        <v>510516</v>
      </c>
      <c r="C50" s="1015" t="s">
        <v>829</v>
      </c>
      <c r="D50" s="1015" t="s">
        <v>799</v>
      </c>
      <c r="E50" s="1015" t="s">
        <v>800</v>
      </c>
      <c r="F50" s="1015" t="s">
        <v>826</v>
      </c>
      <c r="G50" s="1015" t="s">
        <v>966</v>
      </c>
      <c r="H50" s="1017" t="n">
        <v>53003</v>
      </c>
      <c r="I50" s="1015" t="s">
        <v>898</v>
      </c>
      <c r="J50" s="1015" t="n">
        <v>80</v>
      </c>
      <c r="K50" s="1018" t="n">
        <v>12.5</v>
      </c>
    </row>
    <row r="51" customFormat="false" ht="14.45" hidden="false" customHeight="false" outlineLevel="0" collapsed="false">
      <c r="A51" s="1015" t="s">
        <v>1674</v>
      </c>
      <c r="B51" s="1016" t="n">
        <v>510517</v>
      </c>
      <c r="C51" s="1015" t="s">
        <v>830</v>
      </c>
      <c r="D51" s="1015" t="s">
        <v>799</v>
      </c>
      <c r="E51" s="1015" t="s">
        <v>800</v>
      </c>
      <c r="F51" s="1015" t="s">
        <v>826</v>
      </c>
      <c r="G51" s="1015" t="s">
        <v>966</v>
      </c>
      <c r="H51" s="1017" t="n">
        <v>53004</v>
      </c>
      <c r="I51" s="1015" t="s">
        <v>898</v>
      </c>
      <c r="J51" s="1015" t="n">
        <v>80</v>
      </c>
      <c r="K51" s="1018" t="n">
        <v>12.5</v>
      </c>
    </row>
    <row r="52" customFormat="false" ht="14.45" hidden="false" customHeight="false" outlineLevel="0" collapsed="false">
      <c r="A52" s="1015" t="s">
        <v>1674</v>
      </c>
      <c r="B52" s="1016" t="n">
        <v>510518</v>
      </c>
      <c r="C52" s="1015" t="s">
        <v>831</v>
      </c>
      <c r="D52" s="1015" t="s">
        <v>799</v>
      </c>
      <c r="E52" s="1015" t="s">
        <v>800</v>
      </c>
      <c r="F52" s="1015" t="s">
        <v>826</v>
      </c>
      <c r="G52" s="1015" t="s">
        <v>966</v>
      </c>
      <c r="H52" s="1017" t="n">
        <v>53006</v>
      </c>
      <c r="I52" s="1015" t="s">
        <v>898</v>
      </c>
      <c r="J52" s="1015" t="n">
        <v>80</v>
      </c>
      <c r="K52" s="1018" t="n">
        <v>12.5</v>
      </c>
    </row>
    <row r="53" customFormat="false" ht="14.45" hidden="false" customHeight="false" outlineLevel="0" collapsed="false">
      <c r="A53" s="1015" t="s">
        <v>1674</v>
      </c>
      <c r="B53" s="1016" t="n">
        <v>510519</v>
      </c>
      <c r="C53" s="1015" t="s">
        <v>832</v>
      </c>
      <c r="D53" s="1015" t="s">
        <v>799</v>
      </c>
      <c r="E53" s="1015" t="s">
        <v>800</v>
      </c>
      <c r="F53" s="1015" t="s">
        <v>826</v>
      </c>
      <c r="G53" s="1015" t="s">
        <v>966</v>
      </c>
      <c r="H53" s="1017" t="n">
        <v>53007</v>
      </c>
      <c r="I53" s="1015" t="s">
        <v>898</v>
      </c>
      <c r="J53" s="1015" t="n">
        <v>80</v>
      </c>
      <c r="K53" s="1018" t="n">
        <v>12.5</v>
      </c>
    </row>
    <row r="54" customFormat="false" ht="14.45" hidden="false" customHeight="false" outlineLevel="0" collapsed="false">
      <c r="A54" s="1015" t="s">
        <v>1674</v>
      </c>
      <c r="B54" s="1016" t="n">
        <v>510520</v>
      </c>
      <c r="C54" s="1015" t="s">
        <v>833</v>
      </c>
      <c r="D54" s="1015" t="s">
        <v>799</v>
      </c>
      <c r="E54" s="1015" t="s">
        <v>800</v>
      </c>
      <c r="F54" s="1015" t="s">
        <v>826</v>
      </c>
      <c r="G54" s="1015" t="s">
        <v>966</v>
      </c>
      <c r="H54" s="1017" t="n">
        <v>53008</v>
      </c>
      <c r="I54" s="1015" t="s">
        <v>898</v>
      </c>
      <c r="J54" s="1015" t="n">
        <v>80</v>
      </c>
      <c r="K54" s="1018" t="n">
        <v>12.5</v>
      </c>
    </row>
    <row r="55" customFormat="false" ht="14.45" hidden="false" customHeight="false" outlineLevel="0" collapsed="false">
      <c r="A55" s="1015" t="s">
        <v>1674</v>
      </c>
      <c r="B55" s="1016" t="s">
        <v>974</v>
      </c>
      <c r="C55" s="1015" t="s">
        <v>847</v>
      </c>
      <c r="D55" s="1015" t="s">
        <v>817</v>
      </c>
      <c r="E55" s="1015" t="s">
        <v>800</v>
      </c>
      <c r="F55" s="1015" t="s">
        <v>801</v>
      </c>
      <c r="G55" s="1015" t="s">
        <v>966</v>
      </c>
      <c r="H55" s="1017" t="n">
        <v>53023</v>
      </c>
      <c r="I55" s="1015" t="s">
        <v>1269</v>
      </c>
      <c r="J55" s="1015" t="n">
        <v>7</v>
      </c>
      <c r="K55" s="1018" t="n">
        <v>5.4</v>
      </c>
    </row>
    <row r="56" customFormat="false" ht="14.45" hidden="false" customHeight="false" outlineLevel="0" collapsed="false">
      <c r="A56" s="1015" t="s">
        <v>1674</v>
      </c>
      <c r="B56" s="1016" t="s">
        <v>976</v>
      </c>
      <c r="C56" s="1015" t="s">
        <v>848</v>
      </c>
      <c r="D56" s="1015" t="s">
        <v>817</v>
      </c>
      <c r="E56" s="1015" t="s">
        <v>800</v>
      </c>
      <c r="F56" s="1015" t="s">
        <v>801</v>
      </c>
      <c r="G56" s="1015" t="s">
        <v>966</v>
      </c>
      <c r="H56" s="1017" t="n">
        <v>53024</v>
      </c>
      <c r="I56" s="1015" t="s">
        <v>1269</v>
      </c>
      <c r="J56" s="1015" t="n">
        <v>7</v>
      </c>
      <c r="K56" s="1018" t="n">
        <v>4</v>
      </c>
    </row>
    <row r="57" customFormat="false" ht="14.45" hidden="false" customHeight="false" outlineLevel="0" collapsed="false">
      <c r="A57" s="1015" t="s">
        <v>1674</v>
      </c>
      <c r="B57" s="1016" t="n">
        <v>531333</v>
      </c>
      <c r="C57" s="1015" t="s">
        <v>1675</v>
      </c>
      <c r="E57" s="1015" t="s">
        <v>800</v>
      </c>
      <c r="F57" s="1015" t="s">
        <v>801</v>
      </c>
      <c r="G57" s="1015" t="s">
        <v>966</v>
      </c>
      <c r="H57" s="1017" t="n">
        <v>67923</v>
      </c>
      <c r="I57" s="1015" t="s">
        <v>1630</v>
      </c>
      <c r="J57" s="1015" t="n">
        <v>10</v>
      </c>
      <c r="K57" s="1018" t="n">
        <v>3.6</v>
      </c>
    </row>
    <row r="58" customFormat="false" ht="14.45" hidden="false" customHeight="false" outlineLevel="0" collapsed="false">
      <c r="A58" s="1015" t="s">
        <v>1674</v>
      </c>
      <c r="B58" s="1016" t="n">
        <v>531334</v>
      </c>
      <c r="C58" s="1015" t="s">
        <v>1676</v>
      </c>
      <c r="E58" s="1015" t="s">
        <v>800</v>
      </c>
      <c r="F58" s="1015" t="s">
        <v>801</v>
      </c>
      <c r="G58" s="1015" t="s">
        <v>966</v>
      </c>
      <c r="H58" s="1017" t="n">
        <v>67924</v>
      </c>
      <c r="I58" s="1015" t="s">
        <v>1630</v>
      </c>
      <c r="J58" s="1015" t="n">
        <v>10</v>
      </c>
      <c r="K58" s="1018" t="n">
        <v>3.6</v>
      </c>
    </row>
    <row r="59" customFormat="false" ht="14.45" hidden="false" customHeight="false" outlineLevel="0" collapsed="false">
      <c r="A59" s="1015" t="s">
        <v>978</v>
      </c>
      <c r="B59" s="1016" t="s">
        <v>997</v>
      </c>
      <c r="C59" s="1015" t="s">
        <v>1677</v>
      </c>
      <c r="E59" s="1015" t="s">
        <v>800</v>
      </c>
      <c r="F59" s="1015" t="s">
        <v>801</v>
      </c>
      <c r="G59" s="1015" t="s">
        <v>981</v>
      </c>
      <c r="H59" s="1017" t="n">
        <v>51945</v>
      </c>
      <c r="I59" s="1015" t="s">
        <v>1269</v>
      </c>
      <c r="J59" s="1015" t="n">
        <v>7</v>
      </c>
      <c r="K59" s="1018" t="n">
        <v>7</v>
      </c>
    </row>
    <row r="60" customFormat="false" ht="14.45" hidden="false" customHeight="false" outlineLevel="0" collapsed="false">
      <c r="A60" s="1015" t="s">
        <v>978</v>
      </c>
      <c r="B60" s="1016" t="s">
        <v>1678</v>
      </c>
      <c r="C60" s="1015" t="s">
        <v>1679</v>
      </c>
      <c r="E60" s="1015" t="s">
        <v>800</v>
      </c>
      <c r="F60" s="1015" t="s">
        <v>801</v>
      </c>
      <c r="G60" s="1015" t="s">
        <v>981</v>
      </c>
      <c r="H60" s="1017" t="n">
        <v>52105</v>
      </c>
      <c r="I60" s="1015" t="s">
        <v>1269</v>
      </c>
      <c r="J60" s="1015" t="n">
        <v>20</v>
      </c>
      <c r="K60" s="1018" t="n">
        <v>7</v>
      </c>
    </row>
    <row r="61" customFormat="false" ht="14.45" hidden="false" customHeight="false" outlineLevel="0" collapsed="false">
      <c r="A61" s="1015" t="s">
        <v>978</v>
      </c>
      <c r="B61" s="1016" t="s">
        <v>1680</v>
      </c>
      <c r="C61" s="1015" t="s">
        <v>1681</v>
      </c>
      <c r="E61" s="1015" t="s">
        <v>800</v>
      </c>
      <c r="F61" s="1015" t="s">
        <v>801</v>
      </c>
      <c r="G61" s="1015" t="s">
        <v>981</v>
      </c>
      <c r="H61" s="1017" t="n">
        <v>66709</v>
      </c>
      <c r="I61" s="1015" t="s">
        <v>898</v>
      </c>
      <c r="J61" s="1015" t="n">
        <v>0</v>
      </c>
      <c r="K61" s="1018" t="n">
        <v>0</v>
      </c>
    </row>
    <row r="62" customFormat="false" ht="14.45" hidden="false" customHeight="false" outlineLevel="0" collapsed="false">
      <c r="A62" s="1015" t="s">
        <v>978</v>
      </c>
      <c r="B62" s="1016" t="s">
        <v>1682</v>
      </c>
      <c r="C62" s="1015" t="s">
        <v>1683</v>
      </c>
      <c r="E62" s="1015" t="s">
        <v>800</v>
      </c>
      <c r="F62" s="1015" t="s">
        <v>801</v>
      </c>
      <c r="G62" s="1015" t="s">
        <v>981</v>
      </c>
      <c r="H62" s="1017" t="n">
        <v>66710</v>
      </c>
      <c r="I62" s="1015" t="s">
        <v>898</v>
      </c>
      <c r="J62" s="1015" t="n">
        <v>18</v>
      </c>
      <c r="K62" s="1018" t="n">
        <v>18.2</v>
      </c>
    </row>
    <row r="63" customFormat="false" ht="14.45" hidden="false" customHeight="false" outlineLevel="0" collapsed="false">
      <c r="A63" s="1015" t="s">
        <v>978</v>
      </c>
      <c r="B63" s="1016" t="s">
        <v>1684</v>
      </c>
      <c r="C63" s="1015" t="s">
        <v>1685</v>
      </c>
      <c r="E63" s="1015" t="s">
        <v>800</v>
      </c>
      <c r="F63" s="1015" t="s">
        <v>801</v>
      </c>
      <c r="G63" s="1015" t="s">
        <v>981</v>
      </c>
      <c r="H63" s="1017" t="n">
        <v>66711</v>
      </c>
      <c r="I63" s="1015" t="s">
        <v>898</v>
      </c>
      <c r="J63" s="1015" t="n">
        <v>18</v>
      </c>
      <c r="K63" s="1018" t="n">
        <v>18.2</v>
      </c>
    </row>
    <row r="64" customFormat="false" ht="14.45" hidden="false" customHeight="false" outlineLevel="0" collapsed="false">
      <c r="A64" s="1015" t="s">
        <v>978</v>
      </c>
      <c r="B64" s="1016" t="s">
        <v>1686</v>
      </c>
      <c r="C64" s="1015" t="s">
        <v>1687</v>
      </c>
      <c r="E64" s="1015" t="s">
        <v>800</v>
      </c>
      <c r="F64" s="1015" t="s">
        <v>801</v>
      </c>
      <c r="G64" s="1015" t="s">
        <v>981</v>
      </c>
      <c r="H64" s="1017" t="n">
        <v>66712</v>
      </c>
      <c r="I64" s="1015" t="s">
        <v>898</v>
      </c>
      <c r="J64" s="1015" t="n">
        <v>18</v>
      </c>
      <c r="K64" s="1018" t="n">
        <v>18.2</v>
      </c>
    </row>
    <row r="65" customFormat="false" ht="14.45" hidden="false" customHeight="false" outlineLevel="0" collapsed="false">
      <c r="A65" s="1015" t="s">
        <v>978</v>
      </c>
      <c r="B65" s="1016" t="s">
        <v>1688</v>
      </c>
      <c r="C65" s="1015" t="s">
        <v>1676</v>
      </c>
      <c r="E65" s="1015" t="s">
        <v>800</v>
      </c>
      <c r="F65" s="1015" t="s">
        <v>801</v>
      </c>
      <c r="G65" s="1015" t="s">
        <v>981</v>
      </c>
      <c r="H65" s="1017" t="n">
        <v>66713</v>
      </c>
      <c r="I65" s="1015" t="s">
        <v>898</v>
      </c>
      <c r="J65" s="1015" t="n">
        <v>18</v>
      </c>
      <c r="K65" s="1018" t="n">
        <v>6.1</v>
      </c>
    </row>
    <row r="66" customFormat="false" ht="14.45" hidden="false" customHeight="false" outlineLevel="0" collapsed="false">
      <c r="A66" s="1015" t="s">
        <v>978</v>
      </c>
      <c r="B66" s="1016" t="s">
        <v>1689</v>
      </c>
      <c r="C66" s="1015" t="s">
        <v>1690</v>
      </c>
      <c r="E66" s="1015" t="s">
        <v>800</v>
      </c>
      <c r="F66" s="1015" t="s">
        <v>801</v>
      </c>
      <c r="G66" s="1015" t="s">
        <v>981</v>
      </c>
      <c r="H66" s="1017" t="n">
        <v>67891</v>
      </c>
      <c r="I66" s="1015" t="s">
        <v>898</v>
      </c>
      <c r="J66" s="1015" t="n">
        <v>7</v>
      </c>
      <c r="K66" s="1018" t="n">
        <v>7</v>
      </c>
    </row>
    <row r="67" customFormat="false" ht="14.45" hidden="false" customHeight="false" outlineLevel="0" collapsed="false">
      <c r="A67" s="1015" t="s">
        <v>978</v>
      </c>
      <c r="B67" s="1016" t="s">
        <v>1691</v>
      </c>
      <c r="C67" s="1015" t="s">
        <v>1692</v>
      </c>
      <c r="E67" s="1015" t="s">
        <v>800</v>
      </c>
      <c r="F67" s="1015" t="s">
        <v>801</v>
      </c>
      <c r="G67" s="1015" t="s">
        <v>981</v>
      </c>
      <c r="H67" s="1017" t="n">
        <v>67892</v>
      </c>
      <c r="I67" s="1015" t="s">
        <v>898</v>
      </c>
      <c r="J67" s="1015" t="n">
        <v>7</v>
      </c>
      <c r="K67" s="1018" t="n">
        <v>7</v>
      </c>
    </row>
    <row r="68" customFormat="false" ht="14.45" hidden="false" customHeight="false" outlineLevel="0" collapsed="false">
      <c r="A68" s="1015" t="s">
        <v>978</v>
      </c>
      <c r="B68" s="1016" t="s">
        <v>1693</v>
      </c>
      <c r="C68" s="1015" t="s">
        <v>1694</v>
      </c>
      <c r="E68" s="1015" t="s">
        <v>800</v>
      </c>
      <c r="F68" s="1015" t="s">
        <v>801</v>
      </c>
      <c r="G68" s="1015" t="s">
        <v>981</v>
      </c>
      <c r="H68" s="1017" t="n">
        <v>67893</v>
      </c>
      <c r="I68" s="1015" t="s">
        <v>898</v>
      </c>
      <c r="J68" s="1015" t="n">
        <v>4</v>
      </c>
      <c r="K68" s="1018" t="n">
        <v>4</v>
      </c>
    </row>
    <row r="69" customFormat="false" ht="14.45" hidden="false" customHeight="false" outlineLevel="0" collapsed="false">
      <c r="A69" s="1015" t="s">
        <v>978</v>
      </c>
      <c r="B69" s="1016" t="s">
        <v>1695</v>
      </c>
      <c r="C69" s="1015" t="s">
        <v>1696</v>
      </c>
      <c r="D69" s="1015" t="s">
        <v>999</v>
      </c>
      <c r="E69" s="1015" t="s">
        <v>800</v>
      </c>
      <c r="F69" s="1015" t="s">
        <v>801</v>
      </c>
      <c r="G69" s="1015" t="s">
        <v>981</v>
      </c>
      <c r="H69" s="1017" t="n">
        <v>67894</v>
      </c>
      <c r="I69" s="1015" t="s">
        <v>898</v>
      </c>
      <c r="J69" s="1015" t="n">
        <v>4</v>
      </c>
      <c r="K69" s="1018" t="n">
        <v>4</v>
      </c>
    </row>
    <row r="70" customFormat="false" ht="14.45" hidden="false" customHeight="false" outlineLevel="0" collapsed="false">
      <c r="A70" s="1015" t="s">
        <v>1674</v>
      </c>
      <c r="B70" s="1016" t="n">
        <v>510509</v>
      </c>
      <c r="C70" s="1015" t="s">
        <v>824</v>
      </c>
      <c r="D70" s="1015" t="s">
        <v>999</v>
      </c>
      <c r="E70" s="1015" t="s">
        <v>800</v>
      </c>
      <c r="F70" s="1015" t="s">
        <v>826</v>
      </c>
      <c r="G70" s="1015" t="s">
        <v>1000</v>
      </c>
      <c r="H70" s="1017" t="n">
        <v>52888</v>
      </c>
      <c r="I70" s="1015" t="s">
        <v>898</v>
      </c>
      <c r="J70" s="1015" t="n">
        <v>70</v>
      </c>
      <c r="K70" s="1018" t="n">
        <v>10.5</v>
      </c>
    </row>
    <row r="71" customFormat="false" ht="14.45" hidden="false" customHeight="false" outlineLevel="0" collapsed="false">
      <c r="A71" s="1015" t="s">
        <v>1674</v>
      </c>
      <c r="B71" s="1016" t="n">
        <v>510510</v>
      </c>
      <c r="C71" s="1015" t="s">
        <v>829</v>
      </c>
      <c r="D71" s="1015" t="s">
        <v>999</v>
      </c>
      <c r="E71" s="1015" t="s">
        <v>800</v>
      </c>
      <c r="F71" s="1015" t="s">
        <v>826</v>
      </c>
      <c r="G71" s="1015" t="s">
        <v>1000</v>
      </c>
      <c r="H71" s="1017" t="n">
        <v>52889</v>
      </c>
      <c r="I71" s="1015" t="s">
        <v>898</v>
      </c>
      <c r="J71" s="1015" t="n">
        <v>70</v>
      </c>
      <c r="K71" s="1018" t="n">
        <v>10.5</v>
      </c>
    </row>
    <row r="72" customFormat="false" ht="14.45" hidden="false" customHeight="false" outlineLevel="0" collapsed="false">
      <c r="A72" s="1015" t="s">
        <v>1674</v>
      </c>
      <c r="B72" s="1016" t="n">
        <v>510511</v>
      </c>
      <c r="C72" s="1015" t="s">
        <v>830</v>
      </c>
      <c r="D72" s="1015" t="s">
        <v>999</v>
      </c>
      <c r="E72" s="1015" t="s">
        <v>800</v>
      </c>
      <c r="F72" s="1015" t="s">
        <v>826</v>
      </c>
      <c r="G72" s="1015" t="s">
        <v>1000</v>
      </c>
      <c r="H72" s="1017" t="n">
        <v>52890</v>
      </c>
      <c r="I72" s="1015" t="s">
        <v>898</v>
      </c>
      <c r="J72" s="1015" t="n">
        <v>70</v>
      </c>
      <c r="K72" s="1018" t="n">
        <v>10.5</v>
      </c>
    </row>
    <row r="73" customFormat="false" ht="14.45" hidden="false" customHeight="false" outlineLevel="0" collapsed="false">
      <c r="A73" s="1015" t="s">
        <v>1674</v>
      </c>
      <c r="B73" s="1016" t="n">
        <v>510512</v>
      </c>
      <c r="C73" s="1015" t="s">
        <v>842</v>
      </c>
      <c r="D73" s="1015" t="s">
        <v>999</v>
      </c>
      <c r="E73" s="1015" t="s">
        <v>800</v>
      </c>
      <c r="F73" s="1015" t="s">
        <v>801</v>
      </c>
      <c r="G73" s="1015" t="s">
        <v>1000</v>
      </c>
      <c r="H73" s="1017" t="n">
        <v>52891</v>
      </c>
      <c r="I73" s="1015" t="s">
        <v>898</v>
      </c>
      <c r="J73" s="1015" t="n">
        <v>100</v>
      </c>
      <c r="K73" s="1018" t="n">
        <v>19</v>
      </c>
      <c r="L73" s="1018" t="n">
        <v>19</v>
      </c>
    </row>
    <row r="74" customFormat="false" ht="14.45" hidden="false" customHeight="false" outlineLevel="0" collapsed="false">
      <c r="A74" s="1015" t="s">
        <v>1674</v>
      </c>
      <c r="B74" s="1016" t="n">
        <v>510513</v>
      </c>
      <c r="C74" s="1015" t="s">
        <v>845</v>
      </c>
      <c r="D74" s="1015" t="s">
        <v>999</v>
      </c>
      <c r="E74" s="1015" t="s">
        <v>800</v>
      </c>
      <c r="F74" s="1015" t="s">
        <v>801</v>
      </c>
      <c r="G74" s="1015" t="s">
        <v>1000</v>
      </c>
      <c r="H74" s="1017" t="n">
        <v>52892</v>
      </c>
      <c r="I74" s="1015" t="s">
        <v>898</v>
      </c>
      <c r="J74" s="1015" t="n">
        <v>100</v>
      </c>
      <c r="K74" s="1018" t="n">
        <v>15.75</v>
      </c>
      <c r="L74" s="1018" t="n">
        <v>15.75</v>
      </c>
    </row>
    <row r="75" customFormat="false" ht="14.45" hidden="false" customHeight="false" outlineLevel="0" collapsed="false">
      <c r="A75" s="1015" t="s">
        <v>1674</v>
      </c>
      <c r="B75" s="1016" t="n">
        <v>510514</v>
      </c>
      <c r="C75" s="1015" t="s">
        <v>846</v>
      </c>
      <c r="D75" s="1015" t="s">
        <v>999</v>
      </c>
      <c r="E75" s="1015" t="s">
        <v>800</v>
      </c>
      <c r="F75" s="1015" t="s">
        <v>801</v>
      </c>
      <c r="G75" s="1015" t="s">
        <v>1000</v>
      </c>
      <c r="H75" s="1017" t="n">
        <v>52893</v>
      </c>
      <c r="I75" s="1015" t="s">
        <v>1269</v>
      </c>
      <c r="J75" s="1015" t="n">
        <v>100</v>
      </c>
      <c r="K75" s="1018" t="n">
        <v>15</v>
      </c>
      <c r="L75" s="1018" t="n">
        <v>15</v>
      </c>
    </row>
    <row r="76" customFormat="false" ht="14.45" hidden="false" customHeight="false" outlineLevel="0" collapsed="false">
      <c r="A76" s="1015" t="s">
        <v>1674</v>
      </c>
      <c r="B76" s="1016" t="n">
        <v>119701</v>
      </c>
      <c r="C76" s="1015" t="s">
        <v>1697</v>
      </c>
      <c r="D76" s="1015" t="s">
        <v>1008</v>
      </c>
      <c r="E76" s="1015" t="s">
        <v>800</v>
      </c>
      <c r="F76" s="1015" t="s">
        <v>801</v>
      </c>
      <c r="G76" s="1015" t="s">
        <v>1009</v>
      </c>
      <c r="H76" s="1017" t="n">
        <v>51884</v>
      </c>
      <c r="I76" s="1015" t="s">
        <v>1269</v>
      </c>
      <c r="J76" s="1015" t="n">
        <v>85</v>
      </c>
      <c r="K76" s="1018" t="n">
        <v>9.85</v>
      </c>
      <c r="L76" s="1018" t="n">
        <v>8.94</v>
      </c>
    </row>
    <row r="77" customFormat="false" ht="14.45" hidden="false" customHeight="false" outlineLevel="0" collapsed="false">
      <c r="A77" s="1015" t="s">
        <v>1674</v>
      </c>
      <c r="B77" s="1016" t="n">
        <v>119702</v>
      </c>
      <c r="C77" s="1015" t="s">
        <v>1698</v>
      </c>
      <c r="D77" s="1015" t="s">
        <v>1008</v>
      </c>
      <c r="E77" s="1015" t="s">
        <v>800</v>
      </c>
      <c r="F77" s="1015" t="s">
        <v>801</v>
      </c>
      <c r="G77" s="1015" t="s">
        <v>1009</v>
      </c>
      <c r="H77" s="1017" t="n">
        <v>51885</v>
      </c>
      <c r="I77" s="1015" t="s">
        <v>1269</v>
      </c>
      <c r="J77" s="1015" t="n">
        <v>85</v>
      </c>
      <c r="K77" s="1018" t="n">
        <v>9.85</v>
      </c>
      <c r="L77" s="1018" t="n">
        <v>8.94</v>
      </c>
    </row>
    <row r="78" customFormat="false" ht="14.45" hidden="false" customHeight="false" outlineLevel="0" collapsed="false">
      <c r="A78" s="1015" t="s">
        <v>1674</v>
      </c>
      <c r="B78" s="1016" t="n">
        <v>119703</v>
      </c>
      <c r="C78" s="1015" t="s">
        <v>1699</v>
      </c>
      <c r="D78" s="1015" t="s">
        <v>1008</v>
      </c>
      <c r="E78" s="1015" t="s">
        <v>800</v>
      </c>
      <c r="F78" s="1015" t="s">
        <v>801</v>
      </c>
      <c r="G78" s="1015" t="s">
        <v>1009</v>
      </c>
      <c r="H78" s="1017" t="n">
        <v>51886</v>
      </c>
      <c r="I78" s="1015" t="s">
        <v>1269</v>
      </c>
      <c r="J78" s="1015" t="n">
        <v>85</v>
      </c>
      <c r="K78" s="1018" t="n">
        <v>9.85</v>
      </c>
      <c r="L78" s="1018" t="n">
        <v>8.94</v>
      </c>
    </row>
    <row r="79" customFormat="false" ht="14.45" hidden="false" customHeight="false" outlineLevel="0" collapsed="false">
      <c r="A79" s="1015" t="s">
        <v>1674</v>
      </c>
      <c r="B79" s="1016" t="n">
        <v>119705</v>
      </c>
      <c r="C79" s="1015" t="s">
        <v>1700</v>
      </c>
      <c r="D79" s="1015" t="s">
        <v>1008</v>
      </c>
      <c r="E79" s="1015" t="s">
        <v>800</v>
      </c>
      <c r="F79" s="1015" t="s">
        <v>801</v>
      </c>
      <c r="G79" s="1015" t="s">
        <v>1009</v>
      </c>
      <c r="H79" s="1017" t="n">
        <v>51887</v>
      </c>
      <c r="I79" s="1015" t="s">
        <v>1269</v>
      </c>
      <c r="J79" s="1015" t="n">
        <v>85</v>
      </c>
      <c r="K79" s="1018" t="n">
        <v>9.85</v>
      </c>
      <c r="L79" s="1018" t="n">
        <v>8.94</v>
      </c>
    </row>
    <row r="80" customFormat="false" ht="14.45" hidden="false" customHeight="false" outlineLevel="0" collapsed="false">
      <c r="A80" s="1015" t="s">
        <v>1674</v>
      </c>
      <c r="B80" s="1016" t="n">
        <v>119704</v>
      </c>
      <c r="C80" s="1015" t="s">
        <v>1701</v>
      </c>
      <c r="D80" s="1015" t="s">
        <v>1015</v>
      </c>
      <c r="E80" s="1015" t="s">
        <v>800</v>
      </c>
      <c r="F80" s="1015" t="s">
        <v>801</v>
      </c>
      <c r="G80" s="1015" t="s">
        <v>1009</v>
      </c>
      <c r="H80" s="1017" t="n">
        <v>51888</v>
      </c>
      <c r="I80" s="1015" t="s">
        <v>1269</v>
      </c>
      <c r="J80" s="1015" t="n">
        <v>85</v>
      </c>
      <c r="K80" s="1018" t="n">
        <v>9.85</v>
      </c>
      <c r="L80" s="1018" t="n">
        <v>8.94</v>
      </c>
    </row>
    <row r="81" customFormat="false" ht="14.45" hidden="false" customHeight="false" outlineLevel="0" collapsed="false">
      <c r="A81" s="1015" t="s">
        <v>1674</v>
      </c>
      <c r="B81" s="1016" t="n">
        <v>510544</v>
      </c>
      <c r="C81" s="1015" t="s">
        <v>1702</v>
      </c>
      <c r="D81" s="1015" t="s">
        <v>884</v>
      </c>
      <c r="E81" s="1015" t="s">
        <v>800</v>
      </c>
      <c r="F81" s="1015" t="s">
        <v>826</v>
      </c>
      <c r="G81" s="1015" t="s">
        <v>1009</v>
      </c>
      <c r="H81" s="1017" t="n">
        <v>51889</v>
      </c>
      <c r="I81" s="1015" t="s">
        <v>898</v>
      </c>
      <c r="J81" s="1015" t="n">
        <v>70</v>
      </c>
      <c r="K81" s="1018" t="n">
        <v>12.5</v>
      </c>
    </row>
    <row r="82" customFormat="false" ht="14.45" hidden="false" customHeight="false" outlineLevel="0" collapsed="false">
      <c r="A82" s="1015" t="s">
        <v>1674</v>
      </c>
      <c r="B82" s="1016" t="n">
        <v>510545</v>
      </c>
      <c r="C82" s="1015" t="s">
        <v>1703</v>
      </c>
      <c r="D82" s="1015" t="s">
        <v>884</v>
      </c>
      <c r="E82" s="1015" t="s">
        <v>800</v>
      </c>
      <c r="F82" s="1015" t="s">
        <v>826</v>
      </c>
      <c r="G82" s="1015" t="s">
        <v>1009</v>
      </c>
      <c r="H82" s="1017" t="n">
        <v>51890</v>
      </c>
      <c r="I82" s="1015" t="s">
        <v>898</v>
      </c>
      <c r="J82" s="1015" t="n">
        <v>70</v>
      </c>
      <c r="K82" s="1018" t="n">
        <v>12.5</v>
      </c>
    </row>
    <row r="83" customFormat="false" ht="14.45" hidden="false" customHeight="false" outlineLevel="0" collapsed="false">
      <c r="A83" s="1015" t="s">
        <v>1674</v>
      </c>
      <c r="B83" s="1016" t="n">
        <v>119758</v>
      </c>
      <c r="C83" s="1015" t="s">
        <v>1704</v>
      </c>
      <c r="D83" s="1015" t="s">
        <v>1018</v>
      </c>
      <c r="E83" s="1015" t="s">
        <v>800</v>
      </c>
      <c r="F83" s="1015" t="s">
        <v>801</v>
      </c>
      <c r="G83" s="1015" t="s">
        <v>1009</v>
      </c>
      <c r="H83" s="1017" t="n">
        <v>51903</v>
      </c>
      <c r="I83" s="1015" t="s">
        <v>898</v>
      </c>
      <c r="J83" s="1015" t="n">
        <v>8</v>
      </c>
      <c r="K83" s="1018" t="n">
        <v>1.9</v>
      </c>
    </row>
    <row r="84" customFormat="false" ht="14.45" hidden="false" customHeight="false" outlineLevel="0" collapsed="false">
      <c r="A84" s="1015" t="s">
        <v>851</v>
      </c>
      <c r="B84" s="1016" t="s">
        <v>1329</v>
      </c>
      <c r="C84" s="1015" t="s">
        <v>1705</v>
      </c>
      <c r="D84" s="1015" t="s">
        <v>1055</v>
      </c>
      <c r="E84" s="1015" t="s">
        <v>800</v>
      </c>
      <c r="F84" s="1015" t="s">
        <v>801</v>
      </c>
      <c r="G84" s="1015" t="s">
        <v>1024</v>
      </c>
      <c r="H84" s="1017" t="n">
        <v>51374</v>
      </c>
      <c r="I84" s="1015" t="s">
        <v>1269</v>
      </c>
      <c r="J84" s="1015" t="n">
        <v>67</v>
      </c>
      <c r="K84" s="1018" t="n">
        <v>12.5</v>
      </c>
    </row>
    <row r="85" customFormat="false" ht="14.45" hidden="false" customHeight="false" outlineLevel="0" collapsed="false">
      <c r="A85" s="1015" t="s">
        <v>929</v>
      </c>
      <c r="B85" s="1016" t="s">
        <v>1036</v>
      </c>
      <c r="C85" s="1015" t="s">
        <v>1706</v>
      </c>
      <c r="D85" s="1015" t="s">
        <v>837</v>
      </c>
      <c r="E85" s="1015" t="s">
        <v>800</v>
      </c>
      <c r="F85" s="1015" t="s">
        <v>826</v>
      </c>
      <c r="G85" s="1015" t="s">
        <v>1024</v>
      </c>
      <c r="H85" s="1017" t="n">
        <v>51464</v>
      </c>
      <c r="I85" s="1015" t="s">
        <v>1269</v>
      </c>
      <c r="J85" s="1015" t="n">
        <v>60</v>
      </c>
      <c r="K85" s="1018" t="n">
        <v>12.5</v>
      </c>
    </row>
    <row r="86" customFormat="false" ht="14.45" hidden="false" customHeight="false" outlineLevel="0" collapsed="false">
      <c r="A86" s="1015" t="s">
        <v>929</v>
      </c>
      <c r="B86" s="1016" t="s">
        <v>1038</v>
      </c>
      <c r="C86" s="1015" t="s">
        <v>1707</v>
      </c>
      <c r="D86" s="1015" t="s">
        <v>837</v>
      </c>
      <c r="E86" s="1015" t="s">
        <v>800</v>
      </c>
      <c r="F86" s="1015" t="s">
        <v>826</v>
      </c>
      <c r="G86" s="1015" t="s">
        <v>1024</v>
      </c>
      <c r="H86" s="1017" t="n">
        <v>51465</v>
      </c>
      <c r="I86" s="1015" t="s">
        <v>1269</v>
      </c>
      <c r="J86" s="1015" t="n">
        <v>60</v>
      </c>
      <c r="K86" s="1018" t="n">
        <v>12.5</v>
      </c>
    </row>
    <row r="87" customFormat="false" ht="14.45" hidden="false" customHeight="false" outlineLevel="0" collapsed="false">
      <c r="A87" s="1015" t="s">
        <v>929</v>
      </c>
      <c r="B87" s="1016" t="s">
        <v>1023</v>
      </c>
      <c r="C87" s="1015" t="s">
        <v>1669</v>
      </c>
      <c r="D87" s="1015" t="s">
        <v>837</v>
      </c>
      <c r="E87" s="1015" t="s">
        <v>800</v>
      </c>
      <c r="F87" s="1015" t="s">
        <v>826</v>
      </c>
      <c r="G87" s="1015" t="s">
        <v>1024</v>
      </c>
      <c r="H87" s="1017" t="n">
        <v>51466</v>
      </c>
      <c r="I87" s="1015" t="s">
        <v>1269</v>
      </c>
      <c r="J87" s="1015" t="n">
        <v>60</v>
      </c>
      <c r="K87" s="1018" t="n">
        <v>12.5</v>
      </c>
    </row>
    <row r="88" customFormat="false" ht="14.45" hidden="false" customHeight="false" outlineLevel="0" collapsed="false">
      <c r="A88" s="1015" t="s">
        <v>929</v>
      </c>
      <c r="B88" s="1016" t="s">
        <v>1026</v>
      </c>
      <c r="C88" s="1015" t="s">
        <v>1708</v>
      </c>
      <c r="D88" s="1015" t="s">
        <v>837</v>
      </c>
      <c r="E88" s="1015" t="s">
        <v>800</v>
      </c>
      <c r="F88" s="1015" t="s">
        <v>826</v>
      </c>
      <c r="G88" s="1015" t="s">
        <v>1024</v>
      </c>
      <c r="H88" s="1017" t="n">
        <v>51467</v>
      </c>
      <c r="I88" s="1015" t="s">
        <v>1269</v>
      </c>
      <c r="J88" s="1015" t="n">
        <v>60</v>
      </c>
      <c r="K88" s="1018" t="n">
        <v>12.5</v>
      </c>
    </row>
    <row r="89" customFormat="false" ht="14.45" hidden="false" customHeight="false" outlineLevel="0" collapsed="false">
      <c r="A89" s="1015" t="s">
        <v>929</v>
      </c>
      <c r="B89" s="1016" t="s">
        <v>1035</v>
      </c>
      <c r="C89" s="1015" t="s">
        <v>1709</v>
      </c>
      <c r="D89" s="1015" t="s">
        <v>837</v>
      </c>
      <c r="E89" s="1015" t="s">
        <v>800</v>
      </c>
      <c r="F89" s="1015" t="s">
        <v>826</v>
      </c>
      <c r="G89" s="1015" t="s">
        <v>1024</v>
      </c>
      <c r="H89" s="1017" t="n">
        <v>51469</v>
      </c>
      <c r="I89" s="1015" t="s">
        <v>1269</v>
      </c>
      <c r="J89" s="1015" t="n">
        <v>60</v>
      </c>
      <c r="K89" s="1018" t="n">
        <v>12.5</v>
      </c>
    </row>
    <row r="90" customFormat="false" ht="14.45" hidden="false" customHeight="false" outlineLevel="0" collapsed="false">
      <c r="A90" s="1015" t="s">
        <v>929</v>
      </c>
      <c r="B90" s="1016" t="s">
        <v>1032</v>
      </c>
      <c r="C90" s="1015" t="s">
        <v>1710</v>
      </c>
      <c r="D90" s="1015" t="s">
        <v>1034</v>
      </c>
      <c r="E90" s="1015" t="s">
        <v>800</v>
      </c>
      <c r="F90" s="1015" t="s">
        <v>801</v>
      </c>
      <c r="G90" s="1015" t="s">
        <v>1024</v>
      </c>
      <c r="H90" s="1017" t="n">
        <v>51470</v>
      </c>
      <c r="I90" s="1015" t="s">
        <v>1269</v>
      </c>
      <c r="J90" s="1015" t="n">
        <v>60</v>
      </c>
      <c r="K90" s="1018" t="n">
        <v>27</v>
      </c>
    </row>
    <row r="91" customFormat="false" ht="14.45" hidden="false" customHeight="false" outlineLevel="0" collapsed="false">
      <c r="A91" s="1015" t="s">
        <v>1624</v>
      </c>
      <c r="B91" s="1016" t="s">
        <v>1711</v>
      </c>
      <c r="C91" s="1015" t="s">
        <v>849</v>
      </c>
      <c r="D91" s="1015" t="s">
        <v>999</v>
      </c>
      <c r="E91" s="1015" t="s">
        <v>800</v>
      </c>
      <c r="F91" s="1015" t="s">
        <v>838</v>
      </c>
      <c r="G91" s="1015" t="s">
        <v>1024</v>
      </c>
      <c r="H91" s="1017" t="n">
        <v>67442</v>
      </c>
      <c r="I91" s="1015" t="s">
        <v>1630</v>
      </c>
      <c r="J91" s="1015" t="n">
        <v>75.6</v>
      </c>
      <c r="K91" s="1018" t="n">
        <v>3.2</v>
      </c>
    </row>
    <row r="92" customFormat="false" ht="14.45" hidden="false" customHeight="false" outlineLevel="0" collapsed="false">
      <c r="A92" s="1015" t="s">
        <v>978</v>
      </c>
      <c r="B92" s="1016" t="s">
        <v>1712</v>
      </c>
      <c r="C92" s="1015" t="s">
        <v>834</v>
      </c>
      <c r="D92" s="1015" t="s">
        <v>1713</v>
      </c>
      <c r="E92" s="1015" t="s">
        <v>800</v>
      </c>
      <c r="F92" s="1015" t="s">
        <v>826</v>
      </c>
      <c r="G92" s="1015" t="s">
        <v>1024</v>
      </c>
      <c r="H92" s="1017" t="n">
        <v>67477</v>
      </c>
      <c r="I92" s="1015" t="s">
        <v>1630</v>
      </c>
      <c r="J92" s="1015" t="n">
        <v>78</v>
      </c>
      <c r="K92" s="1018" t="n">
        <v>3.2</v>
      </c>
    </row>
    <row r="93" customFormat="false" ht="14.45" hidden="false" customHeight="false" outlineLevel="0" collapsed="false">
      <c r="A93" s="1015" t="s">
        <v>929</v>
      </c>
      <c r="B93" s="1016" t="s">
        <v>1714</v>
      </c>
      <c r="C93" s="1015" t="s">
        <v>1715</v>
      </c>
      <c r="E93" s="1015" t="s">
        <v>800</v>
      </c>
      <c r="F93" s="1015" t="s">
        <v>826</v>
      </c>
      <c r="G93" s="1015" t="s">
        <v>1024</v>
      </c>
      <c r="H93" s="1017" t="n">
        <v>67633</v>
      </c>
      <c r="I93" s="1015" t="s">
        <v>1269</v>
      </c>
      <c r="J93" s="1015" t="n">
        <v>80</v>
      </c>
      <c r="K93" s="1018" t="n">
        <v>12.5</v>
      </c>
    </row>
    <row r="94" customFormat="false" ht="14.45" hidden="false" customHeight="false" outlineLevel="0" collapsed="false">
      <c r="A94" s="1015" t="s">
        <v>929</v>
      </c>
      <c r="B94" s="1016" t="s">
        <v>1716</v>
      </c>
      <c r="C94" s="1015" t="s">
        <v>1717</v>
      </c>
      <c r="E94" s="1015" t="s">
        <v>800</v>
      </c>
      <c r="F94" s="1015" t="s">
        <v>826</v>
      </c>
      <c r="G94" s="1015" t="s">
        <v>1024</v>
      </c>
      <c r="H94" s="1017" t="n">
        <v>67637</v>
      </c>
      <c r="I94" s="1015" t="s">
        <v>1269</v>
      </c>
      <c r="J94" s="1015" t="n">
        <v>80</v>
      </c>
      <c r="K94" s="1018" t="n">
        <v>12.5</v>
      </c>
    </row>
    <row r="95" customFormat="false" ht="14.45" hidden="false" customHeight="false" outlineLevel="0" collapsed="false">
      <c r="A95" s="1015" t="s">
        <v>929</v>
      </c>
      <c r="B95" s="1016" t="s">
        <v>1718</v>
      </c>
      <c r="C95" s="1015" t="s">
        <v>1719</v>
      </c>
      <c r="E95" s="1015" t="s">
        <v>800</v>
      </c>
      <c r="F95" s="1015" t="s">
        <v>826</v>
      </c>
      <c r="G95" s="1015" t="s">
        <v>1024</v>
      </c>
      <c r="H95" s="1017" t="n">
        <v>67638</v>
      </c>
      <c r="I95" s="1015" t="s">
        <v>1269</v>
      </c>
      <c r="J95" s="1015" t="n">
        <v>80</v>
      </c>
      <c r="K95" s="1018" t="n">
        <v>12.5</v>
      </c>
    </row>
    <row r="96" customFormat="false" ht="14.45" hidden="false" customHeight="false" outlineLevel="0" collapsed="false">
      <c r="A96" s="1015" t="s">
        <v>929</v>
      </c>
      <c r="B96" s="1016" t="s">
        <v>1720</v>
      </c>
      <c r="C96" s="1015" t="s">
        <v>1721</v>
      </c>
      <c r="D96" s="1015" t="s">
        <v>999</v>
      </c>
      <c r="E96" s="1015" t="s">
        <v>800</v>
      </c>
      <c r="F96" s="1015" t="s">
        <v>826</v>
      </c>
      <c r="G96" s="1015" t="s">
        <v>1024</v>
      </c>
      <c r="H96" s="1017" t="n">
        <v>67642</v>
      </c>
      <c r="I96" s="1015" t="s">
        <v>1269</v>
      </c>
      <c r="J96" s="1015" t="n">
        <v>60</v>
      </c>
      <c r="K96" s="1018" t="n">
        <v>12.5</v>
      </c>
    </row>
    <row r="97" customFormat="false" ht="14.45" hidden="false" customHeight="false" outlineLevel="0" collapsed="false">
      <c r="A97" s="1015" t="s">
        <v>1039</v>
      </c>
      <c r="B97" s="1016" t="s">
        <v>1722</v>
      </c>
      <c r="C97" s="1015" t="s">
        <v>1723</v>
      </c>
      <c r="D97" s="1015" t="s">
        <v>999</v>
      </c>
      <c r="E97" s="1015" t="s">
        <v>800</v>
      </c>
      <c r="F97" s="1015" t="s">
        <v>801</v>
      </c>
      <c r="G97" s="1015" t="s">
        <v>1042</v>
      </c>
      <c r="H97" s="1017" t="n">
        <v>70303</v>
      </c>
      <c r="I97" s="1015" t="s">
        <v>1630</v>
      </c>
      <c r="J97" s="1015" t="n">
        <v>25</v>
      </c>
      <c r="K97" s="1018" t="n">
        <v>6.8</v>
      </c>
    </row>
    <row r="98" customFormat="false" ht="14.45" hidden="false" customHeight="false" outlineLevel="0" collapsed="false">
      <c r="A98" s="1015" t="s">
        <v>1039</v>
      </c>
      <c r="B98" s="1016" t="s">
        <v>1724</v>
      </c>
      <c r="C98" s="1015" t="s">
        <v>1725</v>
      </c>
      <c r="D98" s="1015" t="s">
        <v>999</v>
      </c>
      <c r="E98" s="1015" t="s">
        <v>800</v>
      </c>
      <c r="F98" s="1015" t="s">
        <v>801</v>
      </c>
      <c r="G98" s="1015" t="s">
        <v>1042</v>
      </c>
      <c r="H98" s="1017" t="n">
        <v>70304</v>
      </c>
      <c r="I98" s="1015" t="s">
        <v>1630</v>
      </c>
      <c r="J98" s="1015" t="n">
        <v>25</v>
      </c>
      <c r="K98" s="1018" t="n">
        <v>6.8</v>
      </c>
    </row>
    <row r="99" customFormat="false" ht="14.45" hidden="false" customHeight="false" outlineLevel="0" collapsed="false">
      <c r="A99" s="1015" t="s">
        <v>1039</v>
      </c>
      <c r="B99" s="1016" t="s">
        <v>1726</v>
      </c>
      <c r="C99" s="1015" t="s">
        <v>1727</v>
      </c>
      <c r="D99" s="1015" t="s">
        <v>999</v>
      </c>
      <c r="E99" s="1015" t="s">
        <v>800</v>
      </c>
      <c r="F99" s="1015" t="s">
        <v>801</v>
      </c>
      <c r="G99" s="1015" t="s">
        <v>1042</v>
      </c>
      <c r="H99" s="1017" t="n">
        <v>70305</v>
      </c>
      <c r="I99" s="1015" t="s">
        <v>1630</v>
      </c>
      <c r="J99" s="1015" t="n">
        <v>25</v>
      </c>
      <c r="K99" s="1018" t="n">
        <v>6.8</v>
      </c>
    </row>
    <row r="100" customFormat="false" ht="14.45" hidden="false" customHeight="false" outlineLevel="0" collapsed="false">
      <c r="A100" s="1015" t="s">
        <v>1728</v>
      </c>
      <c r="B100" s="1016" t="n">
        <v>957807</v>
      </c>
      <c r="C100" s="1015" t="s">
        <v>1729</v>
      </c>
      <c r="D100" s="1015" t="s">
        <v>1018</v>
      </c>
      <c r="E100" s="1015" t="s">
        <v>800</v>
      </c>
      <c r="F100" s="1015" t="s">
        <v>801</v>
      </c>
      <c r="G100" s="1015" t="s">
        <v>1051</v>
      </c>
      <c r="H100" s="1017" t="n">
        <v>59188</v>
      </c>
      <c r="I100" s="1015" t="s">
        <v>898</v>
      </c>
      <c r="J100" s="1015" t="n">
        <v>3</v>
      </c>
      <c r="K100" s="1018" t="n">
        <v>1</v>
      </c>
    </row>
    <row r="101" customFormat="false" ht="14.45" hidden="false" customHeight="false" outlineLevel="0" collapsed="false">
      <c r="A101" s="1015" t="s">
        <v>1728</v>
      </c>
      <c r="B101" s="1016" t="s">
        <v>1053</v>
      </c>
      <c r="C101" s="1015" t="s">
        <v>1730</v>
      </c>
      <c r="D101" s="1015" t="s">
        <v>1055</v>
      </c>
      <c r="E101" s="1015" t="s">
        <v>800</v>
      </c>
      <c r="F101" s="1015" t="s">
        <v>801</v>
      </c>
      <c r="G101" s="1015" t="s">
        <v>1051</v>
      </c>
      <c r="H101" s="1017" t="n">
        <v>60433</v>
      </c>
      <c r="I101" s="1015" t="s">
        <v>898</v>
      </c>
      <c r="J101" s="1015" t="n">
        <v>81.8</v>
      </c>
      <c r="K101" s="1018" t="n">
        <v>23.5</v>
      </c>
      <c r="L101" s="1018" t="n">
        <v>24.6</v>
      </c>
    </row>
    <row r="102" customFormat="false" ht="14.45" hidden="false" customHeight="false" outlineLevel="0" collapsed="false">
      <c r="A102" s="1015" t="s">
        <v>1728</v>
      </c>
      <c r="B102" s="1016" t="s">
        <v>1057</v>
      </c>
      <c r="C102" s="1015" t="s">
        <v>1731</v>
      </c>
      <c r="D102" s="1015" t="s">
        <v>1055</v>
      </c>
      <c r="E102" s="1015" t="s">
        <v>800</v>
      </c>
      <c r="F102" s="1015" t="s">
        <v>801</v>
      </c>
      <c r="G102" s="1015" t="s">
        <v>1051</v>
      </c>
      <c r="H102" s="1017" t="n">
        <v>60435</v>
      </c>
      <c r="I102" s="1015" t="s">
        <v>898</v>
      </c>
      <c r="J102" s="1015" t="n">
        <v>81.8</v>
      </c>
      <c r="K102" s="1018" t="n">
        <v>25.5</v>
      </c>
      <c r="L102" s="1018" t="n">
        <v>24.1</v>
      </c>
    </row>
    <row r="103" customFormat="false" ht="14.45" hidden="false" customHeight="false" outlineLevel="0" collapsed="false">
      <c r="A103" s="1015" t="s">
        <v>1728</v>
      </c>
      <c r="B103" s="1016" t="s">
        <v>1060</v>
      </c>
      <c r="C103" s="1015" t="s">
        <v>1732</v>
      </c>
      <c r="D103" s="1015" t="s">
        <v>1055</v>
      </c>
      <c r="E103" s="1015" t="s">
        <v>800</v>
      </c>
      <c r="F103" s="1015" t="s">
        <v>801</v>
      </c>
      <c r="G103" s="1015" t="s">
        <v>1051</v>
      </c>
      <c r="H103" s="1017" t="n">
        <v>60436</v>
      </c>
      <c r="I103" s="1015" t="s">
        <v>898</v>
      </c>
      <c r="J103" s="1015" t="n">
        <v>81.8</v>
      </c>
      <c r="K103" s="1018" t="n">
        <v>27</v>
      </c>
      <c r="L103" s="1018" t="n">
        <v>24.6</v>
      </c>
    </row>
    <row r="104" customFormat="false" ht="14.45" hidden="false" customHeight="false" outlineLevel="0" collapsed="false">
      <c r="A104" s="1015" t="s">
        <v>1728</v>
      </c>
      <c r="B104" s="1016" t="s">
        <v>1063</v>
      </c>
      <c r="C104" s="1015" t="s">
        <v>1733</v>
      </c>
      <c r="D104" s="1015" t="s">
        <v>1055</v>
      </c>
      <c r="E104" s="1015" t="s">
        <v>800</v>
      </c>
      <c r="F104" s="1015" t="s">
        <v>801</v>
      </c>
      <c r="G104" s="1015" t="s">
        <v>1051</v>
      </c>
      <c r="H104" s="1017" t="n">
        <v>60437</v>
      </c>
      <c r="I104" s="1015" t="s">
        <v>898</v>
      </c>
      <c r="J104" s="1015" t="n">
        <v>81.8</v>
      </c>
      <c r="K104" s="1018" t="n">
        <v>26</v>
      </c>
      <c r="L104" s="1018" t="n">
        <v>25.5</v>
      </c>
    </row>
    <row r="105" customFormat="false" ht="14.45" hidden="false" customHeight="false" outlineLevel="0" collapsed="false">
      <c r="A105" s="1015" t="s">
        <v>1728</v>
      </c>
      <c r="B105" s="1016" t="s">
        <v>1066</v>
      </c>
      <c r="C105" s="1015" t="s">
        <v>1734</v>
      </c>
      <c r="D105" s="1015" t="s">
        <v>1068</v>
      </c>
      <c r="E105" s="1015" t="s">
        <v>800</v>
      </c>
      <c r="F105" s="1015" t="s">
        <v>801</v>
      </c>
      <c r="G105" s="1015" t="s">
        <v>1051</v>
      </c>
      <c r="H105" s="1017" t="n">
        <v>60438</v>
      </c>
      <c r="I105" s="1015" t="s">
        <v>898</v>
      </c>
      <c r="J105" s="1015" t="n">
        <v>81.8</v>
      </c>
      <c r="K105" s="1018" t="n">
        <v>23.9</v>
      </c>
      <c r="L105" s="1018" t="n">
        <v>24.4</v>
      </c>
    </row>
    <row r="106" customFormat="false" ht="14.45" hidden="false" customHeight="false" outlineLevel="0" collapsed="false">
      <c r="A106" s="1015" t="s">
        <v>1728</v>
      </c>
      <c r="B106" s="1016" t="s">
        <v>1070</v>
      </c>
      <c r="C106" s="1015" t="s">
        <v>1735</v>
      </c>
      <c r="D106" s="1015" t="s">
        <v>1068</v>
      </c>
      <c r="E106" s="1015" t="s">
        <v>800</v>
      </c>
      <c r="F106" s="1015" t="s">
        <v>801</v>
      </c>
      <c r="G106" s="1015" t="s">
        <v>1051</v>
      </c>
      <c r="H106" s="1017" t="n">
        <v>60439</v>
      </c>
      <c r="I106" s="1015" t="s">
        <v>898</v>
      </c>
      <c r="J106" s="1015" t="n">
        <v>81.8</v>
      </c>
      <c r="K106" s="1018" t="n">
        <v>24.1</v>
      </c>
      <c r="L106" s="1018" t="n">
        <v>24.5</v>
      </c>
    </row>
    <row r="107" customFormat="false" ht="14.45" hidden="false" customHeight="false" outlineLevel="0" collapsed="false">
      <c r="A107" s="1015" t="s">
        <v>1728</v>
      </c>
      <c r="B107" s="1016" t="s">
        <v>1073</v>
      </c>
      <c r="C107" s="1015" t="s">
        <v>1736</v>
      </c>
      <c r="D107" s="1015" t="s">
        <v>1068</v>
      </c>
      <c r="E107" s="1015" t="s">
        <v>800</v>
      </c>
      <c r="F107" s="1015" t="s">
        <v>801</v>
      </c>
      <c r="G107" s="1015" t="s">
        <v>1051</v>
      </c>
      <c r="H107" s="1017" t="n">
        <v>60440</v>
      </c>
      <c r="I107" s="1015" t="s">
        <v>898</v>
      </c>
      <c r="J107" s="1015" t="n">
        <v>81.8</v>
      </c>
      <c r="K107" s="1018" t="n">
        <v>22.1</v>
      </c>
      <c r="L107" s="1018" t="n">
        <v>23.1</v>
      </c>
    </row>
    <row r="108" customFormat="false" ht="14.45" hidden="false" customHeight="false" outlineLevel="0" collapsed="false">
      <c r="A108" s="1015" t="s">
        <v>1728</v>
      </c>
      <c r="B108" s="1016" t="s">
        <v>1076</v>
      </c>
      <c r="C108" s="1015" t="s">
        <v>1737</v>
      </c>
      <c r="D108" s="1015" t="s">
        <v>1068</v>
      </c>
      <c r="E108" s="1015" t="s">
        <v>800</v>
      </c>
      <c r="F108" s="1015" t="s">
        <v>801</v>
      </c>
      <c r="G108" s="1015" t="s">
        <v>1051</v>
      </c>
      <c r="H108" s="1017" t="n">
        <v>60441</v>
      </c>
      <c r="I108" s="1015" t="s">
        <v>898</v>
      </c>
      <c r="J108" s="1015" t="n">
        <v>81.8</v>
      </c>
      <c r="K108" s="1018" t="n">
        <v>26.5</v>
      </c>
      <c r="L108" s="1018" t="n">
        <v>28</v>
      </c>
    </row>
    <row r="109" customFormat="false" ht="14.45" hidden="false" customHeight="false" outlineLevel="0" collapsed="false">
      <c r="A109" s="1015" t="s">
        <v>1728</v>
      </c>
      <c r="B109" s="1016" t="s">
        <v>1079</v>
      </c>
      <c r="C109" s="1015" t="s">
        <v>1738</v>
      </c>
      <c r="D109" s="1015" t="s">
        <v>1081</v>
      </c>
      <c r="E109" s="1015" t="s">
        <v>800</v>
      </c>
      <c r="F109" s="1015" t="s">
        <v>801</v>
      </c>
      <c r="G109" s="1015" t="s">
        <v>1051</v>
      </c>
      <c r="H109" s="1017" t="n">
        <v>60442</v>
      </c>
      <c r="I109" s="1015" t="s">
        <v>898</v>
      </c>
      <c r="J109" s="1015" t="n">
        <v>81.8</v>
      </c>
      <c r="K109" s="1018" t="n">
        <v>21</v>
      </c>
      <c r="L109" s="1018" t="n">
        <v>22.5</v>
      </c>
    </row>
    <row r="110" customFormat="false" ht="14.45" hidden="false" customHeight="false" outlineLevel="0" collapsed="false">
      <c r="A110" s="1015" t="s">
        <v>1728</v>
      </c>
      <c r="B110" s="1016" t="s">
        <v>1089</v>
      </c>
      <c r="C110" s="1015" t="s">
        <v>1739</v>
      </c>
      <c r="D110" s="1015" t="s">
        <v>1081</v>
      </c>
      <c r="E110" s="1015" t="s">
        <v>800</v>
      </c>
      <c r="F110" s="1015" t="s">
        <v>801</v>
      </c>
      <c r="G110" s="1015" t="s">
        <v>1051</v>
      </c>
      <c r="H110" s="1017" t="n">
        <v>60443</v>
      </c>
      <c r="I110" s="1015" t="s">
        <v>898</v>
      </c>
      <c r="J110" s="1015" t="n">
        <v>81.8</v>
      </c>
      <c r="K110" s="1018" t="n">
        <v>23.5</v>
      </c>
      <c r="L110" s="1018" t="n">
        <v>25</v>
      </c>
    </row>
    <row r="111" customFormat="false" ht="14.45" hidden="false" customHeight="false" outlineLevel="0" collapsed="false">
      <c r="A111" s="1015" t="s">
        <v>1728</v>
      </c>
      <c r="B111" s="1016" t="s">
        <v>1083</v>
      </c>
      <c r="C111" s="1015" t="s">
        <v>1740</v>
      </c>
      <c r="D111" s="1015" t="s">
        <v>1081</v>
      </c>
      <c r="E111" s="1015" t="s">
        <v>800</v>
      </c>
      <c r="F111" s="1015" t="s">
        <v>801</v>
      </c>
      <c r="G111" s="1015" t="s">
        <v>1051</v>
      </c>
      <c r="H111" s="1017" t="n">
        <v>60444</v>
      </c>
      <c r="I111" s="1015" t="s">
        <v>898</v>
      </c>
      <c r="J111" s="1015" t="n">
        <v>81.8</v>
      </c>
      <c r="K111" s="1018" t="n">
        <v>20</v>
      </c>
      <c r="L111" s="1018" t="n">
        <v>22.7</v>
      </c>
    </row>
    <row r="112" customFormat="false" ht="14.45" hidden="false" customHeight="false" outlineLevel="0" collapsed="false">
      <c r="A112" s="1015" t="s">
        <v>1728</v>
      </c>
      <c r="B112" s="1016" t="s">
        <v>1086</v>
      </c>
      <c r="C112" s="1015" t="s">
        <v>1741</v>
      </c>
      <c r="D112" s="1015" t="s">
        <v>1081</v>
      </c>
      <c r="E112" s="1015" t="s">
        <v>800</v>
      </c>
      <c r="F112" s="1015" t="s">
        <v>801</v>
      </c>
      <c r="G112" s="1015" t="s">
        <v>1051</v>
      </c>
      <c r="H112" s="1017" t="n">
        <v>60445</v>
      </c>
      <c r="I112" s="1015" t="s">
        <v>898</v>
      </c>
      <c r="J112" s="1015" t="n">
        <v>81.8</v>
      </c>
      <c r="K112" s="1018" t="n">
        <v>21.5</v>
      </c>
      <c r="L112" s="1018" t="n">
        <v>23.5</v>
      </c>
    </row>
    <row r="113" customFormat="false" ht="14.45" hidden="false" customHeight="false" outlineLevel="0" collapsed="false">
      <c r="A113" s="1015" t="s">
        <v>1656</v>
      </c>
      <c r="B113" s="1016" t="n">
        <v>119208</v>
      </c>
      <c r="C113" s="1015" t="s">
        <v>840</v>
      </c>
      <c r="D113" s="1015" t="s">
        <v>1099</v>
      </c>
      <c r="E113" s="1015" t="s">
        <v>800</v>
      </c>
      <c r="F113" s="1015" t="s">
        <v>801</v>
      </c>
      <c r="G113" s="1015" t="s">
        <v>1093</v>
      </c>
      <c r="H113" s="1017" t="n">
        <v>54118</v>
      </c>
      <c r="I113" s="1015" t="s">
        <v>1269</v>
      </c>
      <c r="J113" s="1015" t="n">
        <v>75</v>
      </c>
      <c r="K113" s="1018" t="n">
        <v>12.5</v>
      </c>
      <c r="L113" s="1018" t="n">
        <v>12.5</v>
      </c>
    </row>
    <row r="114" customFormat="false" ht="14.45" hidden="false" customHeight="false" outlineLevel="0" collapsed="false">
      <c r="A114" s="1015" t="s">
        <v>1656</v>
      </c>
      <c r="B114" s="1016" t="n">
        <v>15468</v>
      </c>
      <c r="C114" s="1015" t="s">
        <v>1092</v>
      </c>
      <c r="E114" s="1015" t="s">
        <v>800</v>
      </c>
      <c r="F114" s="1015" t="s">
        <v>801</v>
      </c>
      <c r="G114" s="1015" t="s">
        <v>1093</v>
      </c>
      <c r="H114" s="1017" t="n">
        <v>54123</v>
      </c>
      <c r="I114" s="1015" t="s">
        <v>898</v>
      </c>
      <c r="J114" s="1015" t="n">
        <v>7</v>
      </c>
      <c r="K114" s="1018" t="n">
        <v>1.7</v>
      </c>
    </row>
    <row r="115" customFormat="false" ht="14.45" hidden="false" customHeight="false" outlineLevel="0" collapsed="false">
      <c r="A115" s="1015" t="s">
        <v>1656</v>
      </c>
      <c r="B115" s="1016" t="s">
        <v>1742</v>
      </c>
      <c r="C115" s="1015" t="s">
        <v>836</v>
      </c>
      <c r="D115" s="1015" t="s">
        <v>1713</v>
      </c>
      <c r="E115" s="1015" t="s">
        <v>800</v>
      </c>
      <c r="F115" s="1015" t="s">
        <v>801</v>
      </c>
      <c r="G115" s="1015" t="s">
        <v>1093</v>
      </c>
      <c r="H115" s="1017" t="n">
        <v>68720</v>
      </c>
      <c r="I115" s="1015" t="s">
        <v>898</v>
      </c>
      <c r="J115" s="1015" t="n">
        <v>30</v>
      </c>
      <c r="K115" s="1018" t="n">
        <v>7.7</v>
      </c>
      <c r="L115" s="1018" t="n">
        <v>7.7</v>
      </c>
      <c r="M115" s="1018" t="n">
        <v>7.7</v>
      </c>
    </row>
    <row r="116" customFormat="false" ht="14.45" hidden="false" customHeight="false" outlineLevel="0" collapsed="false">
      <c r="A116" s="1015" t="s">
        <v>1656</v>
      </c>
      <c r="B116" s="1016" t="s">
        <v>1743</v>
      </c>
      <c r="C116" s="1015" t="s">
        <v>841</v>
      </c>
      <c r="D116" s="1015" t="s">
        <v>1713</v>
      </c>
      <c r="E116" s="1015" t="s">
        <v>800</v>
      </c>
      <c r="F116" s="1015" t="s">
        <v>801</v>
      </c>
      <c r="G116" s="1015" t="s">
        <v>1093</v>
      </c>
      <c r="H116" s="1017" t="n">
        <v>68721</v>
      </c>
      <c r="I116" s="1015" t="s">
        <v>898</v>
      </c>
      <c r="J116" s="1015" t="n">
        <v>30</v>
      </c>
      <c r="K116" s="1018" t="n">
        <v>7.7</v>
      </c>
      <c r="L116" s="1018" t="n">
        <v>7.7</v>
      </c>
      <c r="M116" s="1018" t="n">
        <v>7.7</v>
      </c>
    </row>
    <row r="117" customFormat="false" ht="14.45" hidden="false" customHeight="false" outlineLevel="0" collapsed="false">
      <c r="A117" s="1015" t="s">
        <v>1039</v>
      </c>
      <c r="B117" s="1016" t="n">
        <v>50953</v>
      </c>
      <c r="C117" s="1015" t="s">
        <v>1744</v>
      </c>
      <c r="D117" s="1015" t="s">
        <v>1121</v>
      </c>
      <c r="E117" s="1015" t="s">
        <v>800</v>
      </c>
      <c r="F117" s="1015" t="s">
        <v>801</v>
      </c>
      <c r="G117" s="1015" t="s">
        <v>1122</v>
      </c>
      <c r="H117" s="1017" t="n">
        <v>60652</v>
      </c>
      <c r="I117" s="1015" t="s">
        <v>898</v>
      </c>
      <c r="J117" s="1015" t="n">
        <v>3.5</v>
      </c>
      <c r="K117" s="1018" t="n">
        <v>1</v>
      </c>
    </row>
    <row r="118" customFormat="false" ht="14.45" hidden="false" customHeight="false" outlineLevel="0" collapsed="false">
      <c r="A118" s="1015" t="s">
        <v>1039</v>
      </c>
      <c r="B118" s="1016" t="n">
        <v>50952</v>
      </c>
      <c r="C118" s="1015" t="s">
        <v>1745</v>
      </c>
      <c r="D118" s="1015" t="s">
        <v>1121</v>
      </c>
      <c r="E118" s="1015" t="s">
        <v>800</v>
      </c>
      <c r="F118" s="1015" t="s">
        <v>801</v>
      </c>
      <c r="G118" s="1015" t="s">
        <v>1122</v>
      </c>
      <c r="H118" s="1017" t="n">
        <v>60653</v>
      </c>
      <c r="I118" s="1015" t="s">
        <v>898</v>
      </c>
      <c r="J118" s="1015" t="n">
        <v>3.5</v>
      </c>
      <c r="K118" s="1018" t="n">
        <v>1</v>
      </c>
    </row>
    <row r="119" customFormat="false" ht="14.45" hidden="false" customHeight="false" outlineLevel="0" collapsed="false">
      <c r="A119" s="1015" t="s">
        <v>1039</v>
      </c>
      <c r="B119" s="1016" t="n">
        <v>50951</v>
      </c>
      <c r="C119" s="1015" t="s">
        <v>1746</v>
      </c>
      <c r="D119" s="1015" t="s">
        <v>1121</v>
      </c>
      <c r="E119" s="1015" t="s">
        <v>800</v>
      </c>
      <c r="F119" s="1015" t="s">
        <v>801</v>
      </c>
      <c r="G119" s="1015" t="s">
        <v>1122</v>
      </c>
      <c r="H119" s="1017" t="n">
        <v>60654</v>
      </c>
      <c r="I119" s="1015" t="s">
        <v>898</v>
      </c>
      <c r="J119" s="1015" t="n">
        <v>3.5</v>
      </c>
      <c r="K119" s="1018" t="n">
        <v>1</v>
      </c>
    </row>
    <row r="120" customFormat="false" ht="14.45" hidden="false" customHeight="false" outlineLevel="0" collapsed="false">
      <c r="A120" s="1015" t="s">
        <v>1039</v>
      </c>
      <c r="B120" s="1016" t="n">
        <v>50957</v>
      </c>
      <c r="C120" s="1015" t="s">
        <v>1747</v>
      </c>
      <c r="D120" s="1015" t="s">
        <v>1121</v>
      </c>
      <c r="E120" s="1015" t="s">
        <v>800</v>
      </c>
      <c r="F120" s="1015" t="s">
        <v>801</v>
      </c>
      <c r="G120" s="1015" t="s">
        <v>1122</v>
      </c>
      <c r="H120" s="1017" t="n">
        <v>60655</v>
      </c>
      <c r="I120" s="1015" t="s">
        <v>898</v>
      </c>
      <c r="J120" s="1015" t="n">
        <v>3.5</v>
      </c>
      <c r="K120" s="1018" t="n">
        <v>1</v>
      </c>
    </row>
    <row r="121" customFormat="false" ht="14.45" hidden="false" customHeight="false" outlineLevel="0" collapsed="false">
      <c r="A121" s="1015" t="s">
        <v>1039</v>
      </c>
      <c r="B121" s="1016" t="n">
        <v>50958</v>
      </c>
      <c r="C121" s="1015" t="s">
        <v>1748</v>
      </c>
      <c r="D121" s="1015" t="s">
        <v>1121</v>
      </c>
      <c r="E121" s="1015" t="s">
        <v>800</v>
      </c>
      <c r="F121" s="1015" t="s">
        <v>801</v>
      </c>
      <c r="G121" s="1015" t="s">
        <v>1122</v>
      </c>
      <c r="H121" s="1017" t="n">
        <v>60656</v>
      </c>
      <c r="I121" s="1015" t="s">
        <v>898</v>
      </c>
      <c r="J121" s="1015" t="n">
        <v>8</v>
      </c>
      <c r="K121" s="1018" t="n">
        <v>1.7</v>
      </c>
    </row>
    <row r="122" customFormat="false" ht="14.45" hidden="false" customHeight="false" outlineLevel="0" collapsed="false">
      <c r="A122" s="1015" t="s">
        <v>1039</v>
      </c>
      <c r="B122" s="1016" t="n">
        <v>50959</v>
      </c>
      <c r="C122" s="1015" t="s">
        <v>1749</v>
      </c>
      <c r="D122" s="1015" t="s">
        <v>1121</v>
      </c>
      <c r="E122" s="1015" t="s">
        <v>800</v>
      </c>
      <c r="F122" s="1015" t="s">
        <v>801</v>
      </c>
      <c r="G122" s="1015" t="s">
        <v>1122</v>
      </c>
      <c r="H122" s="1017" t="n">
        <v>60657</v>
      </c>
      <c r="I122" s="1015" t="s">
        <v>898</v>
      </c>
      <c r="J122" s="1015" t="n">
        <v>8</v>
      </c>
      <c r="K122" s="1018" t="n">
        <v>1.7</v>
      </c>
    </row>
    <row r="123" customFormat="false" ht="14.45" hidden="false" customHeight="false" outlineLevel="0" collapsed="false">
      <c r="A123" s="1015" t="s">
        <v>1039</v>
      </c>
      <c r="B123" s="1016" t="n">
        <v>50961</v>
      </c>
      <c r="C123" s="1015" t="s">
        <v>1750</v>
      </c>
      <c r="D123" s="1015" t="s">
        <v>1121</v>
      </c>
      <c r="E123" s="1015" t="s">
        <v>800</v>
      </c>
      <c r="F123" s="1015" t="s">
        <v>801</v>
      </c>
      <c r="G123" s="1015" t="s">
        <v>1122</v>
      </c>
      <c r="H123" s="1017" t="n">
        <v>60660</v>
      </c>
      <c r="I123" s="1015" t="s">
        <v>1269</v>
      </c>
      <c r="J123" s="1015" t="n">
        <v>5</v>
      </c>
      <c r="K123" s="1018" t="n">
        <v>4.4</v>
      </c>
    </row>
    <row r="124" customFormat="false" ht="14.45" hidden="false" customHeight="false" outlineLevel="0" collapsed="false">
      <c r="A124" s="1015" t="s">
        <v>1039</v>
      </c>
      <c r="B124" s="1016" t="n">
        <v>50963</v>
      </c>
      <c r="C124" s="1015" t="s">
        <v>1751</v>
      </c>
      <c r="D124" s="1015" t="s">
        <v>1121</v>
      </c>
      <c r="E124" s="1015" t="s">
        <v>800</v>
      </c>
      <c r="F124" s="1015" t="s">
        <v>801</v>
      </c>
      <c r="G124" s="1015" t="s">
        <v>1122</v>
      </c>
      <c r="H124" s="1017" t="n">
        <v>60661</v>
      </c>
      <c r="I124" s="1015" t="s">
        <v>898</v>
      </c>
      <c r="J124" s="1015" t="n">
        <v>5</v>
      </c>
      <c r="K124" s="1018" t="n">
        <v>1.62</v>
      </c>
    </row>
    <row r="125" customFormat="false" ht="14.45" hidden="false" customHeight="false" outlineLevel="0" collapsed="false">
      <c r="A125" s="1015" t="s">
        <v>1039</v>
      </c>
      <c r="B125" s="1016" t="n">
        <v>50965</v>
      </c>
      <c r="C125" s="1015" t="s">
        <v>1752</v>
      </c>
      <c r="D125" s="1015" t="s">
        <v>1121</v>
      </c>
      <c r="E125" s="1015" t="s">
        <v>800</v>
      </c>
      <c r="F125" s="1015" t="s">
        <v>801</v>
      </c>
      <c r="G125" s="1015" t="s">
        <v>1122</v>
      </c>
      <c r="H125" s="1017" t="n">
        <v>60662</v>
      </c>
      <c r="I125" s="1015" t="s">
        <v>898</v>
      </c>
      <c r="J125" s="1015" t="n">
        <v>5</v>
      </c>
      <c r="K125" s="1018" t="n">
        <v>1.62</v>
      </c>
    </row>
    <row r="126" customFormat="false" ht="14.45" hidden="false" customHeight="false" outlineLevel="0" collapsed="false">
      <c r="A126" s="1015" t="s">
        <v>1039</v>
      </c>
      <c r="B126" s="1016" t="n">
        <v>50966</v>
      </c>
      <c r="C126" s="1015" t="s">
        <v>1753</v>
      </c>
      <c r="D126" s="1015" t="s">
        <v>1121</v>
      </c>
      <c r="E126" s="1015" t="s">
        <v>800</v>
      </c>
      <c r="F126" s="1015" t="s">
        <v>801</v>
      </c>
      <c r="G126" s="1015" t="s">
        <v>1122</v>
      </c>
      <c r="H126" s="1017" t="n">
        <v>60663</v>
      </c>
      <c r="I126" s="1015" t="s">
        <v>1269</v>
      </c>
      <c r="J126" s="1015" t="n">
        <v>7</v>
      </c>
      <c r="K126" s="1018" t="n">
        <v>4</v>
      </c>
    </row>
    <row r="127" customFormat="false" ht="14.45" hidden="false" customHeight="false" outlineLevel="0" collapsed="false">
      <c r="A127" s="1015" t="s">
        <v>1039</v>
      </c>
      <c r="B127" s="1016" t="n">
        <v>50962</v>
      </c>
      <c r="C127" s="1015" t="s">
        <v>1754</v>
      </c>
      <c r="D127" s="1015" t="s">
        <v>1121</v>
      </c>
      <c r="E127" s="1015" t="s">
        <v>800</v>
      </c>
      <c r="F127" s="1015" t="s">
        <v>801</v>
      </c>
      <c r="G127" s="1015" t="s">
        <v>1122</v>
      </c>
      <c r="H127" s="1017" t="n">
        <v>60664</v>
      </c>
      <c r="I127" s="1015" t="s">
        <v>1269</v>
      </c>
      <c r="J127" s="1015" t="n">
        <v>3.4</v>
      </c>
      <c r="K127" s="1018" t="n">
        <v>3.2</v>
      </c>
    </row>
    <row r="128" customFormat="false" ht="14.45" hidden="false" customHeight="false" outlineLevel="0" collapsed="false">
      <c r="A128" s="1015" t="s">
        <v>1039</v>
      </c>
      <c r="B128" s="1016" t="n">
        <v>519312</v>
      </c>
      <c r="C128" s="1015" t="s">
        <v>1755</v>
      </c>
      <c r="D128" s="1015" t="s">
        <v>1756</v>
      </c>
      <c r="E128" s="1015" t="s">
        <v>800</v>
      </c>
      <c r="F128" s="1015" t="s">
        <v>826</v>
      </c>
      <c r="G128" s="1015" t="s">
        <v>1122</v>
      </c>
      <c r="H128" s="1017" t="n">
        <v>65301</v>
      </c>
      <c r="I128" s="1015" t="s">
        <v>898</v>
      </c>
      <c r="J128" s="1015" t="n">
        <v>78</v>
      </c>
      <c r="K128" s="1018" t="n">
        <v>12.5</v>
      </c>
    </row>
    <row r="129" customFormat="false" ht="14.45" hidden="false" customHeight="false" outlineLevel="0" collapsed="false">
      <c r="A129" s="1015" t="s">
        <v>1039</v>
      </c>
      <c r="B129" s="1016" t="n">
        <v>50944</v>
      </c>
      <c r="C129" s="1015" t="s">
        <v>1757</v>
      </c>
      <c r="D129" s="1015" t="s">
        <v>1756</v>
      </c>
      <c r="E129" s="1015" t="s">
        <v>800</v>
      </c>
      <c r="F129" s="1015" t="s">
        <v>826</v>
      </c>
      <c r="G129" s="1015" t="s">
        <v>1122</v>
      </c>
      <c r="H129" s="1017" t="n">
        <v>65302</v>
      </c>
      <c r="I129" s="1015" t="s">
        <v>898</v>
      </c>
      <c r="J129" s="1015" t="n">
        <v>78</v>
      </c>
      <c r="K129" s="1018" t="n">
        <v>12.5</v>
      </c>
    </row>
    <row r="130" customFormat="false" ht="14.45" hidden="false" customHeight="false" outlineLevel="0" collapsed="false">
      <c r="A130" s="1015" t="s">
        <v>1039</v>
      </c>
      <c r="B130" s="1016" t="n">
        <v>50945</v>
      </c>
      <c r="C130" s="1015" t="s">
        <v>1758</v>
      </c>
      <c r="D130" s="1015" t="s">
        <v>1756</v>
      </c>
      <c r="E130" s="1015" t="s">
        <v>800</v>
      </c>
      <c r="F130" s="1015" t="s">
        <v>826</v>
      </c>
      <c r="G130" s="1015" t="s">
        <v>1122</v>
      </c>
      <c r="H130" s="1017" t="n">
        <v>65303</v>
      </c>
      <c r="I130" s="1015" t="s">
        <v>898</v>
      </c>
      <c r="J130" s="1015" t="n">
        <v>78</v>
      </c>
      <c r="K130" s="1018" t="n">
        <v>12.5</v>
      </c>
    </row>
    <row r="131" customFormat="false" ht="14.45" hidden="false" customHeight="false" outlineLevel="0" collapsed="false">
      <c r="A131" s="1015" t="s">
        <v>1039</v>
      </c>
      <c r="B131" s="1016" t="n">
        <v>50946</v>
      </c>
      <c r="C131" s="1015" t="s">
        <v>1759</v>
      </c>
      <c r="D131" s="1015" t="s">
        <v>1756</v>
      </c>
      <c r="E131" s="1015" t="s">
        <v>800</v>
      </c>
      <c r="F131" s="1015" t="s">
        <v>826</v>
      </c>
      <c r="G131" s="1015" t="s">
        <v>1122</v>
      </c>
      <c r="H131" s="1017" t="n">
        <v>65304</v>
      </c>
      <c r="I131" s="1015" t="s">
        <v>898</v>
      </c>
      <c r="J131" s="1015" t="n">
        <v>78</v>
      </c>
      <c r="K131" s="1018" t="n">
        <v>12.5</v>
      </c>
    </row>
    <row r="132" customFormat="false" ht="14.45" hidden="false" customHeight="false" outlineLevel="0" collapsed="false">
      <c r="A132" s="1015" t="s">
        <v>1039</v>
      </c>
      <c r="B132" s="1016" t="n">
        <v>50940</v>
      </c>
      <c r="C132" s="1015" t="s">
        <v>1760</v>
      </c>
      <c r="D132" s="1015" t="s">
        <v>1756</v>
      </c>
      <c r="E132" s="1015" t="s">
        <v>800</v>
      </c>
      <c r="F132" s="1015" t="s">
        <v>826</v>
      </c>
      <c r="G132" s="1015" t="s">
        <v>1122</v>
      </c>
      <c r="H132" s="1017" t="n">
        <v>65305</v>
      </c>
      <c r="I132" s="1015" t="s">
        <v>898</v>
      </c>
      <c r="J132" s="1015" t="n">
        <v>78</v>
      </c>
      <c r="K132" s="1018" t="n">
        <v>12.5</v>
      </c>
    </row>
    <row r="133" customFormat="false" ht="14.45" hidden="false" customHeight="false" outlineLevel="0" collapsed="false">
      <c r="A133" s="1015" t="s">
        <v>1039</v>
      </c>
      <c r="B133" s="1016" t="n">
        <v>50941</v>
      </c>
      <c r="C133" s="1015" t="s">
        <v>1761</v>
      </c>
      <c r="D133" s="1015" t="s">
        <v>1756</v>
      </c>
      <c r="E133" s="1015" t="s">
        <v>800</v>
      </c>
      <c r="F133" s="1015" t="s">
        <v>826</v>
      </c>
      <c r="G133" s="1015" t="s">
        <v>1122</v>
      </c>
      <c r="H133" s="1017" t="n">
        <v>65306</v>
      </c>
      <c r="I133" s="1015" t="s">
        <v>898</v>
      </c>
      <c r="J133" s="1015" t="n">
        <v>78</v>
      </c>
      <c r="K133" s="1018" t="n">
        <v>12.5</v>
      </c>
    </row>
    <row r="134" customFormat="false" ht="14.45" hidden="false" customHeight="false" outlineLevel="0" collapsed="false">
      <c r="A134" s="1015" t="s">
        <v>1039</v>
      </c>
      <c r="B134" s="1016" t="n">
        <v>519352</v>
      </c>
      <c r="C134" s="1015" t="s">
        <v>1762</v>
      </c>
      <c r="E134" s="1015" t="s">
        <v>800</v>
      </c>
      <c r="F134" s="1015" t="s">
        <v>826</v>
      </c>
      <c r="G134" s="1015" t="s">
        <v>1122</v>
      </c>
      <c r="H134" s="1017" t="n">
        <v>66870</v>
      </c>
      <c r="I134" s="1015" t="s">
        <v>898</v>
      </c>
      <c r="J134" s="1015" t="n">
        <v>78</v>
      </c>
      <c r="K134" s="1018" t="n">
        <v>12.5</v>
      </c>
    </row>
    <row r="135" customFormat="false" ht="14.45" hidden="false" customHeight="false" outlineLevel="0" collapsed="false">
      <c r="A135" s="1015" t="s">
        <v>1039</v>
      </c>
      <c r="B135" s="1016" t="n">
        <v>519348</v>
      </c>
      <c r="C135" s="1015" t="s">
        <v>1763</v>
      </c>
      <c r="E135" s="1015" t="s">
        <v>800</v>
      </c>
      <c r="F135" s="1015" t="s">
        <v>826</v>
      </c>
      <c r="G135" s="1015" t="s">
        <v>1122</v>
      </c>
      <c r="H135" s="1017" t="n">
        <v>66871</v>
      </c>
      <c r="I135" s="1015" t="s">
        <v>898</v>
      </c>
      <c r="J135" s="1015" t="n">
        <v>78</v>
      </c>
      <c r="K135" s="1018" t="n">
        <v>12.5</v>
      </c>
    </row>
    <row r="136" customFormat="false" ht="14.45" hidden="false" customHeight="false" outlineLevel="0" collapsed="false">
      <c r="A136" s="1015" t="s">
        <v>1039</v>
      </c>
      <c r="B136" s="1016" t="s">
        <v>1764</v>
      </c>
      <c r="C136" s="1015" t="s">
        <v>1765</v>
      </c>
      <c r="D136" s="1015" t="s">
        <v>1766</v>
      </c>
      <c r="E136" s="1015" t="s">
        <v>800</v>
      </c>
      <c r="F136" s="1015" t="s">
        <v>801</v>
      </c>
      <c r="G136" s="1015" t="s">
        <v>1122</v>
      </c>
      <c r="H136" s="1017" t="n">
        <v>69433</v>
      </c>
      <c r="I136" s="1015" t="s">
        <v>1630</v>
      </c>
      <c r="J136" s="1015" t="n">
        <v>7.1</v>
      </c>
      <c r="K136" s="1018" t="n">
        <v>3.2</v>
      </c>
    </row>
    <row r="137" customFormat="false" ht="14.45" hidden="false" customHeight="false" outlineLevel="0" collapsed="false">
      <c r="A137" s="1015" t="s">
        <v>1039</v>
      </c>
      <c r="B137" s="1016" t="s">
        <v>1767</v>
      </c>
      <c r="C137" s="1015" t="s">
        <v>1768</v>
      </c>
      <c r="D137" s="1015" t="s">
        <v>1766</v>
      </c>
      <c r="E137" s="1015" t="s">
        <v>800</v>
      </c>
      <c r="F137" s="1015" t="s">
        <v>801</v>
      </c>
      <c r="G137" s="1015" t="s">
        <v>1122</v>
      </c>
      <c r="H137" s="1017" t="n">
        <v>69434</v>
      </c>
      <c r="I137" s="1015" t="s">
        <v>1630</v>
      </c>
      <c r="J137" s="1015" t="n">
        <v>7.1</v>
      </c>
      <c r="K137" s="1018" t="n">
        <v>3.2</v>
      </c>
    </row>
    <row r="138" customFormat="false" ht="14.45" hidden="false" customHeight="false" outlineLevel="0" collapsed="false">
      <c r="A138" s="1015" t="s">
        <v>1039</v>
      </c>
      <c r="B138" s="1016" t="s">
        <v>1769</v>
      </c>
      <c r="C138" s="1015" t="s">
        <v>1770</v>
      </c>
      <c r="D138" s="1015" t="s">
        <v>1771</v>
      </c>
      <c r="E138" s="1015" t="s">
        <v>800</v>
      </c>
      <c r="F138" s="1015" t="s">
        <v>801</v>
      </c>
      <c r="G138" s="1015" t="s">
        <v>1122</v>
      </c>
      <c r="H138" s="1017" t="n">
        <v>69864</v>
      </c>
      <c r="I138" s="1015" t="s">
        <v>898</v>
      </c>
      <c r="J138" s="1015" t="n">
        <v>7.1</v>
      </c>
      <c r="K138" s="1018" t="n">
        <v>2.9</v>
      </c>
    </row>
    <row r="139" customFormat="false" ht="14.45" hidden="false" customHeight="false" outlineLevel="0" collapsed="false">
      <c r="A139" s="1015" t="s">
        <v>1039</v>
      </c>
      <c r="B139" s="1016" t="s">
        <v>1772</v>
      </c>
      <c r="C139" s="1015" t="s">
        <v>1773</v>
      </c>
      <c r="D139" s="1015" t="s">
        <v>1771</v>
      </c>
      <c r="E139" s="1015" t="s">
        <v>800</v>
      </c>
      <c r="F139" s="1015" t="s">
        <v>801</v>
      </c>
      <c r="G139" s="1015" t="s">
        <v>1122</v>
      </c>
      <c r="H139" s="1017" t="n">
        <v>69865</v>
      </c>
      <c r="I139" s="1015" t="s">
        <v>898</v>
      </c>
      <c r="J139" s="1015" t="n">
        <v>7.1</v>
      </c>
      <c r="K139" s="1018" t="n">
        <v>2.9</v>
      </c>
    </row>
    <row r="140" customFormat="false" ht="14.45" hidden="false" customHeight="false" outlineLevel="0" collapsed="false">
      <c r="A140" s="1015" t="s">
        <v>1039</v>
      </c>
      <c r="B140" s="1016" t="s">
        <v>1774</v>
      </c>
      <c r="C140" s="1015" t="s">
        <v>1775</v>
      </c>
      <c r="D140" s="1015" t="s">
        <v>1776</v>
      </c>
      <c r="E140" s="1015" t="s">
        <v>800</v>
      </c>
      <c r="F140" s="1015" t="s">
        <v>801</v>
      </c>
      <c r="G140" s="1015" t="s">
        <v>1122</v>
      </c>
      <c r="H140" s="1017" t="n">
        <v>69866</v>
      </c>
      <c r="I140" s="1015" t="s">
        <v>898</v>
      </c>
      <c r="J140" s="1015" t="n">
        <v>25</v>
      </c>
      <c r="K140" s="1018" t="n">
        <v>12.2</v>
      </c>
    </row>
    <row r="141" customFormat="false" ht="14.45" hidden="false" customHeight="false" outlineLevel="0" collapsed="false">
      <c r="A141" s="1015" t="s">
        <v>978</v>
      </c>
      <c r="B141" s="1016" t="s">
        <v>1777</v>
      </c>
      <c r="C141" s="1015" t="s">
        <v>1778</v>
      </c>
      <c r="E141" s="1015" t="s">
        <v>800</v>
      </c>
      <c r="F141" s="1015" t="s">
        <v>801</v>
      </c>
      <c r="G141" s="1015" t="s">
        <v>1144</v>
      </c>
      <c r="H141" s="1017" t="n">
        <v>52380</v>
      </c>
      <c r="I141" s="1015" t="s">
        <v>1269</v>
      </c>
      <c r="J141" s="1015" t="n">
        <v>2.5</v>
      </c>
      <c r="K141" s="1018" t="n">
        <v>2.5</v>
      </c>
    </row>
    <row r="142" customFormat="false" ht="14.45" hidden="false" customHeight="false" outlineLevel="0" collapsed="false">
      <c r="A142" s="1015" t="s">
        <v>978</v>
      </c>
      <c r="B142" s="1016" t="s">
        <v>1154</v>
      </c>
      <c r="C142" s="1015" t="s">
        <v>824</v>
      </c>
      <c r="D142" s="1015" t="s">
        <v>1155</v>
      </c>
      <c r="E142" s="1015" t="s">
        <v>800</v>
      </c>
      <c r="F142" s="1015" t="s">
        <v>826</v>
      </c>
      <c r="G142" s="1015" t="s">
        <v>1144</v>
      </c>
      <c r="H142" s="1017" t="n">
        <v>60088</v>
      </c>
      <c r="I142" s="1015" t="s">
        <v>898</v>
      </c>
      <c r="J142" s="1015" t="n">
        <v>78</v>
      </c>
      <c r="K142" s="1018" t="n">
        <v>12.5</v>
      </c>
    </row>
    <row r="143" customFormat="false" ht="14.45" hidden="false" customHeight="false" outlineLevel="0" collapsed="false">
      <c r="A143" s="1015" t="s">
        <v>978</v>
      </c>
      <c r="B143" s="1016" t="s">
        <v>1157</v>
      </c>
      <c r="C143" s="1015" t="s">
        <v>829</v>
      </c>
      <c r="D143" s="1015" t="s">
        <v>1155</v>
      </c>
      <c r="E143" s="1015" t="s">
        <v>800</v>
      </c>
      <c r="F143" s="1015" t="s">
        <v>826</v>
      </c>
      <c r="G143" s="1015" t="s">
        <v>1144</v>
      </c>
      <c r="H143" s="1017" t="n">
        <v>60089</v>
      </c>
      <c r="I143" s="1015" t="s">
        <v>898</v>
      </c>
      <c r="J143" s="1015" t="n">
        <v>78</v>
      </c>
      <c r="K143" s="1018" t="n">
        <v>12.5</v>
      </c>
    </row>
    <row r="144" customFormat="false" ht="14.45" hidden="false" customHeight="false" outlineLevel="0" collapsed="false">
      <c r="A144" s="1015" t="s">
        <v>978</v>
      </c>
      <c r="B144" s="1016" t="s">
        <v>1158</v>
      </c>
      <c r="C144" s="1015" t="s">
        <v>830</v>
      </c>
      <c r="D144" s="1015" t="s">
        <v>1155</v>
      </c>
      <c r="E144" s="1015" t="s">
        <v>800</v>
      </c>
      <c r="F144" s="1015" t="s">
        <v>826</v>
      </c>
      <c r="G144" s="1015" t="s">
        <v>1144</v>
      </c>
      <c r="H144" s="1017" t="n">
        <v>60090</v>
      </c>
      <c r="I144" s="1015" t="s">
        <v>898</v>
      </c>
      <c r="J144" s="1015" t="n">
        <v>78</v>
      </c>
      <c r="K144" s="1018" t="n">
        <v>12.5</v>
      </c>
    </row>
    <row r="145" customFormat="false" ht="14.45" hidden="false" customHeight="false" outlineLevel="0" collapsed="false">
      <c r="A145" s="1015" t="s">
        <v>978</v>
      </c>
      <c r="B145" s="1016" t="s">
        <v>1159</v>
      </c>
      <c r="C145" s="1015" t="s">
        <v>831</v>
      </c>
      <c r="D145" s="1015" t="s">
        <v>1155</v>
      </c>
      <c r="E145" s="1015" t="s">
        <v>800</v>
      </c>
      <c r="F145" s="1015" t="s">
        <v>826</v>
      </c>
      <c r="G145" s="1015" t="s">
        <v>1144</v>
      </c>
      <c r="H145" s="1017" t="n">
        <v>60091</v>
      </c>
      <c r="I145" s="1015" t="s">
        <v>898</v>
      </c>
      <c r="J145" s="1015" t="n">
        <v>78</v>
      </c>
      <c r="K145" s="1018" t="n">
        <v>12.5</v>
      </c>
    </row>
    <row r="146" customFormat="false" ht="14.45" hidden="false" customHeight="false" outlineLevel="0" collapsed="false">
      <c r="A146" s="1015" t="s">
        <v>978</v>
      </c>
      <c r="B146" s="1016" t="s">
        <v>1161</v>
      </c>
      <c r="C146" s="1015" t="s">
        <v>832</v>
      </c>
      <c r="D146" s="1015" t="s">
        <v>1155</v>
      </c>
      <c r="E146" s="1015" t="s">
        <v>800</v>
      </c>
      <c r="F146" s="1015" t="s">
        <v>826</v>
      </c>
      <c r="G146" s="1015" t="s">
        <v>1144</v>
      </c>
      <c r="H146" s="1017" t="n">
        <v>60092</v>
      </c>
      <c r="I146" s="1015" t="s">
        <v>898</v>
      </c>
      <c r="J146" s="1015" t="n">
        <v>78</v>
      </c>
      <c r="K146" s="1018" t="n">
        <v>12.5</v>
      </c>
    </row>
    <row r="147" customFormat="false" ht="14.45" hidden="false" customHeight="false" outlineLevel="0" collapsed="false">
      <c r="A147" s="1015" t="s">
        <v>978</v>
      </c>
      <c r="B147" s="1016" t="s">
        <v>1163</v>
      </c>
      <c r="C147" s="1015" t="s">
        <v>833</v>
      </c>
      <c r="D147" s="1015" t="s">
        <v>1155</v>
      </c>
      <c r="E147" s="1015" t="s">
        <v>800</v>
      </c>
      <c r="F147" s="1015" t="s">
        <v>826</v>
      </c>
      <c r="G147" s="1015" t="s">
        <v>1144</v>
      </c>
      <c r="H147" s="1017" t="n">
        <v>60093</v>
      </c>
      <c r="I147" s="1015" t="s">
        <v>898</v>
      </c>
      <c r="J147" s="1015" t="n">
        <v>78</v>
      </c>
      <c r="K147" s="1018" t="n">
        <v>12.5</v>
      </c>
    </row>
    <row r="148" customFormat="false" ht="14.45" hidden="false" customHeight="false" outlineLevel="0" collapsed="false">
      <c r="A148" s="1015" t="s">
        <v>978</v>
      </c>
      <c r="B148" s="1016" t="s">
        <v>1165</v>
      </c>
      <c r="C148" s="1015" t="s">
        <v>834</v>
      </c>
      <c r="D148" s="1015" t="s">
        <v>1155</v>
      </c>
      <c r="E148" s="1015" t="s">
        <v>800</v>
      </c>
      <c r="F148" s="1015" t="s">
        <v>826</v>
      </c>
      <c r="G148" s="1015" t="s">
        <v>1144</v>
      </c>
      <c r="H148" s="1017" t="n">
        <v>60094</v>
      </c>
      <c r="I148" s="1015" t="s">
        <v>898</v>
      </c>
      <c r="J148" s="1015" t="n">
        <v>78</v>
      </c>
      <c r="K148" s="1018" t="n">
        <v>12.5</v>
      </c>
    </row>
    <row r="149" customFormat="false" ht="14.45" hidden="false" customHeight="false" outlineLevel="0" collapsed="false">
      <c r="A149" s="1015" t="s">
        <v>978</v>
      </c>
      <c r="B149" s="1016" t="s">
        <v>1779</v>
      </c>
      <c r="C149" s="1015" t="s">
        <v>835</v>
      </c>
      <c r="D149" s="1015" t="s">
        <v>1713</v>
      </c>
      <c r="E149" s="1015" t="s">
        <v>800</v>
      </c>
      <c r="F149" s="1015" t="s">
        <v>826</v>
      </c>
      <c r="G149" s="1015" t="s">
        <v>1144</v>
      </c>
      <c r="H149" s="1017" t="n">
        <v>66901</v>
      </c>
      <c r="I149" s="1015" t="s">
        <v>898</v>
      </c>
      <c r="J149" s="1015" t="n">
        <v>78</v>
      </c>
      <c r="K149" s="1018" t="n">
        <v>12.5</v>
      </c>
    </row>
    <row r="150" customFormat="false" ht="14.45" hidden="false" customHeight="false" outlineLevel="0" collapsed="false">
      <c r="A150" s="1015" t="s">
        <v>978</v>
      </c>
      <c r="B150" s="1016" t="s">
        <v>1780</v>
      </c>
      <c r="C150" s="1015" t="s">
        <v>1171</v>
      </c>
      <c r="D150" s="1015" t="s">
        <v>1713</v>
      </c>
      <c r="E150" s="1015" t="s">
        <v>800</v>
      </c>
      <c r="F150" s="1015" t="s">
        <v>826</v>
      </c>
      <c r="G150" s="1015" t="s">
        <v>1144</v>
      </c>
      <c r="H150" s="1017" t="n">
        <v>66902</v>
      </c>
      <c r="I150" s="1015" t="s">
        <v>898</v>
      </c>
      <c r="J150" s="1015" t="n">
        <v>78</v>
      </c>
      <c r="K150" s="1018" t="n">
        <v>12.5</v>
      </c>
    </row>
    <row r="151" customFormat="false" ht="14.45" hidden="false" customHeight="false" outlineLevel="0" collapsed="false">
      <c r="A151" s="1015" t="s">
        <v>1656</v>
      </c>
      <c r="B151" s="1016" t="n">
        <v>15371</v>
      </c>
      <c r="C151" s="1015" t="s">
        <v>824</v>
      </c>
      <c r="D151" s="1015" t="s">
        <v>1110</v>
      </c>
      <c r="E151" s="1015" t="s">
        <v>800</v>
      </c>
      <c r="F151" s="1015" t="s">
        <v>826</v>
      </c>
      <c r="G151" s="1015" t="s">
        <v>1168</v>
      </c>
      <c r="H151" s="1017" t="n">
        <v>53662</v>
      </c>
      <c r="I151" s="1015" t="s">
        <v>1269</v>
      </c>
      <c r="J151" s="1015" t="n">
        <v>80</v>
      </c>
      <c r="K151" s="1018" t="n">
        <v>12.5</v>
      </c>
    </row>
    <row r="152" customFormat="false" ht="14.45" hidden="false" customHeight="false" outlineLevel="0" collapsed="false">
      <c r="A152" s="1015" t="s">
        <v>1656</v>
      </c>
      <c r="B152" s="1016" t="n">
        <v>15372</v>
      </c>
      <c r="C152" s="1015" t="s">
        <v>829</v>
      </c>
      <c r="D152" s="1015" t="s">
        <v>1110</v>
      </c>
      <c r="E152" s="1015" t="s">
        <v>800</v>
      </c>
      <c r="F152" s="1015" t="s">
        <v>826</v>
      </c>
      <c r="G152" s="1015" t="s">
        <v>1168</v>
      </c>
      <c r="H152" s="1017" t="n">
        <v>53706</v>
      </c>
      <c r="I152" s="1015" t="s">
        <v>1269</v>
      </c>
      <c r="J152" s="1015" t="n">
        <v>80</v>
      </c>
      <c r="K152" s="1018" t="n">
        <v>12.5</v>
      </c>
    </row>
    <row r="153" customFormat="false" ht="14.45" hidden="false" customHeight="false" outlineLevel="0" collapsed="false">
      <c r="A153" s="1015" t="s">
        <v>1656</v>
      </c>
      <c r="B153" s="1016" t="n">
        <v>15373</v>
      </c>
      <c r="C153" s="1015" t="s">
        <v>830</v>
      </c>
      <c r="D153" s="1015" t="s">
        <v>1110</v>
      </c>
      <c r="E153" s="1015" t="s">
        <v>800</v>
      </c>
      <c r="F153" s="1015" t="s">
        <v>826</v>
      </c>
      <c r="G153" s="1015" t="s">
        <v>1168</v>
      </c>
      <c r="H153" s="1017" t="n">
        <v>53707</v>
      </c>
      <c r="I153" s="1015" t="s">
        <v>1269</v>
      </c>
      <c r="J153" s="1015" t="n">
        <v>80</v>
      </c>
      <c r="K153" s="1018" t="n">
        <v>12.5</v>
      </c>
    </row>
    <row r="154" customFormat="false" ht="14.45" hidden="false" customHeight="false" outlineLevel="0" collapsed="false">
      <c r="A154" s="1015" t="s">
        <v>1656</v>
      </c>
      <c r="B154" s="1016" t="n">
        <v>15374</v>
      </c>
      <c r="C154" s="1015" t="s">
        <v>831</v>
      </c>
      <c r="D154" s="1015" t="s">
        <v>1110</v>
      </c>
      <c r="E154" s="1015" t="s">
        <v>800</v>
      </c>
      <c r="F154" s="1015" t="s">
        <v>826</v>
      </c>
      <c r="G154" s="1015" t="s">
        <v>1168</v>
      </c>
      <c r="H154" s="1017" t="n">
        <v>53708</v>
      </c>
      <c r="I154" s="1015" t="s">
        <v>1269</v>
      </c>
      <c r="J154" s="1015" t="n">
        <v>80</v>
      </c>
      <c r="K154" s="1018" t="n">
        <v>12.5</v>
      </c>
    </row>
    <row r="155" customFormat="false" ht="14.45" hidden="false" customHeight="false" outlineLevel="0" collapsed="false">
      <c r="A155" s="1015" t="s">
        <v>1656</v>
      </c>
      <c r="B155" s="1016" t="n">
        <v>15375</v>
      </c>
      <c r="C155" s="1015" t="s">
        <v>832</v>
      </c>
      <c r="D155" s="1015" t="s">
        <v>1110</v>
      </c>
      <c r="E155" s="1015" t="s">
        <v>800</v>
      </c>
      <c r="F155" s="1015" t="s">
        <v>826</v>
      </c>
      <c r="G155" s="1015" t="s">
        <v>1168</v>
      </c>
      <c r="H155" s="1017" t="n">
        <v>53709</v>
      </c>
      <c r="I155" s="1015" t="s">
        <v>1269</v>
      </c>
      <c r="J155" s="1015" t="n">
        <v>80</v>
      </c>
      <c r="K155" s="1018" t="n">
        <v>12.5</v>
      </c>
    </row>
    <row r="156" customFormat="false" ht="14.45" hidden="false" customHeight="false" outlineLevel="0" collapsed="false">
      <c r="A156" s="1015" t="s">
        <v>1656</v>
      </c>
      <c r="B156" s="1016" t="n">
        <v>15376</v>
      </c>
      <c r="C156" s="1015" t="s">
        <v>833</v>
      </c>
      <c r="D156" s="1015" t="s">
        <v>1110</v>
      </c>
      <c r="E156" s="1015" t="s">
        <v>800</v>
      </c>
      <c r="F156" s="1015" t="s">
        <v>826</v>
      </c>
      <c r="G156" s="1015" t="s">
        <v>1168</v>
      </c>
      <c r="H156" s="1017" t="n">
        <v>53711</v>
      </c>
      <c r="I156" s="1015" t="s">
        <v>1269</v>
      </c>
      <c r="J156" s="1015" t="n">
        <v>80</v>
      </c>
      <c r="K156" s="1018" t="n">
        <v>12.5</v>
      </c>
    </row>
    <row r="157" customFormat="false" ht="14.45" hidden="false" customHeight="false" outlineLevel="0" collapsed="false">
      <c r="A157" s="1015" t="s">
        <v>1656</v>
      </c>
      <c r="B157" s="1016" t="n">
        <v>15377</v>
      </c>
      <c r="C157" s="1015" t="s">
        <v>834</v>
      </c>
      <c r="D157" s="1015" t="s">
        <v>1110</v>
      </c>
      <c r="E157" s="1015" t="s">
        <v>800</v>
      </c>
      <c r="F157" s="1015" t="s">
        <v>826</v>
      </c>
      <c r="G157" s="1015" t="s">
        <v>1168</v>
      </c>
      <c r="H157" s="1017" t="n">
        <v>53712</v>
      </c>
      <c r="I157" s="1015" t="s">
        <v>1269</v>
      </c>
      <c r="J157" s="1015" t="n">
        <v>80</v>
      </c>
      <c r="K157" s="1018" t="n">
        <v>12.5</v>
      </c>
    </row>
    <row r="158" customFormat="false" ht="14.45" hidden="false" customHeight="false" outlineLevel="0" collapsed="false">
      <c r="A158" s="1015" t="s">
        <v>1656</v>
      </c>
      <c r="B158" s="1016" t="n">
        <v>15378</v>
      </c>
      <c r="C158" s="1015" t="s">
        <v>835</v>
      </c>
      <c r="D158" s="1015" t="s">
        <v>1110</v>
      </c>
      <c r="E158" s="1015" t="s">
        <v>800</v>
      </c>
      <c r="F158" s="1015" t="s">
        <v>826</v>
      </c>
      <c r="G158" s="1015" t="s">
        <v>1168</v>
      </c>
      <c r="H158" s="1017" t="n">
        <v>53713</v>
      </c>
      <c r="I158" s="1015" t="s">
        <v>1269</v>
      </c>
      <c r="J158" s="1015" t="n">
        <v>80</v>
      </c>
      <c r="K158" s="1018" t="n">
        <v>12.5</v>
      </c>
    </row>
    <row r="159" customFormat="false" ht="14.45" hidden="false" customHeight="false" outlineLevel="0" collapsed="false">
      <c r="A159" s="1015" t="s">
        <v>1656</v>
      </c>
      <c r="B159" s="1016" t="n">
        <v>15387</v>
      </c>
      <c r="C159" s="1015" t="s">
        <v>1174</v>
      </c>
      <c r="D159" s="1015" t="s">
        <v>1034</v>
      </c>
      <c r="E159" s="1015" t="s">
        <v>800</v>
      </c>
      <c r="F159" s="1015" t="s">
        <v>801</v>
      </c>
      <c r="G159" s="1015" t="s">
        <v>1168</v>
      </c>
      <c r="H159" s="1017" t="n">
        <v>53746</v>
      </c>
      <c r="I159" s="1015" t="s">
        <v>1269</v>
      </c>
      <c r="J159" s="1015" t="n">
        <v>5</v>
      </c>
      <c r="K159" s="1018" t="n">
        <v>5.8</v>
      </c>
    </row>
    <row r="160" customFormat="false" ht="14.45" hidden="false" customHeight="false" outlineLevel="0" collapsed="false">
      <c r="A160" s="1015" t="s">
        <v>1656</v>
      </c>
      <c r="B160" s="1016" t="n">
        <v>15388</v>
      </c>
      <c r="C160" s="1015" t="s">
        <v>1176</v>
      </c>
      <c r="D160" s="1015" t="s">
        <v>1034</v>
      </c>
      <c r="E160" s="1015" t="s">
        <v>800</v>
      </c>
      <c r="F160" s="1015" t="s">
        <v>801</v>
      </c>
      <c r="G160" s="1015" t="s">
        <v>1168</v>
      </c>
      <c r="H160" s="1017" t="n">
        <v>53747</v>
      </c>
      <c r="I160" s="1015" t="s">
        <v>1269</v>
      </c>
      <c r="J160" s="1015" t="n">
        <v>2.5</v>
      </c>
      <c r="K160" s="1018" t="n">
        <v>3.1</v>
      </c>
    </row>
    <row r="161" customFormat="false" ht="14.45" hidden="false" customHeight="false" outlineLevel="0" collapsed="false">
      <c r="A161" s="1015" t="s">
        <v>1656</v>
      </c>
      <c r="B161" s="1016" t="n">
        <v>15389</v>
      </c>
      <c r="C161" s="1015" t="s">
        <v>840</v>
      </c>
      <c r="D161" s="1015" t="s">
        <v>1034</v>
      </c>
      <c r="E161" s="1015" t="s">
        <v>800</v>
      </c>
      <c r="F161" s="1015" t="s">
        <v>801</v>
      </c>
      <c r="G161" s="1015" t="s">
        <v>1168</v>
      </c>
      <c r="H161" s="1017" t="n">
        <v>53748</v>
      </c>
      <c r="I161" s="1015" t="s">
        <v>1269</v>
      </c>
      <c r="J161" s="1015" t="n">
        <v>2</v>
      </c>
      <c r="K161" s="1018" t="n">
        <v>3.1</v>
      </c>
    </row>
    <row r="162" customFormat="false" ht="14.45" hidden="false" customHeight="false" outlineLevel="0" collapsed="false">
      <c r="A162" s="1015" t="s">
        <v>1656</v>
      </c>
      <c r="B162" s="1016" t="s">
        <v>1170</v>
      </c>
      <c r="C162" s="1015" t="s">
        <v>1171</v>
      </c>
      <c r="D162" s="1015" t="s">
        <v>1713</v>
      </c>
      <c r="E162" s="1015" t="s">
        <v>800</v>
      </c>
      <c r="F162" s="1015" t="s">
        <v>826</v>
      </c>
      <c r="G162" s="1015" t="s">
        <v>1168</v>
      </c>
      <c r="H162" s="1017" t="n">
        <v>66921</v>
      </c>
      <c r="I162" s="1015" t="s">
        <v>898</v>
      </c>
      <c r="J162" s="1015" t="n">
        <v>80</v>
      </c>
      <c r="K162" s="1018" t="n">
        <v>12.5</v>
      </c>
    </row>
    <row r="163" customFormat="false" ht="14.45" hidden="false" customHeight="false" outlineLevel="0" collapsed="false">
      <c r="A163" s="1015" t="s">
        <v>1656</v>
      </c>
      <c r="B163" s="1016" t="s">
        <v>1781</v>
      </c>
      <c r="C163" s="1015" t="s">
        <v>1782</v>
      </c>
      <c r="D163" s="1015" t="s">
        <v>999</v>
      </c>
      <c r="E163" s="1015" t="s">
        <v>800</v>
      </c>
      <c r="F163" s="1015" t="s">
        <v>801</v>
      </c>
      <c r="G163" s="1015" t="s">
        <v>1168</v>
      </c>
      <c r="H163" s="1017" t="n">
        <v>68656</v>
      </c>
      <c r="I163" s="1015" t="s">
        <v>1630</v>
      </c>
      <c r="J163" s="1015" t="n">
        <v>10</v>
      </c>
      <c r="K163" s="1018" t="n">
        <v>3.2</v>
      </c>
    </row>
    <row r="164" customFormat="false" ht="14.45" hidden="false" customHeight="false" outlineLevel="0" collapsed="false">
      <c r="A164" s="1015" t="s">
        <v>1656</v>
      </c>
      <c r="B164" s="1016" t="s">
        <v>1783</v>
      </c>
      <c r="C164" s="1015" t="s">
        <v>1784</v>
      </c>
      <c r="D164" s="1015" t="s">
        <v>999</v>
      </c>
      <c r="E164" s="1015" t="s">
        <v>800</v>
      </c>
      <c r="F164" s="1015" t="s">
        <v>801</v>
      </c>
      <c r="G164" s="1015" t="s">
        <v>1168</v>
      </c>
      <c r="H164" s="1017" t="n">
        <v>68657</v>
      </c>
      <c r="I164" s="1015" t="s">
        <v>1630</v>
      </c>
      <c r="J164" s="1015" t="n">
        <v>10</v>
      </c>
      <c r="K164" s="1018" t="n">
        <v>3.2</v>
      </c>
    </row>
    <row r="165" customFormat="false" ht="14.45" hidden="false" customHeight="false" outlineLevel="0" collapsed="false">
      <c r="A165" s="1015" t="s">
        <v>851</v>
      </c>
      <c r="B165" s="1016" t="s">
        <v>1217</v>
      </c>
      <c r="C165" s="1015" t="s">
        <v>1785</v>
      </c>
      <c r="D165" s="1015" t="s">
        <v>1191</v>
      </c>
      <c r="E165" s="1015" t="s">
        <v>800</v>
      </c>
      <c r="F165" s="1015" t="s">
        <v>801</v>
      </c>
      <c r="G165" s="1015" t="s">
        <v>1187</v>
      </c>
      <c r="H165" s="1017" t="n">
        <v>59893</v>
      </c>
      <c r="I165" s="1015" t="s">
        <v>1269</v>
      </c>
      <c r="J165" s="1015" t="n">
        <v>60</v>
      </c>
      <c r="K165" s="1018" t="n">
        <v>20</v>
      </c>
    </row>
    <row r="166" customFormat="false" ht="14.45" hidden="false" customHeight="false" outlineLevel="0" collapsed="false">
      <c r="A166" s="1015" t="s">
        <v>851</v>
      </c>
      <c r="B166" s="1016" t="s">
        <v>1220</v>
      </c>
      <c r="C166" s="1015" t="s">
        <v>1786</v>
      </c>
      <c r="E166" s="1015" t="s">
        <v>800</v>
      </c>
      <c r="F166" s="1015" t="s">
        <v>801</v>
      </c>
      <c r="G166" s="1015" t="s">
        <v>1187</v>
      </c>
      <c r="H166" s="1017" t="n">
        <v>59894</v>
      </c>
      <c r="I166" s="1015" t="s">
        <v>1269</v>
      </c>
      <c r="J166" s="1015" t="n">
        <v>60</v>
      </c>
      <c r="K166" s="1018" t="n">
        <v>20</v>
      </c>
    </row>
    <row r="167" customFormat="false" ht="14.45" hidden="false" customHeight="false" outlineLevel="0" collapsed="false">
      <c r="A167" s="1015" t="s">
        <v>851</v>
      </c>
      <c r="B167" s="1016" t="s">
        <v>1221</v>
      </c>
      <c r="C167" s="1015" t="s">
        <v>1787</v>
      </c>
      <c r="D167" s="1015" t="s">
        <v>1242</v>
      </c>
      <c r="E167" s="1015" t="s">
        <v>800</v>
      </c>
      <c r="F167" s="1015" t="s">
        <v>801</v>
      </c>
      <c r="G167" s="1015" t="s">
        <v>1187</v>
      </c>
      <c r="H167" s="1017" t="n">
        <v>59895</v>
      </c>
      <c r="I167" s="1015" t="s">
        <v>1269</v>
      </c>
      <c r="J167" s="1015" t="n">
        <v>60</v>
      </c>
      <c r="K167" s="1018" t="n">
        <v>20</v>
      </c>
    </row>
    <row r="168" customFormat="false" ht="14.45" hidden="false" customHeight="false" outlineLevel="0" collapsed="false">
      <c r="A168" s="1015" t="s">
        <v>851</v>
      </c>
      <c r="B168" s="1016" t="s">
        <v>1228</v>
      </c>
      <c r="C168" s="1015" t="s">
        <v>1229</v>
      </c>
      <c r="E168" s="1015" t="s">
        <v>800</v>
      </c>
      <c r="F168" s="1015" t="s">
        <v>801</v>
      </c>
      <c r="G168" s="1015" t="s">
        <v>1187</v>
      </c>
      <c r="H168" s="1017" t="n">
        <v>59900</v>
      </c>
      <c r="I168" s="1015" t="s">
        <v>1269</v>
      </c>
      <c r="J168" s="1015" t="n">
        <v>5</v>
      </c>
      <c r="K168" s="1018" t="n">
        <v>5</v>
      </c>
    </row>
    <row r="169" customFormat="false" ht="14.45" hidden="false" customHeight="false" outlineLevel="0" collapsed="false">
      <c r="A169" s="1015" t="s">
        <v>851</v>
      </c>
      <c r="B169" s="1016" t="s">
        <v>1231</v>
      </c>
      <c r="C169" s="1015" t="s">
        <v>1788</v>
      </c>
      <c r="E169" s="1015" t="s">
        <v>800</v>
      </c>
      <c r="F169" s="1015" t="s">
        <v>801</v>
      </c>
      <c r="G169" s="1015" t="s">
        <v>1187</v>
      </c>
      <c r="H169" s="1017" t="n">
        <v>59901</v>
      </c>
      <c r="I169" s="1015" t="s">
        <v>1269</v>
      </c>
      <c r="J169" s="1015" t="n">
        <v>5</v>
      </c>
      <c r="K169" s="1018" t="n">
        <v>5</v>
      </c>
    </row>
    <row r="170" customFormat="false" ht="14.45" hidden="false" customHeight="false" outlineLevel="0" collapsed="false">
      <c r="A170" s="1015" t="s">
        <v>851</v>
      </c>
      <c r="B170" s="1016" t="s">
        <v>1237</v>
      </c>
      <c r="C170" s="1015" t="s">
        <v>1238</v>
      </c>
      <c r="E170" s="1015" t="s">
        <v>800</v>
      </c>
      <c r="F170" s="1015" t="s">
        <v>801</v>
      </c>
      <c r="G170" s="1015" t="s">
        <v>1187</v>
      </c>
      <c r="H170" s="1017" t="n">
        <v>59903</v>
      </c>
      <c r="I170" s="1015" t="s">
        <v>1269</v>
      </c>
      <c r="J170" s="1015" t="n">
        <v>5</v>
      </c>
      <c r="K170" s="1018" t="n">
        <v>4.9</v>
      </c>
    </row>
    <row r="171" customFormat="false" ht="14.45" hidden="false" customHeight="false" outlineLevel="0" collapsed="false">
      <c r="A171" s="1015" t="s">
        <v>851</v>
      </c>
      <c r="B171" s="1016" t="s">
        <v>1240</v>
      </c>
      <c r="C171" s="1015" t="s">
        <v>1241</v>
      </c>
      <c r="E171" s="1015" t="s">
        <v>800</v>
      </c>
      <c r="F171" s="1015" t="s">
        <v>801</v>
      </c>
      <c r="G171" s="1015" t="s">
        <v>1187</v>
      </c>
      <c r="H171" s="1017" t="n">
        <v>59905</v>
      </c>
      <c r="I171" s="1015" t="s">
        <v>1269</v>
      </c>
      <c r="J171" s="1015" t="n">
        <v>3</v>
      </c>
      <c r="K171" s="1018" t="n">
        <v>2.8</v>
      </c>
    </row>
    <row r="172" customFormat="false" ht="14.45" hidden="false" customHeight="false" outlineLevel="0" collapsed="false">
      <c r="A172" s="1015" t="s">
        <v>851</v>
      </c>
      <c r="B172" s="1016" t="s">
        <v>1244</v>
      </c>
      <c r="C172" s="1015" t="s">
        <v>1245</v>
      </c>
      <c r="D172" s="1015" t="s">
        <v>1191</v>
      </c>
      <c r="E172" s="1015" t="s">
        <v>800</v>
      </c>
      <c r="F172" s="1015" t="s">
        <v>801</v>
      </c>
      <c r="G172" s="1015" t="s">
        <v>1187</v>
      </c>
      <c r="H172" s="1017" t="n">
        <v>59909</v>
      </c>
      <c r="I172" s="1015" t="s">
        <v>1269</v>
      </c>
      <c r="J172" s="1015" t="n">
        <v>5</v>
      </c>
      <c r="K172" s="1018" t="n">
        <v>4.5</v>
      </c>
    </row>
    <row r="173" customFormat="false" ht="14.45" hidden="false" customHeight="false" outlineLevel="0" collapsed="false">
      <c r="A173" s="1015" t="s">
        <v>851</v>
      </c>
      <c r="B173" s="1016" t="s">
        <v>1247</v>
      </c>
      <c r="C173" s="1015" t="s">
        <v>1245</v>
      </c>
      <c r="D173" s="1015" t="s">
        <v>1191</v>
      </c>
      <c r="E173" s="1015" t="s">
        <v>800</v>
      </c>
      <c r="F173" s="1015" t="s">
        <v>801</v>
      </c>
      <c r="G173" s="1015" t="s">
        <v>1187</v>
      </c>
      <c r="H173" s="1017" t="n">
        <v>59910</v>
      </c>
      <c r="I173" s="1015" t="s">
        <v>1269</v>
      </c>
      <c r="J173" s="1015" t="n">
        <v>5</v>
      </c>
      <c r="K173" s="1018" t="n">
        <v>4.5</v>
      </c>
    </row>
    <row r="174" customFormat="false" ht="14.45" hidden="false" customHeight="false" outlineLevel="0" collapsed="false">
      <c r="A174" s="1015" t="s">
        <v>851</v>
      </c>
      <c r="B174" s="1016" t="s">
        <v>1248</v>
      </c>
      <c r="C174" s="1015" t="s">
        <v>1241</v>
      </c>
      <c r="D174" s="1015" t="s">
        <v>1242</v>
      </c>
      <c r="E174" s="1015" t="s">
        <v>800</v>
      </c>
      <c r="F174" s="1015" t="s">
        <v>801</v>
      </c>
      <c r="G174" s="1015" t="s">
        <v>1187</v>
      </c>
      <c r="H174" s="1017" t="n">
        <v>59917</v>
      </c>
      <c r="I174" s="1015" t="s">
        <v>1269</v>
      </c>
      <c r="J174" s="1015" t="n">
        <v>5</v>
      </c>
      <c r="K174" s="1018" t="n">
        <v>5.1</v>
      </c>
    </row>
    <row r="175" customFormat="false" ht="14.45" hidden="false" customHeight="false" outlineLevel="0" collapsed="false">
      <c r="A175" s="1015" t="s">
        <v>851</v>
      </c>
      <c r="B175" s="1016" t="s">
        <v>1250</v>
      </c>
      <c r="C175" s="1015" t="s">
        <v>1789</v>
      </c>
      <c r="D175" s="1015" t="s">
        <v>1252</v>
      </c>
      <c r="E175" s="1015" t="s">
        <v>800</v>
      </c>
      <c r="F175" s="1015" t="s">
        <v>826</v>
      </c>
      <c r="G175" s="1015" t="s">
        <v>1187</v>
      </c>
      <c r="H175" s="1017" t="n">
        <v>59918</v>
      </c>
      <c r="I175" s="1015" t="s">
        <v>1269</v>
      </c>
      <c r="J175" s="1015" t="n">
        <v>225</v>
      </c>
      <c r="K175" s="1018" t="n">
        <v>40</v>
      </c>
      <c r="L175" s="1018" t="n">
        <v>40</v>
      </c>
    </row>
    <row r="176" customFormat="false" ht="14.45" hidden="false" customHeight="false" outlineLevel="0" collapsed="false">
      <c r="A176" s="1015" t="s">
        <v>851</v>
      </c>
      <c r="B176" s="1016" t="s">
        <v>1255</v>
      </c>
      <c r="C176" s="1015" t="s">
        <v>1790</v>
      </c>
      <c r="D176" s="1015" t="s">
        <v>1257</v>
      </c>
      <c r="E176" s="1015" t="s">
        <v>800</v>
      </c>
      <c r="F176" s="1015" t="s">
        <v>801</v>
      </c>
      <c r="G176" s="1015" t="s">
        <v>1187</v>
      </c>
      <c r="H176" s="1017" t="n">
        <v>62409</v>
      </c>
      <c r="I176" s="1015" t="s">
        <v>898</v>
      </c>
      <c r="J176" s="1015" t="n">
        <v>70</v>
      </c>
      <c r="K176" s="1018" t="n">
        <v>16.8</v>
      </c>
      <c r="L176" s="1018" t="n">
        <v>16.5</v>
      </c>
    </row>
    <row r="177" customFormat="false" ht="14.45" hidden="false" customHeight="false" outlineLevel="0" collapsed="false">
      <c r="A177" s="1015" t="s">
        <v>851</v>
      </c>
      <c r="B177" s="1016" t="s">
        <v>1259</v>
      </c>
      <c r="C177" s="1015" t="s">
        <v>1791</v>
      </c>
      <c r="D177" s="1015" t="s">
        <v>1257</v>
      </c>
      <c r="E177" s="1015" t="s">
        <v>800</v>
      </c>
      <c r="F177" s="1015" t="s">
        <v>801</v>
      </c>
      <c r="G177" s="1015" t="s">
        <v>1187</v>
      </c>
      <c r="H177" s="1017" t="n">
        <v>62410</v>
      </c>
      <c r="I177" s="1015" t="s">
        <v>898</v>
      </c>
      <c r="J177" s="1015" t="n">
        <v>70</v>
      </c>
      <c r="K177" s="1018" t="n">
        <v>17.5</v>
      </c>
      <c r="L177" s="1018" t="n">
        <v>17.5</v>
      </c>
    </row>
    <row r="178" customFormat="false" ht="14.45" hidden="false" customHeight="false" outlineLevel="0" collapsed="false">
      <c r="A178" s="1015" t="s">
        <v>851</v>
      </c>
      <c r="B178" s="1016" t="s">
        <v>1184</v>
      </c>
      <c r="C178" s="1015" t="s">
        <v>1792</v>
      </c>
      <c r="D178" s="1015" t="s">
        <v>1186</v>
      </c>
      <c r="E178" s="1015" t="s">
        <v>800</v>
      </c>
      <c r="F178" s="1015" t="s">
        <v>801</v>
      </c>
      <c r="G178" s="1015" t="s">
        <v>1187</v>
      </c>
      <c r="H178" s="1017" t="n">
        <v>65115</v>
      </c>
      <c r="I178" s="1015" t="s">
        <v>898</v>
      </c>
      <c r="J178" s="1015" t="n">
        <v>14</v>
      </c>
      <c r="K178" s="1018" t="n">
        <v>4</v>
      </c>
    </row>
    <row r="179" customFormat="false" ht="14.45" hidden="false" customHeight="false" outlineLevel="0" collapsed="false">
      <c r="A179" s="1015" t="s">
        <v>851</v>
      </c>
      <c r="B179" s="1016" t="s">
        <v>1189</v>
      </c>
      <c r="C179" s="1015" t="s">
        <v>1190</v>
      </c>
      <c r="D179" s="1015" t="s">
        <v>1191</v>
      </c>
      <c r="E179" s="1015" t="s">
        <v>800</v>
      </c>
      <c r="F179" s="1015" t="s">
        <v>801</v>
      </c>
      <c r="G179" s="1015" t="s">
        <v>1187</v>
      </c>
      <c r="H179" s="1017" t="n">
        <v>65116</v>
      </c>
      <c r="I179" s="1015" t="s">
        <v>898</v>
      </c>
      <c r="J179" s="1015" t="n">
        <v>7.2</v>
      </c>
      <c r="K179" s="1018" t="n">
        <v>4.9</v>
      </c>
    </row>
    <row r="180" customFormat="false" ht="14.45" hidden="false" customHeight="false" outlineLevel="0" collapsed="false">
      <c r="A180" s="1015" t="s">
        <v>1107</v>
      </c>
      <c r="B180" s="1016" t="s">
        <v>1793</v>
      </c>
      <c r="C180" s="1015" t="s">
        <v>1794</v>
      </c>
      <c r="D180" s="1015" t="s">
        <v>1279</v>
      </c>
      <c r="E180" s="1015" t="s">
        <v>800</v>
      </c>
      <c r="F180" s="1015" t="s">
        <v>801</v>
      </c>
      <c r="G180" s="1015" t="s">
        <v>1264</v>
      </c>
      <c r="H180" s="1017" t="n">
        <v>54035</v>
      </c>
      <c r="I180" s="1015" t="s">
        <v>1269</v>
      </c>
      <c r="J180" s="1015" t="n">
        <v>7</v>
      </c>
      <c r="K180" s="1018" t="n">
        <v>3.5</v>
      </c>
    </row>
    <row r="181" customFormat="false" ht="14.45" hidden="false" customHeight="false" outlineLevel="0" collapsed="false">
      <c r="A181" s="1015" t="s">
        <v>1107</v>
      </c>
      <c r="B181" s="1016" t="s">
        <v>1795</v>
      </c>
      <c r="C181" s="1015" t="s">
        <v>1289</v>
      </c>
      <c r="D181" s="1015" t="s">
        <v>1110</v>
      </c>
      <c r="E181" s="1015" t="s">
        <v>800</v>
      </c>
      <c r="F181" s="1015" t="s">
        <v>801</v>
      </c>
      <c r="G181" s="1015" t="s">
        <v>1264</v>
      </c>
      <c r="H181" s="1017" t="n">
        <v>55362</v>
      </c>
      <c r="I181" s="1015" t="s">
        <v>898</v>
      </c>
      <c r="J181" s="1015" t="n">
        <v>53</v>
      </c>
      <c r="K181" s="1018" t="n">
        <v>14.5</v>
      </c>
    </row>
    <row r="182" customFormat="false" ht="14.45" hidden="false" customHeight="false" outlineLevel="0" collapsed="false">
      <c r="A182" s="1015" t="s">
        <v>1107</v>
      </c>
      <c r="B182" s="1016" t="s">
        <v>1796</v>
      </c>
      <c r="C182" s="1015" t="s">
        <v>1286</v>
      </c>
      <c r="D182" s="1015" t="s">
        <v>1283</v>
      </c>
      <c r="E182" s="1015" t="s">
        <v>800</v>
      </c>
      <c r="F182" s="1015" t="s">
        <v>801</v>
      </c>
      <c r="G182" s="1015" t="s">
        <v>1264</v>
      </c>
      <c r="H182" s="1017" t="n">
        <v>55363</v>
      </c>
      <c r="I182" s="1015" t="s">
        <v>898</v>
      </c>
      <c r="J182" s="1015" t="n">
        <v>53</v>
      </c>
      <c r="K182" s="1018" t="n">
        <v>18.5</v>
      </c>
    </row>
    <row r="183" customFormat="false" ht="14.45" hidden="false" customHeight="false" outlineLevel="0" collapsed="false">
      <c r="A183" s="1015" t="s">
        <v>1107</v>
      </c>
      <c r="B183" s="1016" t="s">
        <v>1797</v>
      </c>
      <c r="C183" s="1015" t="s">
        <v>1282</v>
      </c>
      <c r="D183" s="1015" t="s">
        <v>1283</v>
      </c>
      <c r="E183" s="1015" t="s">
        <v>800</v>
      </c>
      <c r="F183" s="1015" t="s">
        <v>801</v>
      </c>
      <c r="G183" s="1015" t="s">
        <v>1264</v>
      </c>
      <c r="H183" s="1017" t="n">
        <v>55364</v>
      </c>
      <c r="I183" s="1015" t="s">
        <v>898</v>
      </c>
      <c r="J183" s="1015" t="n">
        <v>53</v>
      </c>
      <c r="K183" s="1018" t="n">
        <v>21</v>
      </c>
    </row>
    <row r="184" customFormat="false" ht="14.45" hidden="false" customHeight="false" outlineLevel="0" collapsed="false">
      <c r="A184" s="1015" t="s">
        <v>1107</v>
      </c>
      <c r="B184" s="1016" t="n">
        <v>72530467</v>
      </c>
      <c r="C184" s="1015" t="s">
        <v>1798</v>
      </c>
      <c r="D184" s="1015" t="s">
        <v>999</v>
      </c>
      <c r="E184" s="1015" t="s">
        <v>800</v>
      </c>
      <c r="F184" s="1015" t="s">
        <v>801</v>
      </c>
      <c r="G184" s="1015" t="s">
        <v>1264</v>
      </c>
      <c r="H184" s="1017" t="n">
        <v>66427</v>
      </c>
      <c r="I184" s="1015" t="s">
        <v>898</v>
      </c>
      <c r="J184" s="1015" t="n">
        <v>14</v>
      </c>
      <c r="K184" s="1018" t="n">
        <v>4.2</v>
      </c>
    </row>
    <row r="185" customFormat="false" ht="14.45" hidden="false" customHeight="false" outlineLevel="0" collapsed="false">
      <c r="A185" s="1015" t="s">
        <v>1107</v>
      </c>
      <c r="B185" s="1016" t="n">
        <v>37449</v>
      </c>
      <c r="C185" s="1015" t="s">
        <v>1799</v>
      </c>
      <c r="D185" s="1015" t="s">
        <v>999</v>
      </c>
      <c r="E185" s="1015" t="s">
        <v>800</v>
      </c>
      <c r="F185" s="1015" t="s">
        <v>801</v>
      </c>
      <c r="G185" s="1015" t="s">
        <v>1264</v>
      </c>
      <c r="H185" s="1017" t="n">
        <v>66428</v>
      </c>
      <c r="I185" s="1015" t="s">
        <v>898</v>
      </c>
      <c r="J185" s="1015" t="n">
        <v>14</v>
      </c>
      <c r="K185" s="1018" t="n">
        <v>4.2</v>
      </c>
    </row>
    <row r="186" customFormat="false" ht="14.45" hidden="false" customHeight="false" outlineLevel="0" collapsed="false">
      <c r="A186" s="1015" t="s">
        <v>1107</v>
      </c>
      <c r="B186" s="1016" t="n">
        <v>37450</v>
      </c>
      <c r="C186" s="1015" t="s">
        <v>1800</v>
      </c>
      <c r="D186" s="1015" t="s">
        <v>999</v>
      </c>
      <c r="E186" s="1015" t="s">
        <v>800</v>
      </c>
      <c r="F186" s="1015" t="s">
        <v>801</v>
      </c>
      <c r="G186" s="1015" t="s">
        <v>1264</v>
      </c>
      <c r="H186" s="1017" t="n">
        <v>66429</v>
      </c>
      <c r="I186" s="1015" t="s">
        <v>898</v>
      </c>
      <c r="J186" s="1015" t="n">
        <v>14</v>
      </c>
      <c r="K186" s="1018" t="n">
        <v>4.3</v>
      </c>
    </row>
    <row r="187" customFormat="false" ht="14.45" hidden="false" customHeight="false" outlineLevel="0" collapsed="false">
      <c r="A187" s="1015" t="s">
        <v>1107</v>
      </c>
      <c r="B187" s="1016" t="n">
        <v>37451</v>
      </c>
      <c r="C187" s="1015" t="s">
        <v>1801</v>
      </c>
      <c r="D187" s="1015" t="s">
        <v>999</v>
      </c>
      <c r="E187" s="1015" t="s">
        <v>800</v>
      </c>
      <c r="F187" s="1015" t="s">
        <v>801</v>
      </c>
      <c r="G187" s="1015" t="s">
        <v>1264</v>
      </c>
      <c r="H187" s="1017" t="n">
        <v>66430</v>
      </c>
      <c r="I187" s="1015" t="s">
        <v>898</v>
      </c>
      <c r="J187" s="1015" t="n">
        <v>14</v>
      </c>
      <c r="K187" s="1018" t="n">
        <v>4.4</v>
      </c>
    </row>
    <row r="188" customFormat="false" ht="14.45" hidden="false" customHeight="false" outlineLevel="0" collapsed="false">
      <c r="A188" s="1015" t="s">
        <v>1107</v>
      </c>
      <c r="B188" s="1016" t="n">
        <v>37452</v>
      </c>
      <c r="C188" s="1015" t="s">
        <v>1802</v>
      </c>
      <c r="D188" s="1015" t="s">
        <v>999</v>
      </c>
      <c r="E188" s="1015" t="s">
        <v>800</v>
      </c>
      <c r="F188" s="1015" t="s">
        <v>801</v>
      </c>
      <c r="G188" s="1015" t="s">
        <v>1264</v>
      </c>
      <c r="H188" s="1017" t="n">
        <v>66431</v>
      </c>
      <c r="I188" s="1015" t="s">
        <v>1269</v>
      </c>
      <c r="J188" s="1015" t="n">
        <v>10</v>
      </c>
      <c r="K188" s="1018" t="n">
        <v>44.5</v>
      </c>
    </row>
    <row r="189" customFormat="false" ht="14.45" hidden="false" customHeight="false" outlineLevel="0" collapsed="false">
      <c r="A189" s="1015" t="s">
        <v>1107</v>
      </c>
      <c r="B189" s="1016" t="n">
        <v>37453</v>
      </c>
      <c r="C189" s="1015" t="s">
        <v>1803</v>
      </c>
      <c r="D189" s="1015" t="s">
        <v>999</v>
      </c>
      <c r="E189" s="1015" t="s">
        <v>800</v>
      </c>
      <c r="F189" s="1015" t="s">
        <v>801</v>
      </c>
      <c r="G189" s="1015" t="s">
        <v>1264</v>
      </c>
      <c r="H189" s="1017" t="n">
        <v>66432</v>
      </c>
      <c r="I189" s="1015" t="s">
        <v>898</v>
      </c>
      <c r="J189" s="1015" t="n">
        <v>10</v>
      </c>
      <c r="K189" s="1018" t="n">
        <v>4.24</v>
      </c>
    </row>
    <row r="190" customFormat="false" ht="14.45" hidden="false" customHeight="false" outlineLevel="0" collapsed="false">
      <c r="A190" s="1015" t="s">
        <v>929</v>
      </c>
      <c r="B190" s="1016" t="s">
        <v>1804</v>
      </c>
      <c r="C190" s="1015" t="s">
        <v>1805</v>
      </c>
      <c r="E190" s="1015" t="s">
        <v>800</v>
      </c>
      <c r="F190" s="1015" t="s">
        <v>838</v>
      </c>
      <c r="G190" s="1015" t="s">
        <v>1301</v>
      </c>
      <c r="H190" s="1017" t="n">
        <v>51510</v>
      </c>
      <c r="I190" s="1015" t="s">
        <v>1269</v>
      </c>
      <c r="J190" s="1015" t="n">
        <v>1</v>
      </c>
      <c r="K190" s="1018" t="n">
        <v>18.4</v>
      </c>
    </row>
    <row r="191" customFormat="false" ht="14.45" hidden="false" customHeight="false" outlineLevel="0" collapsed="false">
      <c r="A191" s="1015" t="s">
        <v>978</v>
      </c>
      <c r="B191" s="1016" t="s">
        <v>1311</v>
      </c>
      <c r="C191" s="1015" t="s">
        <v>1806</v>
      </c>
      <c r="E191" s="1015" t="s">
        <v>800</v>
      </c>
      <c r="F191" s="1015" t="s">
        <v>801</v>
      </c>
      <c r="G191" s="1015" t="s">
        <v>1301</v>
      </c>
      <c r="H191" s="1017" t="n">
        <v>51633</v>
      </c>
      <c r="I191" s="1015" t="s">
        <v>898</v>
      </c>
      <c r="J191" s="1015" t="n">
        <v>18.4</v>
      </c>
      <c r="K191" s="1018" t="n">
        <v>12.5</v>
      </c>
    </row>
    <row r="192" customFormat="false" ht="14.45" hidden="false" customHeight="false" outlineLevel="0" collapsed="false">
      <c r="A192" s="1015" t="s">
        <v>978</v>
      </c>
      <c r="B192" s="1016" t="s">
        <v>1306</v>
      </c>
      <c r="C192" s="1015" t="s">
        <v>835</v>
      </c>
      <c r="D192" s="1015" t="s">
        <v>1300</v>
      </c>
      <c r="E192" s="1015" t="s">
        <v>800</v>
      </c>
      <c r="F192" s="1015" t="s">
        <v>826</v>
      </c>
      <c r="G192" s="1015" t="s">
        <v>1301</v>
      </c>
      <c r="H192" s="1017" t="n">
        <v>51636</v>
      </c>
      <c r="I192" s="1015" t="s">
        <v>898</v>
      </c>
      <c r="J192" s="1015" t="n">
        <v>78</v>
      </c>
      <c r="K192" s="1018" t="n">
        <v>12.5</v>
      </c>
    </row>
    <row r="193" customFormat="false" ht="14.45" hidden="false" customHeight="false" outlineLevel="0" collapsed="false">
      <c r="A193" s="1015" t="s">
        <v>978</v>
      </c>
      <c r="B193" s="1016" t="s">
        <v>1304</v>
      </c>
      <c r="C193" s="1015" t="s">
        <v>1171</v>
      </c>
      <c r="D193" s="1015" t="s">
        <v>1300</v>
      </c>
      <c r="E193" s="1015" t="s">
        <v>800</v>
      </c>
      <c r="F193" s="1015" t="s">
        <v>826</v>
      </c>
      <c r="G193" s="1015" t="s">
        <v>1301</v>
      </c>
      <c r="H193" s="1017" t="n">
        <v>51637</v>
      </c>
      <c r="I193" s="1015" t="s">
        <v>898</v>
      </c>
      <c r="J193" s="1015" t="n">
        <v>78</v>
      </c>
      <c r="K193" s="1018" t="n">
        <v>12.5</v>
      </c>
    </row>
    <row r="194" customFormat="false" ht="14.45" hidden="false" customHeight="false" outlineLevel="0" collapsed="false">
      <c r="A194" s="1015" t="s">
        <v>978</v>
      </c>
      <c r="B194" s="1016" t="s">
        <v>1314</v>
      </c>
      <c r="C194" s="1015" t="s">
        <v>829</v>
      </c>
      <c r="D194" s="1015" t="s">
        <v>1300</v>
      </c>
      <c r="E194" s="1015" t="s">
        <v>800</v>
      </c>
      <c r="F194" s="1015" t="s">
        <v>826</v>
      </c>
      <c r="G194" s="1015" t="s">
        <v>1301</v>
      </c>
      <c r="H194" s="1017" t="n">
        <v>51638</v>
      </c>
      <c r="I194" s="1015" t="s">
        <v>898</v>
      </c>
      <c r="J194" s="1015" t="n">
        <v>78</v>
      </c>
      <c r="K194" s="1018" t="n">
        <v>12.5</v>
      </c>
    </row>
    <row r="195" customFormat="false" ht="14.45" hidden="false" customHeight="false" outlineLevel="0" collapsed="false">
      <c r="A195" s="1015" t="s">
        <v>978</v>
      </c>
      <c r="B195" s="1016" t="s">
        <v>1298</v>
      </c>
      <c r="C195" s="1015" t="s">
        <v>1807</v>
      </c>
      <c r="D195" s="1015" t="s">
        <v>1300</v>
      </c>
      <c r="E195" s="1015" t="s">
        <v>800</v>
      </c>
      <c r="F195" s="1015" t="s">
        <v>826</v>
      </c>
      <c r="G195" s="1015" t="s">
        <v>1301</v>
      </c>
      <c r="H195" s="1017" t="n">
        <v>51639</v>
      </c>
      <c r="I195" s="1015" t="s">
        <v>898</v>
      </c>
      <c r="J195" s="1015" t="n">
        <v>78</v>
      </c>
      <c r="K195" s="1018" t="n">
        <v>12.5</v>
      </c>
    </row>
    <row r="196" customFormat="false" ht="14.45" hidden="false" customHeight="false" outlineLevel="0" collapsed="false">
      <c r="A196" s="1015" t="s">
        <v>978</v>
      </c>
      <c r="B196" s="1016" t="s">
        <v>1302</v>
      </c>
      <c r="C196" s="1015" t="s">
        <v>831</v>
      </c>
      <c r="D196" s="1015" t="s">
        <v>1300</v>
      </c>
      <c r="E196" s="1015" t="s">
        <v>800</v>
      </c>
      <c r="F196" s="1015" t="s">
        <v>826</v>
      </c>
      <c r="G196" s="1015" t="s">
        <v>1301</v>
      </c>
      <c r="H196" s="1017" t="n">
        <v>51699</v>
      </c>
      <c r="I196" s="1015" t="s">
        <v>898</v>
      </c>
      <c r="J196" s="1015" t="n">
        <v>78</v>
      </c>
      <c r="K196" s="1018" t="n">
        <v>12.5</v>
      </c>
    </row>
    <row r="197" customFormat="false" ht="14.45" hidden="false" customHeight="false" outlineLevel="0" collapsed="false">
      <c r="A197" s="1015" t="s">
        <v>978</v>
      </c>
      <c r="B197" s="1016" t="s">
        <v>1303</v>
      </c>
      <c r="C197" s="1015" t="s">
        <v>830</v>
      </c>
      <c r="D197" s="1015" t="s">
        <v>1300</v>
      </c>
      <c r="E197" s="1015" t="s">
        <v>800</v>
      </c>
      <c r="F197" s="1015" t="s">
        <v>826</v>
      </c>
      <c r="G197" s="1015" t="s">
        <v>1301</v>
      </c>
      <c r="H197" s="1017" t="n">
        <v>51700</v>
      </c>
      <c r="I197" s="1015" t="s">
        <v>898</v>
      </c>
      <c r="J197" s="1015" t="n">
        <v>78</v>
      </c>
      <c r="K197" s="1018" t="n">
        <v>12.5</v>
      </c>
    </row>
    <row r="198" customFormat="false" ht="14.45" hidden="false" customHeight="false" outlineLevel="0" collapsed="false">
      <c r="A198" s="1015" t="s">
        <v>978</v>
      </c>
      <c r="B198" s="1016" t="s">
        <v>1315</v>
      </c>
      <c r="C198" s="1015" t="s">
        <v>824</v>
      </c>
      <c r="D198" s="1015" t="s">
        <v>1300</v>
      </c>
      <c r="E198" s="1015" t="s">
        <v>800</v>
      </c>
      <c r="F198" s="1015" t="s">
        <v>826</v>
      </c>
      <c r="G198" s="1015" t="s">
        <v>1301</v>
      </c>
      <c r="H198" s="1017" t="n">
        <v>51802</v>
      </c>
      <c r="I198" s="1015" t="s">
        <v>898</v>
      </c>
      <c r="J198" s="1015" t="n">
        <v>78</v>
      </c>
      <c r="K198" s="1018" t="n">
        <v>12.5</v>
      </c>
    </row>
    <row r="199" customFormat="false" ht="14.45" hidden="false" customHeight="false" outlineLevel="0" collapsed="false">
      <c r="A199" s="1015" t="s">
        <v>1624</v>
      </c>
      <c r="B199" s="1016" t="s">
        <v>1808</v>
      </c>
      <c r="C199" s="1015" t="s">
        <v>1171</v>
      </c>
      <c r="D199" s="1015" t="s">
        <v>1713</v>
      </c>
      <c r="E199" s="1015" t="s">
        <v>800</v>
      </c>
      <c r="F199" s="1015" t="s">
        <v>826</v>
      </c>
      <c r="G199" s="1015" t="s">
        <v>1301</v>
      </c>
      <c r="H199" s="1017" t="n">
        <v>67441</v>
      </c>
      <c r="I199" s="1015" t="s">
        <v>898</v>
      </c>
      <c r="J199" s="1015" t="n">
        <v>80</v>
      </c>
      <c r="K199" s="1018" t="n">
        <v>12.5</v>
      </c>
    </row>
    <row r="200" customFormat="false" ht="14.45" hidden="false" customHeight="false" outlineLevel="0" collapsed="false">
      <c r="A200" s="1015" t="s">
        <v>978</v>
      </c>
      <c r="B200" s="1016" t="s">
        <v>1809</v>
      </c>
      <c r="C200" s="1015" t="s">
        <v>1810</v>
      </c>
      <c r="D200" s="1015" t="s">
        <v>999</v>
      </c>
      <c r="E200" s="1015" t="s">
        <v>800</v>
      </c>
      <c r="F200" s="1015" t="s">
        <v>801</v>
      </c>
      <c r="G200" s="1015" t="s">
        <v>1301</v>
      </c>
      <c r="H200" s="1017" t="n">
        <v>68839</v>
      </c>
      <c r="I200" s="1015" t="s">
        <v>898</v>
      </c>
      <c r="J200" s="1015" t="n">
        <v>2.8</v>
      </c>
      <c r="K200" s="1018" t="n">
        <v>4.5</v>
      </c>
    </row>
    <row r="201" customFormat="false" ht="14.45" hidden="false" customHeight="false" outlineLevel="0" collapsed="false">
      <c r="A201" s="1015" t="s">
        <v>978</v>
      </c>
      <c r="B201" s="1016" t="s">
        <v>1811</v>
      </c>
      <c r="C201" s="1015" t="s">
        <v>1812</v>
      </c>
      <c r="D201" s="1015" t="s">
        <v>999</v>
      </c>
      <c r="E201" s="1015" t="s">
        <v>800</v>
      </c>
      <c r="F201" s="1015" t="s">
        <v>801</v>
      </c>
      <c r="G201" s="1015" t="s">
        <v>1301</v>
      </c>
      <c r="H201" s="1017" t="n">
        <v>68840</v>
      </c>
      <c r="I201" s="1015" t="s">
        <v>898</v>
      </c>
      <c r="J201" s="1015" t="n">
        <v>2.8</v>
      </c>
      <c r="K201" s="1018" t="n">
        <v>4.5</v>
      </c>
    </row>
    <row r="202" customFormat="false" ht="14.45" hidden="false" customHeight="false" outlineLevel="0" collapsed="false">
      <c r="A202" s="1015" t="s">
        <v>978</v>
      </c>
      <c r="B202" s="1016" t="s">
        <v>1813</v>
      </c>
      <c r="C202" s="1015" t="s">
        <v>1814</v>
      </c>
      <c r="D202" s="1015" t="s">
        <v>999</v>
      </c>
      <c r="E202" s="1015" t="s">
        <v>800</v>
      </c>
      <c r="F202" s="1015" t="s">
        <v>801</v>
      </c>
      <c r="G202" s="1015" t="s">
        <v>1301</v>
      </c>
      <c r="H202" s="1017" t="n">
        <v>68842</v>
      </c>
      <c r="I202" s="1015" t="s">
        <v>898</v>
      </c>
      <c r="J202" s="1015" t="n">
        <v>2.8</v>
      </c>
      <c r="K202" s="1018" t="n">
        <v>4.5</v>
      </c>
    </row>
    <row r="203" customFormat="false" ht="14.45" hidden="false" customHeight="false" outlineLevel="0" collapsed="false">
      <c r="A203" s="1015" t="s">
        <v>851</v>
      </c>
      <c r="B203" s="1016" t="s">
        <v>1815</v>
      </c>
      <c r="C203" s="1015" t="s">
        <v>1816</v>
      </c>
      <c r="D203" s="1015" t="s">
        <v>1347</v>
      </c>
      <c r="E203" s="1015" t="s">
        <v>800</v>
      </c>
      <c r="F203" s="1015" t="s">
        <v>826</v>
      </c>
      <c r="G203" s="1015" t="s">
        <v>1318</v>
      </c>
      <c r="H203" s="1017" t="n">
        <v>51366</v>
      </c>
      <c r="I203" s="1015" t="s">
        <v>898</v>
      </c>
      <c r="J203" s="1015" t="n">
        <v>50</v>
      </c>
      <c r="K203" s="1018" t="n">
        <v>12.5</v>
      </c>
    </row>
    <row r="204" customFormat="false" ht="14.45" hidden="false" customHeight="false" outlineLevel="0" collapsed="false">
      <c r="A204" s="1015" t="s">
        <v>851</v>
      </c>
      <c r="B204" s="1016" t="s">
        <v>1817</v>
      </c>
      <c r="C204" s="1015" t="s">
        <v>1818</v>
      </c>
      <c r="D204" s="1015" t="s">
        <v>1347</v>
      </c>
      <c r="E204" s="1015" t="s">
        <v>800</v>
      </c>
      <c r="F204" s="1015" t="s">
        <v>826</v>
      </c>
      <c r="G204" s="1015" t="s">
        <v>1318</v>
      </c>
      <c r="H204" s="1017" t="n">
        <v>51367</v>
      </c>
      <c r="I204" s="1015" t="s">
        <v>898</v>
      </c>
      <c r="J204" s="1015" t="n">
        <v>50</v>
      </c>
      <c r="K204" s="1018" t="n">
        <v>12.5</v>
      </c>
    </row>
    <row r="205" customFormat="false" ht="14.45" hidden="false" customHeight="false" outlineLevel="0" collapsed="false">
      <c r="A205" s="1015" t="s">
        <v>851</v>
      </c>
      <c r="B205" s="1016" t="s">
        <v>1819</v>
      </c>
      <c r="C205" s="1015" t="s">
        <v>1820</v>
      </c>
      <c r="D205" s="1015" t="s">
        <v>1347</v>
      </c>
      <c r="E205" s="1015" t="s">
        <v>800</v>
      </c>
      <c r="F205" s="1015" t="s">
        <v>826</v>
      </c>
      <c r="G205" s="1015" t="s">
        <v>1318</v>
      </c>
      <c r="H205" s="1017" t="n">
        <v>51368</v>
      </c>
      <c r="I205" s="1015" t="s">
        <v>898</v>
      </c>
      <c r="J205" s="1015" t="n">
        <v>50</v>
      </c>
      <c r="K205" s="1018" t="n">
        <v>12.5</v>
      </c>
    </row>
    <row r="206" customFormat="false" ht="14.45" hidden="false" customHeight="false" outlineLevel="0" collapsed="false">
      <c r="A206" s="1015" t="s">
        <v>851</v>
      </c>
      <c r="B206" s="1016" t="s">
        <v>1316</v>
      </c>
      <c r="C206" s="1015" t="s">
        <v>1821</v>
      </c>
      <c r="D206" s="1015" t="s">
        <v>1055</v>
      </c>
      <c r="E206" s="1015" t="s">
        <v>800</v>
      </c>
      <c r="F206" s="1015" t="s">
        <v>801</v>
      </c>
      <c r="G206" s="1015" t="s">
        <v>1318</v>
      </c>
      <c r="H206" s="1017" t="n">
        <v>51369</v>
      </c>
      <c r="I206" s="1015" t="s">
        <v>1269</v>
      </c>
      <c r="J206" s="1015" t="n">
        <v>58</v>
      </c>
      <c r="K206" s="1018" t="n">
        <v>28</v>
      </c>
    </row>
    <row r="207" customFormat="false" ht="14.45" hidden="false" customHeight="false" outlineLevel="0" collapsed="false">
      <c r="A207" s="1015" t="s">
        <v>851</v>
      </c>
      <c r="B207" s="1016" t="s">
        <v>1321</v>
      </c>
      <c r="C207" s="1015" t="s">
        <v>1822</v>
      </c>
      <c r="D207" s="1015" t="s">
        <v>1055</v>
      </c>
      <c r="E207" s="1015" t="s">
        <v>800</v>
      </c>
      <c r="F207" s="1015" t="s">
        <v>801</v>
      </c>
      <c r="G207" s="1015" t="s">
        <v>1318</v>
      </c>
      <c r="H207" s="1017" t="n">
        <v>51370</v>
      </c>
      <c r="I207" s="1015" t="s">
        <v>1269</v>
      </c>
      <c r="J207" s="1015" t="n">
        <v>58</v>
      </c>
      <c r="K207" s="1018" t="n">
        <v>28</v>
      </c>
    </row>
    <row r="208" customFormat="false" ht="14.45" hidden="false" customHeight="false" outlineLevel="0" collapsed="false">
      <c r="A208" s="1015" t="s">
        <v>851</v>
      </c>
      <c r="B208" s="1016" t="s">
        <v>1323</v>
      </c>
      <c r="C208" s="1015" t="s">
        <v>1823</v>
      </c>
      <c r="D208" s="1015" t="s">
        <v>1055</v>
      </c>
      <c r="E208" s="1015" t="s">
        <v>800</v>
      </c>
      <c r="F208" s="1015" t="s">
        <v>801</v>
      </c>
      <c r="G208" s="1015" t="s">
        <v>1318</v>
      </c>
      <c r="H208" s="1017" t="n">
        <v>51371</v>
      </c>
      <c r="I208" s="1015" t="s">
        <v>1269</v>
      </c>
      <c r="J208" s="1015" t="n">
        <v>58</v>
      </c>
      <c r="K208" s="1018" t="n">
        <v>28</v>
      </c>
    </row>
    <row r="209" customFormat="false" ht="14.45" hidden="false" customHeight="false" outlineLevel="0" collapsed="false">
      <c r="A209" s="1015" t="s">
        <v>851</v>
      </c>
      <c r="B209" s="1016" t="s">
        <v>1325</v>
      </c>
      <c r="C209" s="1015" t="s">
        <v>1824</v>
      </c>
      <c r="D209" s="1015" t="s">
        <v>1055</v>
      </c>
      <c r="E209" s="1015" t="s">
        <v>800</v>
      </c>
      <c r="F209" s="1015" t="s">
        <v>838</v>
      </c>
      <c r="G209" s="1015" t="s">
        <v>1318</v>
      </c>
      <c r="H209" s="1017" t="n">
        <v>51372</v>
      </c>
      <c r="I209" s="1015" t="s">
        <v>1825</v>
      </c>
      <c r="J209" s="1015" t="n">
        <v>67</v>
      </c>
      <c r="K209" s="1018" t="n">
        <v>8.5</v>
      </c>
      <c r="L209" s="1018" t="n">
        <v>8.9</v>
      </c>
    </row>
    <row r="210" customFormat="false" ht="14.45" hidden="false" customHeight="false" outlineLevel="0" collapsed="false">
      <c r="A210" s="1015" t="s">
        <v>851</v>
      </c>
      <c r="B210" s="1016" t="s">
        <v>1826</v>
      </c>
      <c r="C210" s="1015" t="s">
        <v>1827</v>
      </c>
      <c r="E210" s="1015" t="s">
        <v>800</v>
      </c>
      <c r="F210" s="1015" t="s">
        <v>1627</v>
      </c>
      <c r="G210" s="1015" t="s">
        <v>1318</v>
      </c>
      <c r="H210" s="1017" t="n">
        <v>68086</v>
      </c>
      <c r="I210" s="1015" t="s">
        <v>898</v>
      </c>
      <c r="J210" s="1015" t="n">
        <v>5</v>
      </c>
      <c r="K210" s="1018" t="n">
        <v>1.4</v>
      </c>
    </row>
    <row r="211" customFormat="false" ht="14.45" hidden="false" customHeight="false" outlineLevel="0" collapsed="false">
      <c r="A211" s="1015" t="s">
        <v>1107</v>
      </c>
      <c r="B211" s="1016" t="s">
        <v>1373</v>
      </c>
      <c r="C211" s="1015" t="s">
        <v>1374</v>
      </c>
      <c r="D211" s="1015" t="s">
        <v>1360</v>
      </c>
      <c r="E211" s="1015" t="s">
        <v>800</v>
      </c>
      <c r="F211" s="1015" t="s">
        <v>826</v>
      </c>
      <c r="G211" s="1015" t="s">
        <v>1361</v>
      </c>
      <c r="H211" s="1017" t="n">
        <v>55195</v>
      </c>
      <c r="I211" s="1015" t="s">
        <v>898</v>
      </c>
      <c r="J211" s="1015" t="n">
        <v>70</v>
      </c>
      <c r="K211" s="1018" t="n">
        <v>12.5</v>
      </c>
    </row>
    <row r="212" customFormat="false" ht="14.45" hidden="false" customHeight="false" outlineLevel="0" collapsed="false">
      <c r="A212" s="1015" t="s">
        <v>1107</v>
      </c>
      <c r="B212" s="1016" t="s">
        <v>1828</v>
      </c>
      <c r="C212" s="1015" t="s">
        <v>1377</v>
      </c>
      <c r="D212" s="1015" t="s">
        <v>1110</v>
      </c>
      <c r="E212" s="1015" t="s">
        <v>800</v>
      </c>
      <c r="F212" s="1015" t="s">
        <v>826</v>
      </c>
      <c r="G212" s="1015" t="s">
        <v>1361</v>
      </c>
      <c r="H212" s="1017" t="n">
        <v>55196</v>
      </c>
      <c r="I212" s="1015" t="s">
        <v>898</v>
      </c>
      <c r="J212" s="1015" t="n">
        <v>70</v>
      </c>
      <c r="K212" s="1018" t="n">
        <v>12.5</v>
      </c>
    </row>
    <row r="213" customFormat="false" ht="14.45" hidden="false" customHeight="false" outlineLevel="0" collapsed="false">
      <c r="A213" s="1015" t="s">
        <v>1107</v>
      </c>
      <c r="B213" s="1016" t="s">
        <v>1378</v>
      </c>
      <c r="C213" s="1015" t="s">
        <v>1379</v>
      </c>
      <c r="D213" s="1015" t="s">
        <v>1360</v>
      </c>
      <c r="E213" s="1015" t="s">
        <v>800</v>
      </c>
      <c r="F213" s="1015" t="s">
        <v>826</v>
      </c>
      <c r="G213" s="1015" t="s">
        <v>1361</v>
      </c>
      <c r="H213" s="1017" t="n">
        <v>55197</v>
      </c>
      <c r="I213" s="1015" t="s">
        <v>898</v>
      </c>
      <c r="J213" s="1015" t="n">
        <v>70</v>
      </c>
      <c r="K213" s="1018" t="n">
        <v>12.5</v>
      </c>
    </row>
    <row r="214" customFormat="false" ht="14.45" hidden="false" customHeight="false" outlineLevel="0" collapsed="false">
      <c r="A214" s="1015" t="s">
        <v>1107</v>
      </c>
      <c r="B214" s="1016" t="s">
        <v>1384</v>
      </c>
      <c r="C214" s="1015" t="s">
        <v>1385</v>
      </c>
      <c r="D214" s="1015" t="s">
        <v>1360</v>
      </c>
      <c r="E214" s="1015" t="s">
        <v>800</v>
      </c>
      <c r="F214" s="1015" t="s">
        <v>826</v>
      </c>
      <c r="G214" s="1015" t="s">
        <v>1361</v>
      </c>
      <c r="H214" s="1017" t="n">
        <v>55296</v>
      </c>
      <c r="I214" s="1015" t="s">
        <v>898</v>
      </c>
      <c r="J214" s="1015" t="n">
        <v>70</v>
      </c>
      <c r="K214" s="1018" t="n">
        <v>12.5</v>
      </c>
    </row>
    <row r="215" customFormat="false" ht="14.45" hidden="false" customHeight="false" outlineLevel="0" collapsed="false">
      <c r="A215" s="1015" t="s">
        <v>1107</v>
      </c>
      <c r="B215" s="1016" t="s">
        <v>1382</v>
      </c>
      <c r="C215" s="1015" t="s">
        <v>1383</v>
      </c>
      <c r="D215" s="1015" t="s">
        <v>1110</v>
      </c>
      <c r="E215" s="1015" t="s">
        <v>800</v>
      </c>
      <c r="F215" s="1015" t="s">
        <v>826</v>
      </c>
      <c r="G215" s="1015" t="s">
        <v>1361</v>
      </c>
      <c r="H215" s="1017" t="n">
        <v>55300</v>
      </c>
      <c r="I215" s="1015" t="s">
        <v>898</v>
      </c>
      <c r="J215" s="1015" t="n">
        <v>70</v>
      </c>
      <c r="K215" s="1018" t="n">
        <v>12.5</v>
      </c>
    </row>
    <row r="216" customFormat="false" ht="14.45" hidden="false" customHeight="false" outlineLevel="0" collapsed="false">
      <c r="A216" s="1015" t="s">
        <v>1107</v>
      </c>
      <c r="B216" s="1016" t="s">
        <v>1380</v>
      </c>
      <c r="C216" s="1015" t="s">
        <v>1381</v>
      </c>
      <c r="E216" s="1015" t="s">
        <v>800</v>
      </c>
      <c r="F216" s="1015" t="s">
        <v>826</v>
      </c>
      <c r="G216" s="1015" t="s">
        <v>1361</v>
      </c>
      <c r="H216" s="1017" t="n">
        <v>55302</v>
      </c>
      <c r="I216" s="1015" t="s">
        <v>898</v>
      </c>
      <c r="J216" s="1015" t="n">
        <v>70</v>
      </c>
      <c r="K216" s="1018" t="n">
        <v>12.5</v>
      </c>
    </row>
    <row r="217" customFormat="false" ht="14.45" hidden="false" customHeight="false" outlineLevel="0" collapsed="false">
      <c r="A217" s="1015" t="s">
        <v>1107</v>
      </c>
      <c r="B217" s="1016" t="s">
        <v>1829</v>
      </c>
      <c r="C217" s="1015" t="s">
        <v>1830</v>
      </c>
      <c r="E217" s="1015" t="s">
        <v>800</v>
      </c>
      <c r="F217" s="1015" t="s">
        <v>801</v>
      </c>
      <c r="G217" s="1015" t="s">
        <v>1361</v>
      </c>
      <c r="H217" s="1017" t="n">
        <v>70280</v>
      </c>
      <c r="I217" s="1015" t="s">
        <v>1630</v>
      </c>
      <c r="J217" s="1015" t="n">
        <v>14</v>
      </c>
      <c r="K217" s="1018" t="n">
        <v>3.6</v>
      </c>
    </row>
    <row r="218" customFormat="false" ht="14.45" hidden="false" customHeight="false" outlineLevel="0" collapsed="false">
      <c r="A218" s="1015" t="s">
        <v>1107</v>
      </c>
      <c r="B218" s="1016" t="s">
        <v>1831</v>
      </c>
      <c r="C218" s="1015" t="s">
        <v>1832</v>
      </c>
      <c r="E218" s="1015" t="s">
        <v>800</v>
      </c>
      <c r="F218" s="1015" t="s">
        <v>801</v>
      </c>
      <c r="G218" s="1015" t="s">
        <v>1361</v>
      </c>
      <c r="H218" s="1017" t="n">
        <v>70281</v>
      </c>
      <c r="I218" s="1015" t="s">
        <v>1630</v>
      </c>
      <c r="J218" s="1015" t="n">
        <v>14</v>
      </c>
      <c r="K218" s="1018" t="n">
        <v>3.6</v>
      </c>
    </row>
    <row r="219" customFormat="false" ht="14.45" hidden="false" customHeight="false" outlineLevel="0" collapsed="false">
      <c r="A219" s="1015" t="s">
        <v>851</v>
      </c>
      <c r="B219" s="1016" t="s">
        <v>1399</v>
      </c>
      <c r="C219" s="1015" t="s">
        <v>1400</v>
      </c>
      <c r="D219" s="1015" t="s">
        <v>1395</v>
      </c>
      <c r="E219" s="1015" t="s">
        <v>800</v>
      </c>
      <c r="F219" s="1015" t="s">
        <v>801</v>
      </c>
      <c r="G219" s="1015" t="s">
        <v>1389</v>
      </c>
      <c r="H219" s="1017" t="n">
        <v>62306</v>
      </c>
      <c r="I219" s="1015" t="s">
        <v>898</v>
      </c>
      <c r="J219" s="1015" t="n">
        <v>83</v>
      </c>
      <c r="K219" s="1018" t="n">
        <v>18</v>
      </c>
    </row>
    <row r="220" customFormat="false" ht="14.45" hidden="false" customHeight="false" outlineLevel="0" collapsed="false">
      <c r="A220" s="1015" t="s">
        <v>851</v>
      </c>
      <c r="B220" s="1016" t="s">
        <v>1402</v>
      </c>
      <c r="C220" s="1015" t="s">
        <v>1403</v>
      </c>
      <c r="D220" s="1015" t="s">
        <v>1395</v>
      </c>
      <c r="E220" s="1015" t="s">
        <v>800</v>
      </c>
      <c r="F220" s="1015" t="s">
        <v>801</v>
      </c>
      <c r="G220" s="1015" t="s">
        <v>1389</v>
      </c>
      <c r="H220" s="1017" t="n">
        <v>62307</v>
      </c>
      <c r="I220" s="1015" t="s">
        <v>898</v>
      </c>
      <c r="J220" s="1015" t="n">
        <v>83</v>
      </c>
      <c r="K220" s="1018" t="n">
        <v>17</v>
      </c>
    </row>
    <row r="221" customFormat="false" ht="14.45" hidden="false" customHeight="false" outlineLevel="0" collapsed="false">
      <c r="A221" s="1015" t="s">
        <v>851</v>
      </c>
      <c r="B221" s="1016" t="s">
        <v>1405</v>
      </c>
      <c r="C221" s="1015" t="s">
        <v>1406</v>
      </c>
      <c r="D221" s="1015" t="s">
        <v>1395</v>
      </c>
      <c r="E221" s="1015" t="s">
        <v>800</v>
      </c>
      <c r="F221" s="1015" t="s">
        <v>801</v>
      </c>
      <c r="G221" s="1015" t="s">
        <v>1389</v>
      </c>
      <c r="H221" s="1017" t="n">
        <v>62308</v>
      </c>
      <c r="I221" s="1015" t="s">
        <v>898</v>
      </c>
      <c r="J221" s="1015" t="n">
        <v>83</v>
      </c>
      <c r="K221" s="1018" t="n">
        <v>17</v>
      </c>
    </row>
    <row r="222" customFormat="false" ht="14.45" hidden="false" customHeight="false" outlineLevel="0" collapsed="false">
      <c r="A222" s="1015" t="s">
        <v>851</v>
      </c>
      <c r="B222" s="1016" t="s">
        <v>1393</v>
      </c>
      <c r="C222" s="1015" t="s">
        <v>1394</v>
      </c>
      <c r="D222" s="1015" t="s">
        <v>1395</v>
      </c>
      <c r="E222" s="1015" t="s">
        <v>800</v>
      </c>
      <c r="F222" s="1015" t="s">
        <v>801</v>
      </c>
      <c r="G222" s="1015" t="s">
        <v>1389</v>
      </c>
      <c r="H222" s="1017" t="n">
        <v>62309</v>
      </c>
      <c r="I222" s="1015" t="s">
        <v>898</v>
      </c>
      <c r="J222" s="1015" t="n">
        <v>83</v>
      </c>
      <c r="K222" s="1018" t="n">
        <v>30</v>
      </c>
    </row>
    <row r="223" customFormat="false" ht="14.45" hidden="false" customHeight="false" outlineLevel="0" collapsed="false">
      <c r="A223" s="1015" t="s">
        <v>851</v>
      </c>
      <c r="B223" s="1016" t="n">
        <v>8381750</v>
      </c>
      <c r="C223" s="1015" t="s">
        <v>1398</v>
      </c>
      <c r="D223" s="1015" t="s">
        <v>1395</v>
      </c>
      <c r="E223" s="1015" t="s">
        <v>800</v>
      </c>
      <c r="F223" s="1015" t="s">
        <v>801</v>
      </c>
      <c r="G223" s="1015" t="s">
        <v>1389</v>
      </c>
      <c r="H223" s="1017" t="n">
        <v>62310</v>
      </c>
      <c r="I223" s="1015" t="s">
        <v>898</v>
      </c>
      <c r="J223" s="1015" t="n">
        <v>83</v>
      </c>
      <c r="K223" s="1018" t="n">
        <v>30</v>
      </c>
    </row>
    <row r="224" customFormat="false" ht="14.45" hidden="false" customHeight="false" outlineLevel="0" collapsed="false">
      <c r="A224" s="1015" t="s">
        <v>1674</v>
      </c>
      <c r="B224" s="1016" t="s">
        <v>1833</v>
      </c>
      <c r="C224" s="1015" t="s">
        <v>824</v>
      </c>
      <c r="D224" s="1015" t="s">
        <v>799</v>
      </c>
      <c r="E224" s="1015" t="s">
        <v>800</v>
      </c>
      <c r="F224" s="1015" t="s">
        <v>826</v>
      </c>
      <c r="G224" s="1015" t="s">
        <v>1408</v>
      </c>
      <c r="H224" s="1017" t="n">
        <v>52467</v>
      </c>
      <c r="I224" s="1015" t="s">
        <v>898</v>
      </c>
      <c r="J224" s="1015" t="n">
        <v>80</v>
      </c>
      <c r="K224" s="1018" t="n">
        <v>12.5</v>
      </c>
    </row>
    <row r="225" customFormat="false" ht="14.45" hidden="false" customHeight="false" outlineLevel="0" collapsed="false">
      <c r="A225" s="1015" t="s">
        <v>1674</v>
      </c>
      <c r="B225" s="1016" t="s">
        <v>1834</v>
      </c>
      <c r="C225" s="1015" t="s">
        <v>829</v>
      </c>
      <c r="D225" s="1015" t="s">
        <v>799</v>
      </c>
      <c r="E225" s="1015" t="s">
        <v>800</v>
      </c>
      <c r="F225" s="1015" t="s">
        <v>826</v>
      </c>
      <c r="G225" s="1015" t="s">
        <v>1408</v>
      </c>
      <c r="H225" s="1017" t="n">
        <v>52468</v>
      </c>
      <c r="I225" s="1015" t="s">
        <v>898</v>
      </c>
      <c r="J225" s="1015" t="n">
        <v>80</v>
      </c>
      <c r="K225" s="1018" t="n">
        <v>12.5</v>
      </c>
    </row>
    <row r="226" customFormat="false" ht="14.45" hidden="false" customHeight="false" outlineLevel="0" collapsed="false">
      <c r="A226" s="1015" t="s">
        <v>1674</v>
      </c>
      <c r="B226" s="1016" t="s">
        <v>1835</v>
      </c>
      <c r="C226" s="1015" t="s">
        <v>830</v>
      </c>
      <c r="D226" s="1015" t="s">
        <v>799</v>
      </c>
      <c r="E226" s="1015" t="s">
        <v>800</v>
      </c>
      <c r="F226" s="1015" t="s">
        <v>826</v>
      </c>
      <c r="G226" s="1015" t="s">
        <v>1408</v>
      </c>
      <c r="H226" s="1017" t="n">
        <v>52469</v>
      </c>
      <c r="I226" s="1015" t="s">
        <v>898</v>
      </c>
      <c r="J226" s="1015" t="n">
        <v>80</v>
      </c>
      <c r="K226" s="1018" t="n">
        <v>12.5</v>
      </c>
    </row>
    <row r="227" customFormat="false" ht="14.45" hidden="false" customHeight="false" outlineLevel="0" collapsed="false">
      <c r="A227" s="1015" t="s">
        <v>1674</v>
      </c>
      <c r="B227" s="1016" t="s">
        <v>1836</v>
      </c>
      <c r="C227" s="1015" t="s">
        <v>831</v>
      </c>
      <c r="D227" s="1015" t="s">
        <v>799</v>
      </c>
      <c r="E227" s="1015" t="s">
        <v>800</v>
      </c>
      <c r="F227" s="1015" t="s">
        <v>826</v>
      </c>
      <c r="G227" s="1015" t="s">
        <v>1408</v>
      </c>
      <c r="H227" s="1017" t="n">
        <v>52470</v>
      </c>
      <c r="I227" s="1015" t="s">
        <v>898</v>
      </c>
      <c r="J227" s="1015" t="n">
        <v>80</v>
      </c>
      <c r="K227" s="1018" t="n">
        <v>12.5</v>
      </c>
    </row>
    <row r="228" customFormat="false" ht="14.45" hidden="false" customHeight="false" outlineLevel="0" collapsed="false">
      <c r="A228" s="1015" t="s">
        <v>1674</v>
      </c>
      <c r="B228" s="1016" t="s">
        <v>1837</v>
      </c>
      <c r="C228" s="1015" t="s">
        <v>832</v>
      </c>
      <c r="D228" s="1015" t="s">
        <v>799</v>
      </c>
      <c r="E228" s="1015" t="s">
        <v>800</v>
      </c>
      <c r="F228" s="1015" t="s">
        <v>826</v>
      </c>
      <c r="G228" s="1015" t="s">
        <v>1408</v>
      </c>
      <c r="H228" s="1017" t="n">
        <v>52471</v>
      </c>
      <c r="I228" s="1015" t="s">
        <v>898</v>
      </c>
      <c r="J228" s="1015" t="n">
        <v>80</v>
      </c>
      <c r="K228" s="1018" t="n">
        <v>12.5</v>
      </c>
    </row>
    <row r="229" customFormat="false" ht="14.45" hidden="false" customHeight="false" outlineLevel="0" collapsed="false">
      <c r="A229" s="1015" t="s">
        <v>1674</v>
      </c>
      <c r="B229" s="1016" t="s">
        <v>1838</v>
      </c>
      <c r="C229" s="1015" t="s">
        <v>833</v>
      </c>
      <c r="D229" s="1015" t="s">
        <v>799</v>
      </c>
      <c r="E229" s="1015" t="s">
        <v>800</v>
      </c>
      <c r="F229" s="1015" t="s">
        <v>826</v>
      </c>
      <c r="G229" s="1015" t="s">
        <v>1408</v>
      </c>
      <c r="H229" s="1017" t="n">
        <v>52472</v>
      </c>
      <c r="I229" s="1015" t="s">
        <v>898</v>
      </c>
      <c r="J229" s="1015" t="n">
        <v>80</v>
      </c>
      <c r="K229" s="1018" t="n">
        <v>12.5</v>
      </c>
    </row>
    <row r="230" customFormat="false" ht="14.45" hidden="false" customHeight="false" outlineLevel="0" collapsed="false">
      <c r="A230" s="1015" t="s">
        <v>1624</v>
      </c>
      <c r="B230" s="1016" t="n">
        <v>21777</v>
      </c>
      <c r="C230" s="1015" t="s">
        <v>824</v>
      </c>
      <c r="D230" s="1015" t="s">
        <v>932</v>
      </c>
      <c r="E230" s="1015" t="s">
        <v>800</v>
      </c>
      <c r="F230" s="1015" t="s">
        <v>826</v>
      </c>
      <c r="G230" s="1015" t="s">
        <v>1419</v>
      </c>
      <c r="H230" s="1017" t="n">
        <v>54939</v>
      </c>
      <c r="I230" s="1015" t="s">
        <v>898</v>
      </c>
      <c r="J230" s="1015" t="n">
        <v>70</v>
      </c>
      <c r="K230" s="1018" t="n">
        <v>10.5</v>
      </c>
    </row>
    <row r="231" customFormat="false" ht="14.45" hidden="false" customHeight="false" outlineLevel="0" collapsed="false">
      <c r="A231" s="1015" t="s">
        <v>1624</v>
      </c>
      <c r="B231" s="1016" t="n">
        <v>21778</v>
      </c>
      <c r="C231" s="1015" t="s">
        <v>831</v>
      </c>
      <c r="D231" s="1015" t="s">
        <v>932</v>
      </c>
      <c r="E231" s="1015" t="s">
        <v>800</v>
      </c>
      <c r="F231" s="1015" t="s">
        <v>826</v>
      </c>
      <c r="G231" s="1015" t="s">
        <v>1419</v>
      </c>
      <c r="H231" s="1017" t="n">
        <v>54940</v>
      </c>
      <c r="I231" s="1015" t="s">
        <v>898</v>
      </c>
      <c r="J231" s="1015" t="n">
        <v>70</v>
      </c>
      <c r="K231" s="1018" t="n">
        <v>10.5</v>
      </c>
    </row>
    <row r="232" customFormat="false" ht="14.45" hidden="false" customHeight="false" outlineLevel="0" collapsed="false">
      <c r="A232" s="1015" t="s">
        <v>1624</v>
      </c>
      <c r="B232" s="1016" t="n">
        <v>21762</v>
      </c>
      <c r="C232" s="1015" t="s">
        <v>840</v>
      </c>
      <c r="D232" s="1015" t="s">
        <v>837</v>
      </c>
      <c r="E232" s="1015" t="s">
        <v>800</v>
      </c>
      <c r="F232" s="1015" t="s">
        <v>801</v>
      </c>
      <c r="G232" s="1015" t="s">
        <v>1419</v>
      </c>
      <c r="H232" s="1017" t="n">
        <v>54941</v>
      </c>
      <c r="I232" s="1015" t="s">
        <v>898</v>
      </c>
      <c r="J232" s="1015" t="n">
        <v>55</v>
      </c>
      <c r="K232" s="1018" t="n">
        <v>17.6</v>
      </c>
      <c r="L232" s="1018" t="n">
        <v>18.2</v>
      </c>
    </row>
    <row r="233" customFormat="false" ht="14.45" hidden="false" customHeight="false" outlineLevel="0" collapsed="false">
      <c r="A233" s="1015" t="s">
        <v>1624</v>
      </c>
      <c r="B233" s="1016" t="n">
        <v>21763</v>
      </c>
      <c r="C233" s="1015" t="s">
        <v>841</v>
      </c>
      <c r="D233" s="1015" t="s">
        <v>837</v>
      </c>
      <c r="E233" s="1015" t="s">
        <v>800</v>
      </c>
      <c r="F233" s="1015" t="s">
        <v>801</v>
      </c>
      <c r="G233" s="1015" t="s">
        <v>1419</v>
      </c>
      <c r="H233" s="1017" t="n">
        <v>54942</v>
      </c>
      <c r="I233" s="1015" t="s">
        <v>898</v>
      </c>
      <c r="J233" s="1015" t="n">
        <v>55</v>
      </c>
      <c r="K233" s="1018" t="n">
        <v>14.5</v>
      </c>
      <c r="L233" s="1018" t="n">
        <v>13</v>
      </c>
    </row>
    <row r="234" customFormat="false" ht="14.45" hidden="false" customHeight="false" outlineLevel="0" collapsed="false">
      <c r="A234" s="1015" t="s">
        <v>1624</v>
      </c>
      <c r="B234" s="1016" t="n">
        <v>110005</v>
      </c>
      <c r="C234" s="1015" t="s">
        <v>845</v>
      </c>
      <c r="D234" s="1015" t="s">
        <v>837</v>
      </c>
      <c r="E234" s="1015" t="s">
        <v>800</v>
      </c>
      <c r="F234" s="1015" t="s">
        <v>801</v>
      </c>
      <c r="G234" s="1015" t="s">
        <v>1419</v>
      </c>
      <c r="H234" s="1017" t="n">
        <v>55850</v>
      </c>
      <c r="I234" s="1015" t="s">
        <v>1269</v>
      </c>
      <c r="J234" s="1015" t="n">
        <v>81</v>
      </c>
      <c r="K234" s="1018" t="n">
        <v>35</v>
      </c>
    </row>
    <row r="235" customFormat="false" ht="14.45" hidden="false" customHeight="false" outlineLevel="0" collapsed="false">
      <c r="A235" s="1015" t="s">
        <v>1624</v>
      </c>
      <c r="B235" s="1016" t="n">
        <v>110006</v>
      </c>
      <c r="C235" s="1015" t="s">
        <v>846</v>
      </c>
      <c r="D235" s="1015" t="s">
        <v>837</v>
      </c>
      <c r="E235" s="1015" t="s">
        <v>800</v>
      </c>
      <c r="F235" s="1015" t="s">
        <v>801</v>
      </c>
      <c r="G235" s="1015" t="s">
        <v>1419</v>
      </c>
      <c r="H235" s="1017" t="n">
        <v>55851</v>
      </c>
      <c r="I235" s="1015" t="s">
        <v>1269</v>
      </c>
      <c r="J235" s="1015" t="n">
        <v>81</v>
      </c>
      <c r="K235" s="1018" t="n">
        <v>35</v>
      </c>
    </row>
    <row r="236" customFormat="false" ht="14.45" hidden="false" customHeight="false" outlineLevel="0" collapsed="false">
      <c r="A236" s="1015" t="s">
        <v>978</v>
      </c>
      <c r="B236" s="1016" t="s">
        <v>1429</v>
      </c>
      <c r="C236" s="1015" t="s">
        <v>1839</v>
      </c>
      <c r="E236" s="1015" t="s">
        <v>800</v>
      </c>
      <c r="F236" s="1015" t="s">
        <v>801</v>
      </c>
      <c r="G236" s="1015" t="s">
        <v>1431</v>
      </c>
      <c r="H236" s="1017" t="n">
        <v>54495</v>
      </c>
      <c r="I236" s="1015" t="s">
        <v>898</v>
      </c>
      <c r="J236" s="1015" t="n">
        <v>50</v>
      </c>
    </row>
    <row r="237" customFormat="false" ht="14.45" hidden="false" customHeight="false" outlineLevel="0" collapsed="false">
      <c r="A237" s="1015" t="s">
        <v>978</v>
      </c>
      <c r="B237" s="1016" t="s">
        <v>1433</v>
      </c>
      <c r="C237" s="1015" t="s">
        <v>1840</v>
      </c>
      <c r="E237" s="1015" t="s">
        <v>800</v>
      </c>
      <c r="F237" s="1015" t="s">
        <v>801</v>
      </c>
      <c r="G237" s="1015" t="s">
        <v>1431</v>
      </c>
      <c r="H237" s="1017" t="n">
        <v>54496</v>
      </c>
      <c r="I237" s="1015" t="s">
        <v>898</v>
      </c>
      <c r="J237" s="1015" t="n">
        <v>50</v>
      </c>
    </row>
    <row r="238" customFormat="false" ht="14.45" hidden="false" customHeight="false" outlineLevel="0" collapsed="false">
      <c r="A238" s="1015" t="s">
        <v>978</v>
      </c>
      <c r="B238" s="1016" t="s">
        <v>1435</v>
      </c>
      <c r="C238" s="1015" t="s">
        <v>1841</v>
      </c>
      <c r="E238" s="1015" t="s">
        <v>800</v>
      </c>
      <c r="F238" s="1015" t="s">
        <v>801</v>
      </c>
      <c r="G238" s="1015" t="s">
        <v>1431</v>
      </c>
      <c r="H238" s="1017" t="n">
        <v>54497</v>
      </c>
      <c r="I238" s="1015" t="s">
        <v>898</v>
      </c>
      <c r="J238" s="1015" t="n">
        <v>50</v>
      </c>
    </row>
    <row r="239" customFormat="false" ht="14.45" hidden="false" customHeight="false" outlineLevel="0" collapsed="false">
      <c r="A239" s="1015" t="s">
        <v>978</v>
      </c>
      <c r="B239" s="1016" t="s">
        <v>1842</v>
      </c>
      <c r="C239" s="1015" t="s">
        <v>1843</v>
      </c>
      <c r="E239" s="1015" t="s">
        <v>800</v>
      </c>
      <c r="F239" s="1015" t="s">
        <v>801</v>
      </c>
      <c r="G239" s="1015" t="s">
        <v>1431</v>
      </c>
      <c r="H239" s="1017" t="n">
        <v>70393</v>
      </c>
      <c r="I239" s="1015" t="s">
        <v>898</v>
      </c>
      <c r="J239" s="1015" t="n">
        <v>6</v>
      </c>
    </row>
    <row r="240" customFormat="false" ht="14.45" hidden="false" customHeight="false" outlineLevel="0" collapsed="false">
      <c r="A240" s="1015" t="s">
        <v>978</v>
      </c>
      <c r="B240" s="1016" t="s">
        <v>1844</v>
      </c>
      <c r="C240" s="1015" t="s">
        <v>1845</v>
      </c>
      <c r="D240" s="1015" t="s">
        <v>1846</v>
      </c>
      <c r="E240" s="1015" t="s">
        <v>800</v>
      </c>
      <c r="F240" s="1015" t="s">
        <v>801</v>
      </c>
      <c r="G240" s="1015" t="s">
        <v>1431</v>
      </c>
      <c r="H240" s="1017" t="n">
        <v>70394</v>
      </c>
      <c r="I240" s="1015" t="s">
        <v>898</v>
      </c>
      <c r="J240" s="1015" t="n">
        <v>5.5</v>
      </c>
    </row>
  </sheetData>
  <autoFilter ref="G1:J24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ColWidth="8.84765625" defaultRowHeight="10.15" zeroHeight="false" outlineLevelRow="0" outlineLevelCol="0"/>
  <cols>
    <col collapsed="false" customWidth="true" hidden="false" outlineLevel="0" max="1" min="1" style="561" width="10.5"/>
    <col collapsed="false" customWidth="true" hidden="false" outlineLevel="0" max="2" min="2" style="561" width="13.66"/>
    <col collapsed="false" customWidth="true" hidden="false" outlineLevel="0" max="3" min="3" style="561" width="23.34"/>
    <col collapsed="false" customWidth="true" hidden="false" outlineLevel="0" max="4" min="4" style="0" width="208.67"/>
  </cols>
  <sheetData>
    <row r="1" customFormat="false" ht="10.15" hidden="false" customHeight="false" outlineLevel="0" collapsed="false">
      <c r="A1" s="1021" t="s">
        <v>1847</v>
      </c>
      <c r="B1" s="1021" t="s">
        <v>1848</v>
      </c>
      <c r="C1" s="1021" t="s">
        <v>1849</v>
      </c>
      <c r="D1" s="1022" t="s">
        <v>795</v>
      </c>
    </row>
    <row r="2" customFormat="false" ht="10.15" hidden="false" customHeight="false" outlineLevel="0" collapsed="false">
      <c r="A2" s="1023" t="n">
        <v>44754</v>
      </c>
      <c r="B2" s="1024" t="s">
        <v>1850</v>
      </c>
      <c r="C2" s="1024" t="n">
        <v>22010</v>
      </c>
      <c r="D2" s="418" t="s">
        <v>1851</v>
      </c>
    </row>
    <row r="3" customFormat="false" ht="10.15" hidden="false" customHeight="false" outlineLevel="0" collapsed="false">
      <c r="A3" s="1023" t="n">
        <v>44782</v>
      </c>
      <c r="B3" s="1024" t="s">
        <v>1852</v>
      </c>
      <c r="C3" s="1024" t="n">
        <v>22013</v>
      </c>
      <c r="D3" s="418" t="s">
        <v>1853</v>
      </c>
    </row>
    <row r="4" customFormat="false" ht="10.15" hidden="false" customHeight="false" outlineLevel="0" collapsed="false">
      <c r="A4" s="1023" t="n">
        <v>44897</v>
      </c>
      <c r="B4" s="1024" t="s">
        <v>1854</v>
      </c>
      <c r="C4" s="1024" t="n">
        <v>22027</v>
      </c>
      <c r="D4" s="418" t="s">
        <v>1855</v>
      </c>
    </row>
    <row r="5" customFormat="false" ht="10.15" hidden="false" customHeight="false" outlineLevel="0" collapsed="false">
      <c r="A5" s="1023" t="n">
        <v>44901</v>
      </c>
      <c r="B5" s="1024" t="s">
        <v>263</v>
      </c>
      <c r="C5" s="1024" t="n">
        <v>22028</v>
      </c>
      <c r="D5" s="418" t="s">
        <v>1856</v>
      </c>
    </row>
    <row r="6" customFormat="false" ht="10.15" hidden="false" customHeight="false" outlineLevel="0" collapsed="false">
      <c r="A6" s="1023" t="n">
        <v>44910</v>
      </c>
      <c r="B6" s="1024" t="s">
        <v>268</v>
      </c>
      <c r="C6" s="1024" t="s">
        <v>1857</v>
      </c>
      <c r="D6" s="418" t="s">
        <v>1858</v>
      </c>
    </row>
    <row r="7" customFormat="false" ht="10.15" hidden="false" customHeight="false" outlineLevel="0" collapsed="false">
      <c r="A7" s="1023" t="n">
        <v>44910</v>
      </c>
      <c r="B7" s="1024" t="s">
        <v>254</v>
      </c>
      <c r="C7" s="1024" t="n">
        <v>22007</v>
      </c>
      <c r="D7" s="418" t="s">
        <v>1859</v>
      </c>
    </row>
    <row r="8" customFormat="false" ht="10.15" hidden="false" customHeight="false" outlineLevel="0" collapsed="false">
      <c r="A8" s="1023" t="n">
        <v>45181</v>
      </c>
      <c r="B8" s="1024" t="s">
        <v>263</v>
      </c>
      <c r="C8" s="1024" t="n">
        <v>23024</v>
      </c>
      <c r="D8" s="418" t="s">
        <v>1860</v>
      </c>
    </row>
    <row r="9" customFormat="false" ht="10.15" hidden="false" customHeight="false" outlineLevel="0" collapsed="false">
      <c r="A9" s="1023" t="n">
        <v>45197</v>
      </c>
      <c r="B9" s="1024" t="s">
        <v>1861</v>
      </c>
      <c r="C9" s="1024" t="n">
        <v>23018</v>
      </c>
      <c r="D9" s="418" t="s">
        <v>1862</v>
      </c>
    </row>
    <row r="10" customFormat="false" ht="10.15" hidden="false" customHeight="false" outlineLevel="0" collapsed="false">
      <c r="A10" s="1023" t="n">
        <v>45209</v>
      </c>
      <c r="B10" s="1024" t="s">
        <v>1863</v>
      </c>
      <c r="C10" s="1024" t="n">
        <v>23026</v>
      </c>
      <c r="D10" s="418" t="s">
        <v>1864</v>
      </c>
    </row>
    <row r="11" customFormat="false" ht="10.15" hidden="false" customHeight="false" outlineLevel="0" collapsed="false">
      <c r="A11" s="1025" t="n">
        <v>45211</v>
      </c>
      <c r="B11" s="1026" t="s">
        <v>259</v>
      </c>
      <c r="C11" s="1026" t="s">
        <v>1865</v>
      </c>
      <c r="D11" s="1027" t="s">
        <v>1866</v>
      </c>
    </row>
    <row r="12" customFormat="false" ht="10.15" hidden="false" customHeight="false" outlineLevel="0" collapsed="false">
      <c r="A12" s="1025" t="n">
        <v>45552</v>
      </c>
      <c r="B12" s="1026" t="s">
        <v>259</v>
      </c>
      <c r="C12" s="1026" t="s">
        <v>1867</v>
      </c>
      <c r="D12" s="1026" t="s">
        <v>1868</v>
      </c>
    </row>
    <row r="13" customFormat="false" ht="10.15" hidden="false" customHeight="false" outlineLevel="0" collapsed="false">
      <c r="A13" s="1025" t="n">
        <v>45589</v>
      </c>
      <c r="B13" s="1026" t="s">
        <v>254</v>
      </c>
      <c r="C13" s="1026" t="s">
        <v>392</v>
      </c>
      <c r="D13" s="1027" t="s">
        <v>1869</v>
      </c>
    </row>
    <row r="14" customFormat="false" ht="10.15" hidden="false" customHeight="false" outlineLevel="0" collapsed="false">
      <c r="A14" s="1025" t="n">
        <v>45610</v>
      </c>
      <c r="B14" s="1026" t="s">
        <v>268</v>
      </c>
      <c r="C14" s="1026" t="s">
        <v>392</v>
      </c>
      <c r="D14" s="1027" t="s">
        <v>1870</v>
      </c>
    </row>
    <row r="15" customFormat="false" ht="10.15" hidden="false" customHeight="false" outlineLevel="0" collapsed="false">
      <c r="A15" s="1025" t="n">
        <v>45615</v>
      </c>
      <c r="B15" s="1026" t="s">
        <v>259</v>
      </c>
      <c r="C15" s="1026" t="s">
        <v>1871</v>
      </c>
      <c r="D15" s="1027" t="s">
        <v>1872</v>
      </c>
    </row>
    <row r="16" customFormat="false" ht="10.15" hidden="false" customHeight="false" outlineLevel="0" collapsed="false">
      <c r="A16" s="1025" t="n">
        <v>45635</v>
      </c>
      <c r="B16" s="1026" t="s">
        <v>1873</v>
      </c>
      <c r="C16" s="1026" t="s">
        <v>392</v>
      </c>
      <c r="D16" s="1027" t="s">
        <v>1874</v>
      </c>
    </row>
    <row r="17" customFormat="false" ht="11.25" hidden="false" customHeight="false" outlineLevel="0" collapsed="false">
      <c r="A17" s="1023" t="n">
        <v>45680</v>
      </c>
      <c r="B17" s="1024" t="s">
        <v>263</v>
      </c>
      <c r="C17" s="1024" t="s">
        <v>1875</v>
      </c>
      <c r="D17" s="418" t="s">
        <v>1876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8.84765625" defaultRowHeight="10.15" zeroHeight="false" outlineLevelRow="0" outlineLevelCol="0"/>
  <cols>
    <col collapsed="false" customWidth="true" hidden="false" outlineLevel="0" max="1" min="1" style="0" width="16.83"/>
    <col collapsed="false" customWidth="true" hidden="false" outlineLevel="0" max="2" min="2" style="0" width="19.34"/>
    <col collapsed="false" customWidth="true" hidden="false" outlineLevel="0" max="3" min="3" style="0" width="17"/>
  </cols>
  <sheetData>
    <row r="1" customFormat="false" ht="10.15" hidden="false" customHeight="false" outlineLevel="0" collapsed="false">
      <c r="A1" s="620" t="s">
        <v>1877</v>
      </c>
      <c r="B1" s="620" t="s">
        <v>1878</v>
      </c>
      <c r="C1" s="0" t="s">
        <v>1879</v>
      </c>
    </row>
    <row r="2" customFormat="false" ht="10.15" hidden="false" customHeight="false" outlineLevel="0" collapsed="false">
      <c r="A2" s="0" t="s">
        <v>313</v>
      </c>
      <c r="B2" s="0" t="s">
        <v>1880</v>
      </c>
    </row>
    <row r="3" customFormat="false" ht="10.15" hidden="false" customHeight="false" outlineLevel="0" collapsed="false">
      <c r="A3" s="0" t="s">
        <v>313</v>
      </c>
      <c r="B3" s="0" t="s">
        <v>1881</v>
      </c>
    </row>
    <row r="4" customFormat="false" ht="10.15" hidden="false" customHeight="false" outlineLevel="0" collapsed="false">
      <c r="A4" s="0" t="s">
        <v>313</v>
      </c>
      <c r="B4" s="0" t="s">
        <v>1882</v>
      </c>
    </row>
    <row r="5" customFormat="false" ht="10.15" hidden="false" customHeight="false" outlineLevel="0" collapsed="false">
      <c r="A5" s="0" t="s">
        <v>313</v>
      </c>
      <c r="B5" s="0" t="s">
        <v>1883</v>
      </c>
    </row>
    <row r="6" customFormat="false" ht="10.15" hidden="false" customHeight="false" outlineLevel="0" collapsed="false">
      <c r="A6" s="0" t="s">
        <v>313</v>
      </c>
      <c r="B6" s="0" t="s">
        <v>1884</v>
      </c>
    </row>
    <row r="7" customFormat="false" ht="10.15" hidden="false" customHeight="false" outlineLevel="0" collapsed="false">
      <c r="A7" s="0" t="s">
        <v>313</v>
      </c>
      <c r="B7" s="0" t="s">
        <v>1885</v>
      </c>
    </row>
    <row r="8" customFormat="false" ht="10.15" hidden="false" customHeight="false" outlineLevel="0" collapsed="false">
      <c r="A8" s="0" t="s">
        <v>313</v>
      </c>
      <c r="B8" s="0" t="s">
        <v>1886</v>
      </c>
    </row>
    <row r="9" customFormat="false" ht="10.15" hidden="false" customHeight="false" outlineLevel="0" collapsed="false">
      <c r="A9" s="0" t="s">
        <v>313</v>
      </c>
      <c r="B9" s="0" t="s">
        <v>1887</v>
      </c>
    </row>
    <row r="10" customFormat="false" ht="10.15" hidden="false" customHeight="false" outlineLevel="0" collapsed="false">
      <c r="A10" s="0" t="s">
        <v>313</v>
      </c>
      <c r="B10" s="0" t="s">
        <v>1888</v>
      </c>
    </row>
    <row r="11" customFormat="false" ht="10.15" hidden="false" customHeight="false" outlineLevel="0" collapsed="false">
      <c r="A11" s="0" t="s">
        <v>313</v>
      </c>
      <c r="B11" s="0" t="s">
        <v>1889</v>
      </c>
    </row>
    <row r="12" customFormat="false" ht="10.15" hidden="false" customHeight="false" outlineLevel="0" collapsed="false">
      <c r="A12" s="0" t="s">
        <v>313</v>
      </c>
      <c r="B12" s="0" t="s">
        <v>1890</v>
      </c>
    </row>
    <row r="13" customFormat="false" ht="10.15" hidden="false" customHeight="false" outlineLevel="0" collapsed="false">
      <c r="A13" s="0" t="s">
        <v>313</v>
      </c>
      <c r="B13" s="0" t="s">
        <v>1891</v>
      </c>
    </row>
    <row r="14" customFormat="false" ht="10.15" hidden="false" customHeight="false" outlineLevel="0" collapsed="false">
      <c r="A14" s="0" t="s">
        <v>313</v>
      </c>
      <c r="B14" s="0" t="s">
        <v>1892</v>
      </c>
    </row>
    <row r="15" customFormat="false" ht="10.15" hidden="false" customHeight="false" outlineLevel="0" collapsed="false">
      <c r="A15" s="0" t="s">
        <v>313</v>
      </c>
      <c r="B15" s="0" t="s">
        <v>1893</v>
      </c>
    </row>
    <row r="16" customFormat="false" ht="10.15" hidden="false" customHeight="false" outlineLevel="0" collapsed="false">
      <c r="A16" s="0" t="s">
        <v>313</v>
      </c>
      <c r="B16" s="0" t="s">
        <v>1894</v>
      </c>
    </row>
    <row r="17" customFormat="false" ht="10.15" hidden="false" customHeight="false" outlineLevel="0" collapsed="false">
      <c r="A17" s="0" t="s">
        <v>313</v>
      </c>
      <c r="B17" s="0" t="s">
        <v>1895</v>
      </c>
    </row>
    <row r="18" customFormat="false" ht="10.15" hidden="false" customHeight="false" outlineLevel="0" collapsed="false">
      <c r="A18" s="0" t="s">
        <v>313</v>
      </c>
      <c r="B18" s="0" t="s">
        <v>1896</v>
      </c>
    </row>
    <row r="19" customFormat="false" ht="10.15" hidden="false" customHeight="false" outlineLevel="0" collapsed="false">
      <c r="A19" s="0" t="s">
        <v>313</v>
      </c>
      <c r="B19" s="0" t="s">
        <v>1897</v>
      </c>
    </row>
    <row r="20" customFormat="false" ht="10.15" hidden="false" customHeight="false" outlineLevel="0" collapsed="false">
      <c r="A20" s="0" t="s">
        <v>313</v>
      </c>
      <c r="B20" s="0" t="s">
        <v>1898</v>
      </c>
    </row>
    <row r="21" customFormat="false" ht="10.15" hidden="false" customHeight="false" outlineLevel="0" collapsed="false">
      <c r="A21" s="0" t="s">
        <v>318</v>
      </c>
      <c r="B21" s="0" t="s">
        <v>1880</v>
      </c>
    </row>
    <row r="22" customFormat="false" ht="10.15" hidden="false" customHeight="false" outlineLevel="0" collapsed="false">
      <c r="A22" s="0" t="s">
        <v>318</v>
      </c>
      <c r="B22" s="0" t="s">
        <v>1881</v>
      </c>
    </row>
    <row r="23" customFormat="false" ht="10.15" hidden="false" customHeight="false" outlineLevel="0" collapsed="false">
      <c r="A23" s="0" t="s">
        <v>318</v>
      </c>
      <c r="B23" s="0" t="s">
        <v>1882</v>
      </c>
    </row>
    <row r="24" customFormat="false" ht="10.15" hidden="false" customHeight="false" outlineLevel="0" collapsed="false">
      <c r="A24" s="0" t="s">
        <v>318</v>
      </c>
      <c r="B24" s="0" t="s">
        <v>1883</v>
      </c>
    </row>
    <row r="25" customFormat="false" ht="10.15" hidden="false" customHeight="false" outlineLevel="0" collapsed="false">
      <c r="A25" s="0" t="s">
        <v>318</v>
      </c>
      <c r="B25" s="0" t="s">
        <v>1884</v>
      </c>
    </row>
    <row r="26" customFormat="false" ht="10.15" hidden="false" customHeight="false" outlineLevel="0" collapsed="false">
      <c r="A26" s="0" t="s">
        <v>318</v>
      </c>
      <c r="B26" s="0" t="s">
        <v>1899</v>
      </c>
    </row>
    <row r="27" customFormat="false" ht="10.15" hidden="false" customHeight="false" outlineLevel="0" collapsed="false">
      <c r="A27" s="0" t="s">
        <v>318</v>
      </c>
      <c r="B27" s="0" t="s">
        <v>1900</v>
      </c>
    </row>
    <row r="28" customFormat="false" ht="10.15" hidden="false" customHeight="false" outlineLevel="0" collapsed="false">
      <c r="A28" s="0" t="s">
        <v>318</v>
      </c>
      <c r="B28" s="0" t="s">
        <v>1901</v>
      </c>
    </row>
    <row r="29" customFormat="false" ht="10.15" hidden="false" customHeight="false" outlineLevel="0" collapsed="false">
      <c r="A29" s="0" t="s">
        <v>318</v>
      </c>
      <c r="B29" s="0" t="s">
        <v>1902</v>
      </c>
    </row>
    <row r="30" customFormat="false" ht="10.15" hidden="false" customHeight="false" outlineLevel="0" collapsed="false">
      <c r="A30" s="0" t="s">
        <v>318</v>
      </c>
      <c r="B30" s="0" t="s">
        <v>1903</v>
      </c>
    </row>
    <row r="31" customFormat="false" ht="10.15" hidden="false" customHeight="false" outlineLevel="0" collapsed="false">
      <c r="A31" s="0" t="s">
        <v>318</v>
      </c>
      <c r="B31" s="0" t="s">
        <v>1890</v>
      </c>
    </row>
    <row r="32" customFormat="false" ht="10.15" hidden="false" customHeight="false" outlineLevel="0" collapsed="false">
      <c r="A32" s="0" t="s">
        <v>318</v>
      </c>
      <c r="B32" s="0" t="s">
        <v>1891</v>
      </c>
    </row>
    <row r="33" customFormat="false" ht="10.15" hidden="false" customHeight="false" outlineLevel="0" collapsed="false">
      <c r="A33" s="0" t="s">
        <v>318</v>
      </c>
      <c r="B33" s="0" t="s">
        <v>1892</v>
      </c>
    </row>
    <row r="34" customFormat="false" ht="10.15" hidden="false" customHeight="false" outlineLevel="0" collapsed="false">
      <c r="A34" s="0" t="s">
        <v>318</v>
      </c>
      <c r="B34" s="0" t="s">
        <v>1893</v>
      </c>
    </row>
    <row r="35" customFormat="false" ht="10.15" hidden="false" customHeight="false" outlineLevel="0" collapsed="false">
      <c r="A35" s="0" t="s">
        <v>318</v>
      </c>
      <c r="B35" s="0" t="s">
        <v>1894</v>
      </c>
    </row>
    <row r="36" customFormat="false" ht="10.15" hidden="false" customHeight="false" outlineLevel="0" collapsed="false">
      <c r="A36" s="0" t="s">
        <v>318</v>
      </c>
      <c r="B36" s="0" t="s">
        <v>1895</v>
      </c>
    </row>
    <row r="37" customFormat="false" ht="10.15" hidden="false" customHeight="false" outlineLevel="0" collapsed="false">
      <c r="A37" s="0" t="s">
        <v>318</v>
      </c>
      <c r="B37" s="0" t="s">
        <v>1896</v>
      </c>
    </row>
    <row r="38" customFormat="false" ht="10.15" hidden="false" customHeight="false" outlineLevel="0" collapsed="false">
      <c r="A38" s="0" t="s">
        <v>318</v>
      </c>
      <c r="B38" s="0" t="s">
        <v>1897</v>
      </c>
    </row>
    <row r="39" customFormat="false" ht="10.15" hidden="false" customHeight="false" outlineLevel="0" collapsed="false">
      <c r="A39" s="0" t="s">
        <v>318</v>
      </c>
      <c r="B39" s="0" t="s">
        <v>1898</v>
      </c>
    </row>
    <row r="40" customFormat="false" ht="10.15" hidden="false" customHeight="false" outlineLevel="0" collapsed="false">
      <c r="A40" s="0" t="s">
        <v>320</v>
      </c>
      <c r="B40" s="0" t="s">
        <v>1880</v>
      </c>
    </row>
    <row r="41" customFormat="false" ht="10.15" hidden="false" customHeight="false" outlineLevel="0" collapsed="false">
      <c r="A41" s="0" t="s">
        <v>320</v>
      </c>
      <c r="B41" s="0" t="s">
        <v>1881</v>
      </c>
    </row>
    <row r="42" customFormat="false" ht="10.15" hidden="false" customHeight="false" outlineLevel="0" collapsed="false">
      <c r="A42" s="0" t="s">
        <v>320</v>
      </c>
      <c r="B42" s="0" t="s">
        <v>1882</v>
      </c>
    </row>
    <row r="43" customFormat="false" ht="10.15" hidden="false" customHeight="false" outlineLevel="0" collapsed="false">
      <c r="A43" s="0" t="s">
        <v>320</v>
      </c>
      <c r="B43" s="0" t="s">
        <v>1883</v>
      </c>
    </row>
    <row r="44" customFormat="false" ht="10.15" hidden="false" customHeight="false" outlineLevel="0" collapsed="false">
      <c r="A44" s="0" t="s">
        <v>320</v>
      </c>
      <c r="B44" s="0" t="s">
        <v>1884</v>
      </c>
    </row>
    <row r="45" customFormat="false" ht="10.15" hidden="false" customHeight="false" outlineLevel="0" collapsed="false">
      <c r="A45" s="0" t="s">
        <v>320</v>
      </c>
      <c r="B45" s="0" t="s">
        <v>1899</v>
      </c>
    </row>
    <row r="46" customFormat="false" ht="10.15" hidden="false" customHeight="false" outlineLevel="0" collapsed="false">
      <c r="A46" s="0" t="s">
        <v>320</v>
      </c>
      <c r="B46" s="0" t="s">
        <v>1900</v>
      </c>
    </row>
    <row r="47" customFormat="false" ht="10.15" hidden="false" customHeight="false" outlineLevel="0" collapsed="false">
      <c r="A47" s="0" t="s">
        <v>320</v>
      </c>
      <c r="B47" s="0" t="s">
        <v>1901</v>
      </c>
    </row>
    <row r="48" customFormat="false" ht="10.15" hidden="false" customHeight="false" outlineLevel="0" collapsed="false">
      <c r="A48" s="0" t="s">
        <v>320</v>
      </c>
      <c r="B48" s="0" t="s">
        <v>1902</v>
      </c>
      <c r="C48" s="0" t="s">
        <v>1904</v>
      </c>
    </row>
    <row r="49" customFormat="false" ht="10.15" hidden="false" customHeight="false" outlineLevel="0" collapsed="false">
      <c r="A49" s="0" t="s">
        <v>320</v>
      </c>
      <c r="B49" s="0" t="s">
        <v>1885</v>
      </c>
      <c r="C49" s="0" t="s">
        <v>1904</v>
      </c>
    </row>
    <row r="50" customFormat="false" ht="10.15" hidden="false" customHeight="false" outlineLevel="0" collapsed="false">
      <c r="A50" s="0" t="s">
        <v>320</v>
      </c>
      <c r="B50" s="0" t="s">
        <v>1886</v>
      </c>
    </row>
    <row r="51" customFormat="false" ht="10.15" hidden="false" customHeight="false" outlineLevel="0" collapsed="false">
      <c r="A51" s="0" t="s">
        <v>320</v>
      </c>
      <c r="B51" s="0" t="s">
        <v>1887</v>
      </c>
    </row>
    <row r="52" customFormat="false" ht="10.15" hidden="false" customHeight="false" outlineLevel="0" collapsed="false">
      <c r="A52" s="0" t="s">
        <v>320</v>
      </c>
      <c r="B52" s="0" t="s">
        <v>1888</v>
      </c>
    </row>
    <row r="53" customFormat="false" ht="10.15" hidden="false" customHeight="false" outlineLevel="0" collapsed="false">
      <c r="A53" s="0" t="s">
        <v>320</v>
      </c>
      <c r="B53" s="0" t="s">
        <v>1889</v>
      </c>
    </row>
    <row r="54" customFormat="false" ht="10.15" hidden="false" customHeight="false" outlineLevel="0" collapsed="false">
      <c r="A54" s="0" t="s">
        <v>320</v>
      </c>
      <c r="B54" s="0" t="s">
        <v>1905</v>
      </c>
    </row>
    <row r="55" customFormat="false" ht="10.15" hidden="false" customHeight="false" outlineLevel="0" collapsed="false">
      <c r="A55" s="0" t="s">
        <v>320</v>
      </c>
      <c r="B55" s="0" t="s">
        <v>1906</v>
      </c>
    </row>
    <row r="56" customFormat="false" ht="10.15" hidden="false" customHeight="false" outlineLevel="0" collapsed="false">
      <c r="A56" s="0" t="s">
        <v>320</v>
      </c>
      <c r="B56" s="0" t="s">
        <v>1903</v>
      </c>
    </row>
    <row r="57" customFormat="false" ht="10.15" hidden="false" customHeight="false" outlineLevel="0" collapsed="false">
      <c r="A57" s="0" t="s">
        <v>320</v>
      </c>
      <c r="B57" s="0" t="s">
        <v>1890</v>
      </c>
    </row>
    <row r="58" customFormat="false" ht="10.15" hidden="false" customHeight="false" outlineLevel="0" collapsed="false">
      <c r="A58" s="0" t="s">
        <v>320</v>
      </c>
      <c r="B58" s="0" t="s">
        <v>1891</v>
      </c>
      <c r="C58" s="0" t="s">
        <v>1904</v>
      </c>
    </row>
    <row r="59" customFormat="false" ht="10.15" hidden="false" customHeight="false" outlineLevel="0" collapsed="false">
      <c r="A59" s="0" t="s">
        <v>320</v>
      </c>
      <c r="B59" s="0" t="s">
        <v>1892</v>
      </c>
      <c r="C59" s="0" t="s">
        <v>1904</v>
      </c>
    </row>
    <row r="60" customFormat="false" ht="10.15" hidden="false" customHeight="false" outlineLevel="0" collapsed="false">
      <c r="A60" s="0" t="s">
        <v>320</v>
      </c>
      <c r="B60" s="0" t="s">
        <v>1893</v>
      </c>
    </row>
    <row r="61" customFormat="false" ht="10.15" hidden="false" customHeight="false" outlineLevel="0" collapsed="false">
      <c r="A61" s="0" t="s">
        <v>320</v>
      </c>
      <c r="B61" s="0" t="s">
        <v>1894</v>
      </c>
    </row>
    <row r="62" customFormat="false" ht="10.15" hidden="false" customHeight="false" outlineLevel="0" collapsed="false">
      <c r="A62" s="0" t="s">
        <v>320</v>
      </c>
      <c r="B62" s="0" t="s">
        <v>1895</v>
      </c>
    </row>
    <row r="63" customFormat="false" ht="10.15" hidden="false" customHeight="false" outlineLevel="0" collapsed="false">
      <c r="A63" s="0" t="s">
        <v>320</v>
      </c>
      <c r="B63" s="0" t="s">
        <v>1896</v>
      </c>
    </row>
    <row r="64" customFormat="false" ht="10.15" hidden="false" customHeight="false" outlineLevel="0" collapsed="false">
      <c r="A64" s="0" t="s">
        <v>320</v>
      </c>
      <c r="B64" s="0" t="s">
        <v>1897</v>
      </c>
    </row>
    <row r="65" customFormat="false" ht="10.15" hidden="false" customHeight="false" outlineLevel="0" collapsed="false">
      <c r="A65" s="0" t="s">
        <v>320</v>
      </c>
      <c r="B65" s="0" t="s">
        <v>1898</v>
      </c>
    </row>
    <row r="66" customFormat="false" ht="10.15" hidden="false" customHeight="false" outlineLevel="0" collapsed="false">
      <c r="A66" s="0" t="s">
        <v>320</v>
      </c>
      <c r="B66" s="0" t="s">
        <v>1907</v>
      </c>
    </row>
    <row r="67" customFormat="false" ht="10.15" hidden="false" customHeight="false" outlineLevel="0" collapsed="false">
      <c r="A67" s="0" t="s">
        <v>320</v>
      </c>
      <c r="B67" s="0" t="s">
        <v>1908</v>
      </c>
    </row>
    <row r="68" customFormat="false" ht="10.15" hidden="false" customHeight="false" outlineLevel="0" collapsed="false">
      <c r="A68" s="0" t="s">
        <v>320</v>
      </c>
      <c r="B68" s="0" t="s">
        <v>1909</v>
      </c>
    </row>
    <row r="69" customFormat="false" ht="10.15" hidden="false" customHeight="false" outlineLevel="0" collapsed="false">
      <c r="A69" s="0" t="s">
        <v>320</v>
      </c>
      <c r="B69" s="0" t="s">
        <v>1910</v>
      </c>
    </row>
    <row r="70" customFormat="false" ht="10.15" hidden="false" customHeight="false" outlineLevel="0" collapsed="false">
      <c r="A70" s="0" t="s">
        <v>324</v>
      </c>
      <c r="B70" s="0" t="s">
        <v>1880</v>
      </c>
    </row>
    <row r="71" customFormat="false" ht="10.15" hidden="false" customHeight="false" outlineLevel="0" collapsed="false">
      <c r="A71" s="0" t="s">
        <v>324</v>
      </c>
      <c r="B71" s="0" t="s">
        <v>1881</v>
      </c>
    </row>
    <row r="72" customFormat="false" ht="10.15" hidden="false" customHeight="false" outlineLevel="0" collapsed="false">
      <c r="A72" s="0" t="s">
        <v>324</v>
      </c>
      <c r="B72" s="0" t="s">
        <v>1882</v>
      </c>
    </row>
    <row r="73" customFormat="false" ht="10.15" hidden="false" customHeight="false" outlineLevel="0" collapsed="false">
      <c r="A73" s="0" t="s">
        <v>324</v>
      </c>
      <c r="B73" s="0" t="s">
        <v>1883</v>
      </c>
    </row>
    <row r="74" customFormat="false" ht="10.15" hidden="false" customHeight="false" outlineLevel="0" collapsed="false">
      <c r="A74" s="0" t="s">
        <v>324</v>
      </c>
      <c r="B74" s="0" t="s">
        <v>1884</v>
      </c>
    </row>
    <row r="75" customFormat="false" ht="10.15" hidden="false" customHeight="false" outlineLevel="0" collapsed="false">
      <c r="A75" s="0" t="s">
        <v>324</v>
      </c>
      <c r="B75" s="0" t="s">
        <v>1899</v>
      </c>
    </row>
    <row r="76" customFormat="false" ht="10.15" hidden="false" customHeight="false" outlineLevel="0" collapsed="false">
      <c r="A76" s="0" t="s">
        <v>324</v>
      </c>
      <c r="B76" s="0" t="s">
        <v>1900</v>
      </c>
    </row>
    <row r="77" customFormat="false" ht="10.15" hidden="false" customHeight="false" outlineLevel="0" collapsed="false">
      <c r="A77" s="0" t="s">
        <v>324</v>
      </c>
      <c r="B77" s="0" t="s">
        <v>1901</v>
      </c>
    </row>
    <row r="78" customFormat="false" ht="10.15" hidden="false" customHeight="false" outlineLevel="0" collapsed="false">
      <c r="A78" s="0" t="s">
        <v>324</v>
      </c>
      <c r="B78" s="0" t="s">
        <v>1902</v>
      </c>
    </row>
    <row r="79" customFormat="false" ht="10.15" hidden="false" customHeight="false" outlineLevel="0" collapsed="false">
      <c r="A79" s="0" t="s">
        <v>324</v>
      </c>
      <c r="B79" s="0" t="s">
        <v>1885</v>
      </c>
    </row>
    <row r="80" customFormat="false" ht="10.15" hidden="false" customHeight="false" outlineLevel="0" collapsed="false">
      <c r="A80" s="0" t="s">
        <v>324</v>
      </c>
      <c r="B80" s="0" t="s">
        <v>1886</v>
      </c>
    </row>
    <row r="81" customFormat="false" ht="10.15" hidden="false" customHeight="false" outlineLevel="0" collapsed="false">
      <c r="A81" s="0" t="s">
        <v>324</v>
      </c>
      <c r="B81" s="0" t="s">
        <v>1887</v>
      </c>
    </row>
    <row r="82" customFormat="false" ht="10.15" hidden="false" customHeight="false" outlineLevel="0" collapsed="false">
      <c r="A82" s="0" t="s">
        <v>324</v>
      </c>
      <c r="B82" s="0" t="s">
        <v>1888</v>
      </c>
    </row>
    <row r="83" customFormat="false" ht="10.15" hidden="false" customHeight="false" outlineLevel="0" collapsed="false">
      <c r="A83" s="0" t="s">
        <v>324</v>
      </c>
      <c r="B83" s="0" t="s">
        <v>1889</v>
      </c>
    </row>
    <row r="84" customFormat="false" ht="10.15" hidden="false" customHeight="false" outlineLevel="0" collapsed="false">
      <c r="A84" s="0" t="s">
        <v>324</v>
      </c>
      <c r="B84" s="0" t="s">
        <v>1905</v>
      </c>
    </row>
    <row r="85" customFormat="false" ht="10.15" hidden="false" customHeight="false" outlineLevel="0" collapsed="false">
      <c r="A85" s="0" t="s">
        <v>324</v>
      </c>
      <c r="B85" s="0" t="s">
        <v>1906</v>
      </c>
    </row>
    <row r="86" customFormat="false" ht="10.15" hidden="false" customHeight="false" outlineLevel="0" collapsed="false">
      <c r="A86" s="0" t="s">
        <v>324</v>
      </c>
      <c r="B86" s="0" t="s">
        <v>1903</v>
      </c>
    </row>
    <row r="87" customFormat="false" ht="10.15" hidden="false" customHeight="false" outlineLevel="0" collapsed="false">
      <c r="A87" s="0" t="s">
        <v>324</v>
      </c>
      <c r="B87" s="0" t="s">
        <v>1890</v>
      </c>
    </row>
    <row r="88" customFormat="false" ht="10.15" hidden="false" customHeight="false" outlineLevel="0" collapsed="false">
      <c r="A88" s="0" t="s">
        <v>324</v>
      </c>
      <c r="B88" s="0" t="s">
        <v>1891</v>
      </c>
    </row>
    <row r="89" customFormat="false" ht="10.15" hidden="false" customHeight="false" outlineLevel="0" collapsed="false">
      <c r="A89" s="0" t="s">
        <v>324</v>
      </c>
      <c r="B89" s="0" t="s">
        <v>1892</v>
      </c>
    </row>
    <row r="90" customFormat="false" ht="10.15" hidden="false" customHeight="false" outlineLevel="0" collapsed="false">
      <c r="A90" s="0" t="s">
        <v>324</v>
      </c>
      <c r="B90" s="0" t="s">
        <v>1893</v>
      </c>
    </row>
    <row r="91" customFormat="false" ht="10.15" hidden="false" customHeight="false" outlineLevel="0" collapsed="false">
      <c r="A91" s="0" t="s">
        <v>324</v>
      </c>
      <c r="B91" s="0" t="s">
        <v>1894</v>
      </c>
    </row>
    <row r="92" customFormat="false" ht="10.15" hidden="false" customHeight="false" outlineLevel="0" collapsed="false">
      <c r="A92" s="0" t="s">
        <v>324</v>
      </c>
      <c r="B92" s="0" t="s">
        <v>1895</v>
      </c>
    </row>
    <row r="93" customFormat="false" ht="10.15" hidden="false" customHeight="false" outlineLevel="0" collapsed="false">
      <c r="A93" s="0" t="s">
        <v>324</v>
      </c>
      <c r="B93" s="0" t="s">
        <v>1896</v>
      </c>
    </row>
    <row r="94" customFormat="false" ht="10.15" hidden="false" customHeight="false" outlineLevel="0" collapsed="false">
      <c r="A94" s="0" t="s">
        <v>324</v>
      </c>
      <c r="B94" s="0" t="s">
        <v>1897</v>
      </c>
    </row>
    <row r="95" customFormat="false" ht="10.15" hidden="false" customHeight="false" outlineLevel="0" collapsed="false">
      <c r="A95" s="0" t="s">
        <v>324</v>
      </c>
      <c r="B95" s="0" t="s">
        <v>1898</v>
      </c>
    </row>
    <row r="96" customFormat="false" ht="10.15" hidden="false" customHeight="false" outlineLevel="0" collapsed="false">
      <c r="A96" s="0" t="s">
        <v>324</v>
      </c>
      <c r="B96" s="0" t="s">
        <v>1907</v>
      </c>
      <c r="C96" s="0" t="s">
        <v>1904</v>
      </c>
    </row>
    <row r="97" customFormat="false" ht="10.15" hidden="false" customHeight="false" outlineLevel="0" collapsed="false">
      <c r="A97" s="0" t="s">
        <v>324</v>
      </c>
      <c r="B97" s="0" t="s">
        <v>1908</v>
      </c>
      <c r="C97" s="0" t="s">
        <v>1904</v>
      </c>
    </row>
    <row r="98" customFormat="false" ht="10.15" hidden="false" customHeight="false" outlineLevel="0" collapsed="false">
      <c r="A98" s="0" t="s">
        <v>324</v>
      </c>
      <c r="B98" s="0" t="s">
        <v>1909</v>
      </c>
      <c r="C98" s="0" t="s">
        <v>1904</v>
      </c>
    </row>
    <row r="99" customFormat="false" ht="10.15" hidden="false" customHeight="false" outlineLevel="0" collapsed="false">
      <c r="A99" s="0" t="s">
        <v>324</v>
      </c>
      <c r="B99" s="0" t="s">
        <v>1910</v>
      </c>
      <c r="C99" s="0" t="s">
        <v>1904</v>
      </c>
    </row>
    <row r="100" customFormat="false" ht="10.15" hidden="false" customHeight="false" outlineLevel="0" collapsed="false">
      <c r="A100" s="0" t="s">
        <v>326</v>
      </c>
      <c r="B100" s="0" t="s">
        <v>1880</v>
      </c>
    </row>
    <row r="101" customFormat="false" ht="10.15" hidden="false" customHeight="false" outlineLevel="0" collapsed="false">
      <c r="A101" s="0" t="s">
        <v>326</v>
      </c>
      <c r="B101" s="0" t="s">
        <v>1881</v>
      </c>
    </row>
    <row r="102" customFormat="false" ht="10.15" hidden="false" customHeight="false" outlineLevel="0" collapsed="false">
      <c r="A102" s="0" t="s">
        <v>326</v>
      </c>
      <c r="B102" s="0" t="s">
        <v>1882</v>
      </c>
    </row>
    <row r="103" customFormat="false" ht="10.15" hidden="false" customHeight="false" outlineLevel="0" collapsed="false">
      <c r="A103" s="0" t="s">
        <v>326</v>
      </c>
      <c r="B103" s="0" t="s">
        <v>1883</v>
      </c>
    </row>
    <row r="104" customFormat="false" ht="10.15" hidden="false" customHeight="false" outlineLevel="0" collapsed="false">
      <c r="A104" s="0" t="s">
        <v>326</v>
      </c>
      <c r="B104" s="0" t="s">
        <v>1884</v>
      </c>
    </row>
    <row r="105" customFormat="false" ht="10.15" hidden="false" customHeight="false" outlineLevel="0" collapsed="false">
      <c r="A105" s="0" t="s">
        <v>326</v>
      </c>
      <c r="B105" s="0" t="s">
        <v>1899</v>
      </c>
    </row>
    <row r="106" customFormat="false" ht="10.15" hidden="false" customHeight="false" outlineLevel="0" collapsed="false">
      <c r="A106" s="0" t="s">
        <v>326</v>
      </c>
      <c r="B106" s="0" t="s">
        <v>1900</v>
      </c>
    </row>
    <row r="107" customFormat="false" ht="10.15" hidden="false" customHeight="false" outlineLevel="0" collapsed="false">
      <c r="A107" s="0" t="s">
        <v>326</v>
      </c>
      <c r="B107" s="0" t="s">
        <v>1901</v>
      </c>
    </row>
    <row r="108" customFormat="false" ht="10.15" hidden="false" customHeight="false" outlineLevel="0" collapsed="false">
      <c r="A108" s="0" t="s">
        <v>326</v>
      </c>
      <c r="B108" s="0" t="s">
        <v>1902</v>
      </c>
      <c r="C108" s="0" t="s">
        <v>1911</v>
      </c>
    </row>
    <row r="109" customFormat="false" ht="10.15" hidden="false" customHeight="false" outlineLevel="0" collapsed="false">
      <c r="A109" s="0" t="s">
        <v>326</v>
      </c>
      <c r="B109" s="0" t="s">
        <v>1885</v>
      </c>
      <c r="C109" s="0" t="s">
        <v>1911</v>
      </c>
    </row>
    <row r="110" customFormat="false" ht="10.15" hidden="false" customHeight="false" outlineLevel="0" collapsed="false">
      <c r="A110" s="0" t="s">
        <v>326</v>
      </c>
      <c r="B110" s="0" t="s">
        <v>1886</v>
      </c>
    </row>
    <row r="111" customFormat="false" ht="10.15" hidden="false" customHeight="false" outlineLevel="0" collapsed="false">
      <c r="A111" s="0" t="s">
        <v>326</v>
      </c>
      <c r="B111" s="0" t="s">
        <v>1887</v>
      </c>
    </row>
    <row r="112" customFormat="false" ht="10.15" hidden="false" customHeight="false" outlineLevel="0" collapsed="false">
      <c r="A112" s="0" t="s">
        <v>326</v>
      </c>
      <c r="B112" s="0" t="s">
        <v>1888</v>
      </c>
    </row>
    <row r="113" customFormat="false" ht="10.15" hidden="false" customHeight="false" outlineLevel="0" collapsed="false">
      <c r="A113" s="0" t="s">
        <v>326</v>
      </c>
      <c r="B113" s="0" t="s">
        <v>1889</v>
      </c>
    </row>
    <row r="114" customFormat="false" ht="10.15" hidden="false" customHeight="false" outlineLevel="0" collapsed="false">
      <c r="A114" s="0" t="s">
        <v>326</v>
      </c>
      <c r="B114" s="0" t="s">
        <v>1905</v>
      </c>
    </row>
    <row r="115" customFormat="false" ht="10.15" hidden="false" customHeight="false" outlineLevel="0" collapsed="false">
      <c r="A115" s="0" t="s">
        <v>326</v>
      </c>
      <c r="B115" s="0" t="s">
        <v>1906</v>
      </c>
    </row>
    <row r="116" customFormat="false" ht="10.15" hidden="false" customHeight="false" outlineLevel="0" collapsed="false">
      <c r="A116" s="0" t="s">
        <v>326</v>
      </c>
      <c r="B116" s="0" t="s">
        <v>1903</v>
      </c>
    </row>
    <row r="117" customFormat="false" ht="10.15" hidden="false" customHeight="false" outlineLevel="0" collapsed="false">
      <c r="A117" s="0" t="s">
        <v>326</v>
      </c>
      <c r="B117" s="0" t="s">
        <v>1890</v>
      </c>
    </row>
    <row r="118" customFormat="false" ht="10.15" hidden="false" customHeight="false" outlineLevel="0" collapsed="false">
      <c r="A118" s="0" t="s">
        <v>326</v>
      </c>
      <c r="B118" s="0" t="s">
        <v>1891</v>
      </c>
    </row>
    <row r="119" customFormat="false" ht="10.15" hidden="false" customHeight="false" outlineLevel="0" collapsed="false">
      <c r="A119" s="0" t="s">
        <v>326</v>
      </c>
      <c r="B119" s="0" t="s">
        <v>1892</v>
      </c>
    </row>
    <row r="120" customFormat="false" ht="10.15" hidden="false" customHeight="false" outlineLevel="0" collapsed="false">
      <c r="A120" s="0" t="s">
        <v>326</v>
      </c>
      <c r="B120" s="0" t="s">
        <v>1893</v>
      </c>
    </row>
    <row r="121" customFormat="false" ht="10.15" hidden="false" customHeight="false" outlineLevel="0" collapsed="false">
      <c r="A121" s="0" t="s">
        <v>326</v>
      </c>
      <c r="B121" s="0" t="s">
        <v>1894</v>
      </c>
    </row>
    <row r="122" customFormat="false" ht="10.15" hidden="false" customHeight="false" outlineLevel="0" collapsed="false">
      <c r="A122" s="0" t="s">
        <v>326</v>
      </c>
      <c r="B122" s="0" t="s">
        <v>1895</v>
      </c>
    </row>
    <row r="123" customFormat="false" ht="10.15" hidden="false" customHeight="false" outlineLevel="0" collapsed="false">
      <c r="A123" s="0" t="s">
        <v>326</v>
      </c>
      <c r="B123" s="0" t="s">
        <v>1896</v>
      </c>
    </row>
    <row r="124" customFormat="false" ht="10.15" hidden="false" customHeight="false" outlineLevel="0" collapsed="false">
      <c r="A124" s="0" t="s">
        <v>326</v>
      </c>
      <c r="B124" s="0" t="s">
        <v>1897</v>
      </c>
    </row>
    <row r="125" customFormat="false" ht="10.15" hidden="false" customHeight="false" outlineLevel="0" collapsed="false">
      <c r="A125" s="0" t="s">
        <v>326</v>
      </c>
      <c r="B125" s="0" t="s">
        <v>1898</v>
      </c>
    </row>
    <row r="126" customFormat="false" ht="10.15" hidden="false" customHeight="false" outlineLevel="0" collapsed="false">
      <c r="A126" s="0" t="s">
        <v>326</v>
      </c>
      <c r="B126" s="0" t="s">
        <v>1907</v>
      </c>
    </row>
    <row r="127" customFormat="false" ht="10.15" hidden="false" customHeight="false" outlineLevel="0" collapsed="false">
      <c r="A127" s="0" t="s">
        <v>326</v>
      </c>
      <c r="B127" s="0" t="s">
        <v>1908</v>
      </c>
    </row>
    <row r="128" customFormat="false" ht="10.15" hidden="false" customHeight="false" outlineLevel="0" collapsed="false">
      <c r="A128" s="0" t="s">
        <v>326</v>
      </c>
      <c r="B128" s="0" t="s">
        <v>1909</v>
      </c>
      <c r="C128" s="0" t="s">
        <v>1911</v>
      </c>
    </row>
    <row r="129" customFormat="false" ht="10.15" hidden="false" customHeight="false" outlineLevel="0" collapsed="false">
      <c r="A129" s="0" t="s">
        <v>326</v>
      </c>
      <c r="B129" s="0" t="s">
        <v>1910</v>
      </c>
      <c r="C129" s="0" t="s">
        <v>1911</v>
      </c>
    </row>
    <row r="130" customFormat="false" ht="10.15" hidden="false" customHeight="false" outlineLevel="0" collapsed="false">
      <c r="A130" s="0" t="s">
        <v>330</v>
      </c>
      <c r="B130" s="0" t="s">
        <v>1880</v>
      </c>
    </row>
    <row r="131" customFormat="false" ht="10.15" hidden="false" customHeight="false" outlineLevel="0" collapsed="false">
      <c r="A131" s="0" t="s">
        <v>330</v>
      </c>
      <c r="B131" s="0" t="s">
        <v>1881</v>
      </c>
    </row>
    <row r="132" customFormat="false" ht="10.15" hidden="false" customHeight="false" outlineLevel="0" collapsed="false">
      <c r="A132" s="0" t="s">
        <v>330</v>
      </c>
      <c r="B132" s="0" t="s">
        <v>1882</v>
      </c>
    </row>
    <row r="133" customFormat="false" ht="10.15" hidden="false" customHeight="false" outlineLevel="0" collapsed="false">
      <c r="A133" s="0" t="s">
        <v>330</v>
      </c>
      <c r="B133" s="0" t="s">
        <v>1883</v>
      </c>
    </row>
    <row r="134" customFormat="false" ht="10.15" hidden="false" customHeight="false" outlineLevel="0" collapsed="false">
      <c r="A134" s="0" t="s">
        <v>330</v>
      </c>
      <c r="B134" s="0" t="s">
        <v>1884</v>
      </c>
    </row>
    <row r="135" customFormat="false" ht="10.15" hidden="false" customHeight="false" outlineLevel="0" collapsed="false">
      <c r="A135" s="0" t="s">
        <v>330</v>
      </c>
      <c r="B135" s="0" t="s">
        <v>1899</v>
      </c>
    </row>
    <row r="136" customFormat="false" ht="10.15" hidden="false" customHeight="false" outlineLevel="0" collapsed="false">
      <c r="A136" s="0" t="s">
        <v>330</v>
      </c>
      <c r="B136" s="0" t="s">
        <v>1900</v>
      </c>
    </row>
    <row r="137" customFormat="false" ht="10.15" hidden="false" customHeight="false" outlineLevel="0" collapsed="false">
      <c r="A137" s="0" t="s">
        <v>330</v>
      </c>
      <c r="B137" s="0" t="s">
        <v>1901</v>
      </c>
    </row>
    <row r="138" customFormat="false" ht="10.15" hidden="false" customHeight="false" outlineLevel="0" collapsed="false">
      <c r="A138" s="0" t="s">
        <v>330</v>
      </c>
      <c r="B138" s="0" t="s">
        <v>1902</v>
      </c>
    </row>
    <row r="139" customFormat="false" ht="10.15" hidden="false" customHeight="false" outlineLevel="0" collapsed="false">
      <c r="A139" s="0" t="s">
        <v>330</v>
      </c>
      <c r="B139" s="0" t="s">
        <v>1885</v>
      </c>
    </row>
    <row r="140" customFormat="false" ht="10.15" hidden="false" customHeight="false" outlineLevel="0" collapsed="false">
      <c r="A140" s="0" t="s">
        <v>330</v>
      </c>
      <c r="B140" s="0" t="s">
        <v>1886</v>
      </c>
    </row>
    <row r="141" customFormat="false" ht="10.15" hidden="false" customHeight="false" outlineLevel="0" collapsed="false">
      <c r="A141" s="0" t="s">
        <v>330</v>
      </c>
      <c r="B141" s="0" t="s">
        <v>1887</v>
      </c>
    </row>
    <row r="142" customFormat="false" ht="10.15" hidden="false" customHeight="false" outlineLevel="0" collapsed="false">
      <c r="A142" s="0" t="s">
        <v>330</v>
      </c>
      <c r="B142" s="0" t="s">
        <v>1888</v>
      </c>
    </row>
    <row r="143" customFormat="false" ht="10.15" hidden="false" customHeight="false" outlineLevel="0" collapsed="false">
      <c r="A143" s="0" t="s">
        <v>330</v>
      </c>
      <c r="B143" s="0" t="s">
        <v>1889</v>
      </c>
    </row>
    <row r="144" customFormat="false" ht="10.15" hidden="false" customHeight="false" outlineLevel="0" collapsed="false">
      <c r="A144" s="0" t="s">
        <v>330</v>
      </c>
      <c r="B144" s="0" t="s">
        <v>1905</v>
      </c>
    </row>
    <row r="145" customFormat="false" ht="10.15" hidden="false" customHeight="false" outlineLevel="0" collapsed="false">
      <c r="A145" s="0" t="s">
        <v>330</v>
      </c>
      <c r="B145" s="0" t="s">
        <v>1906</v>
      </c>
    </row>
    <row r="146" customFormat="false" ht="10.15" hidden="false" customHeight="false" outlineLevel="0" collapsed="false">
      <c r="A146" s="0" t="s">
        <v>330</v>
      </c>
      <c r="B146" s="0" t="s">
        <v>1903</v>
      </c>
    </row>
    <row r="147" customFormat="false" ht="10.15" hidden="false" customHeight="false" outlineLevel="0" collapsed="false">
      <c r="A147" s="0" t="s">
        <v>330</v>
      </c>
      <c r="B147" s="0" t="s">
        <v>1890</v>
      </c>
    </row>
    <row r="148" customFormat="false" ht="10.15" hidden="false" customHeight="false" outlineLevel="0" collapsed="false">
      <c r="A148" s="0" t="s">
        <v>330</v>
      </c>
      <c r="B148" s="0" t="s">
        <v>1891</v>
      </c>
    </row>
    <row r="149" customFormat="false" ht="10.15" hidden="false" customHeight="false" outlineLevel="0" collapsed="false">
      <c r="A149" s="0" t="s">
        <v>330</v>
      </c>
      <c r="B149" s="0" t="s">
        <v>1892</v>
      </c>
    </row>
    <row r="150" customFormat="false" ht="10.15" hidden="false" customHeight="false" outlineLevel="0" collapsed="false">
      <c r="A150" s="0" t="s">
        <v>330</v>
      </c>
      <c r="B150" s="0" t="s">
        <v>1893</v>
      </c>
    </row>
    <row r="151" customFormat="false" ht="10.15" hidden="false" customHeight="false" outlineLevel="0" collapsed="false">
      <c r="A151" s="0" t="s">
        <v>330</v>
      </c>
      <c r="B151" s="0" t="s">
        <v>1894</v>
      </c>
    </row>
    <row r="152" customFormat="false" ht="10.15" hidden="false" customHeight="false" outlineLevel="0" collapsed="false">
      <c r="A152" s="0" t="s">
        <v>330</v>
      </c>
      <c r="B152" s="0" t="s">
        <v>1895</v>
      </c>
    </row>
    <row r="153" customFormat="false" ht="10.15" hidden="false" customHeight="false" outlineLevel="0" collapsed="false">
      <c r="A153" s="0" t="s">
        <v>330</v>
      </c>
      <c r="B153" s="0" t="s">
        <v>1896</v>
      </c>
    </row>
    <row r="154" customFormat="false" ht="10.15" hidden="false" customHeight="false" outlineLevel="0" collapsed="false">
      <c r="A154" s="0" t="s">
        <v>330</v>
      </c>
      <c r="B154" s="0" t="s">
        <v>1897</v>
      </c>
    </row>
    <row r="155" customFormat="false" ht="10.15" hidden="false" customHeight="false" outlineLevel="0" collapsed="false">
      <c r="A155" s="0" t="s">
        <v>330</v>
      </c>
      <c r="B155" s="0" t="s">
        <v>1898</v>
      </c>
    </row>
    <row r="156" customFormat="false" ht="10.15" hidden="false" customHeight="false" outlineLevel="0" collapsed="false">
      <c r="A156" s="0" t="s">
        <v>330</v>
      </c>
      <c r="B156" s="0" t="s">
        <v>1907</v>
      </c>
      <c r="C156" s="0" t="s">
        <v>1911</v>
      </c>
    </row>
    <row r="157" customFormat="false" ht="10.15" hidden="false" customHeight="false" outlineLevel="0" collapsed="false">
      <c r="A157" s="0" t="s">
        <v>330</v>
      </c>
      <c r="B157" s="0" t="s">
        <v>1908</v>
      </c>
      <c r="C157" s="0" t="s">
        <v>1911</v>
      </c>
    </row>
    <row r="158" customFormat="false" ht="10.15" hidden="false" customHeight="false" outlineLevel="0" collapsed="false">
      <c r="A158" s="0" t="s">
        <v>330</v>
      </c>
      <c r="B158" s="0" t="s">
        <v>1909</v>
      </c>
      <c r="C158" s="0" t="s">
        <v>1911</v>
      </c>
    </row>
    <row r="159" customFormat="false" ht="10.15" hidden="false" customHeight="false" outlineLevel="0" collapsed="false">
      <c r="A159" s="0" t="s">
        <v>330</v>
      </c>
      <c r="B159" s="0" t="s">
        <v>1910</v>
      </c>
      <c r="C159" s="0" t="s">
        <v>1911</v>
      </c>
    </row>
    <row r="160" customFormat="false" ht="10.15" hidden="false" customHeight="false" outlineLevel="0" collapsed="false">
      <c r="A160" s="0" t="s">
        <v>332</v>
      </c>
      <c r="B160" s="0" t="s">
        <v>1880</v>
      </c>
    </row>
    <row r="161" customFormat="false" ht="10.15" hidden="false" customHeight="false" outlineLevel="0" collapsed="false">
      <c r="A161" s="0" t="s">
        <v>332</v>
      </c>
      <c r="B161" s="0" t="s">
        <v>1881</v>
      </c>
    </row>
    <row r="162" customFormat="false" ht="10.15" hidden="false" customHeight="false" outlineLevel="0" collapsed="false">
      <c r="A162" s="0" t="s">
        <v>332</v>
      </c>
      <c r="B162" s="0" t="s">
        <v>1882</v>
      </c>
    </row>
    <row r="163" customFormat="false" ht="10.15" hidden="false" customHeight="false" outlineLevel="0" collapsed="false">
      <c r="A163" s="0" t="s">
        <v>332</v>
      </c>
      <c r="B163" s="0" t="s">
        <v>1883</v>
      </c>
    </row>
    <row r="164" customFormat="false" ht="10.15" hidden="false" customHeight="false" outlineLevel="0" collapsed="false">
      <c r="A164" s="0" t="s">
        <v>332</v>
      </c>
      <c r="B164" s="0" t="s">
        <v>1885</v>
      </c>
    </row>
    <row r="165" customFormat="false" ht="10.15" hidden="false" customHeight="false" outlineLevel="0" collapsed="false">
      <c r="A165" s="0" t="s">
        <v>332</v>
      </c>
      <c r="B165" s="0" t="s">
        <v>1886</v>
      </c>
    </row>
    <row r="166" customFormat="false" ht="10.15" hidden="false" customHeight="false" outlineLevel="0" collapsed="false">
      <c r="A166" s="0" t="s">
        <v>332</v>
      </c>
      <c r="B166" s="0" t="s">
        <v>1887</v>
      </c>
    </row>
    <row r="167" customFormat="false" ht="10.15" hidden="false" customHeight="false" outlineLevel="0" collapsed="false">
      <c r="A167" s="0" t="s">
        <v>332</v>
      </c>
      <c r="B167" s="0" t="s">
        <v>1888</v>
      </c>
    </row>
    <row r="168" customFormat="false" ht="10.15" hidden="false" customHeight="false" outlineLevel="0" collapsed="false">
      <c r="A168" s="0" t="s">
        <v>332</v>
      </c>
      <c r="B168" s="0" t="s">
        <v>1889</v>
      </c>
    </row>
    <row r="169" customFormat="false" ht="10.15" hidden="false" customHeight="false" outlineLevel="0" collapsed="false">
      <c r="A169" s="0" t="s">
        <v>332</v>
      </c>
      <c r="B169" s="0" t="s">
        <v>1896</v>
      </c>
    </row>
    <row r="170" customFormat="false" ht="10.15" hidden="false" customHeight="false" outlineLevel="0" collapsed="false">
      <c r="A170" s="0" t="s">
        <v>332</v>
      </c>
      <c r="B170" s="0" t="s">
        <v>1897</v>
      </c>
    </row>
    <row r="171" customFormat="false" ht="10.15" hidden="false" customHeight="false" outlineLevel="0" collapsed="false">
      <c r="A171" s="0" t="s">
        <v>332</v>
      </c>
      <c r="B171" s="0" t="s">
        <v>1898</v>
      </c>
    </row>
    <row r="172" customFormat="false" ht="10.15" hidden="false" customHeight="false" outlineLevel="0" collapsed="false">
      <c r="A172" s="0" t="s">
        <v>333</v>
      </c>
      <c r="B172" s="0" t="s">
        <v>1880</v>
      </c>
    </row>
    <row r="173" customFormat="false" ht="10.15" hidden="false" customHeight="false" outlineLevel="0" collapsed="false">
      <c r="A173" s="0" t="s">
        <v>333</v>
      </c>
      <c r="B173" s="0" t="s">
        <v>1881</v>
      </c>
    </row>
    <row r="174" customFormat="false" ht="10.15" hidden="false" customHeight="false" outlineLevel="0" collapsed="false">
      <c r="A174" s="0" t="s">
        <v>333</v>
      </c>
      <c r="B174" s="0" t="s">
        <v>1882</v>
      </c>
    </row>
    <row r="175" customFormat="false" ht="10.15" hidden="false" customHeight="false" outlineLevel="0" collapsed="false">
      <c r="A175" s="0" t="s">
        <v>333</v>
      </c>
      <c r="B175" s="0" t="s">
        <v>1883</v>
      </c>
    </row>
    <row r="176" customFormat="false" ht="10.15" hidden="false" customHeight="false" outlineLevel="0" collapsed="false">
      <c r="A176" s="0" t="s">
        <v>333</v>
      </c>
      <c r="B176" s="0" t="s">
        <v>1885</v>
      </c>
    </row>
    <row r="177" customFormat="false" ht="10.15" hidden="false" customHeight="false" outlineLevel="0" collapsed="false">
      <c r="A177" s="0" t="s">
        <v>333</v>
      </c>
      <c r="B177" s="0" t="s">
        <v>1886</v>
      </c>
    </row>
    <row r="178" customFormat="false" ht="10.15" hidden="false" customHeight="false" outlineLevel="0" collapsed="false">
      <c r="A178" s="0" t="s">
        <v>333</v>
      </c>
      <c r="B178" s="0" t="s">
        <v>1887</v>
      </c>
    </row>
    <row r="179" customFormat="false" ht="10.15" hidden="false" customHeight="false" outlineLevel="0" collapsed="false">
      <c r="A179" s="0" t="s">
        <v>333</v>
      </c>
      <c r="B179" s="0" t="s">
        <v>1888</v>
      </c>
    </row>
    <row r="180" customFormat="false" ht="10.15" hidden="false" customHeight="false" outlineLevel="0" collapsed="false">
      <c r="A180" s="0" t="s">
        <v>333</v>
      </c>
      <c r="B180" s="0" t="s">
        <v>1895</v>
      </c>
    </row>
    <row r="181" customFormat="false" ht="10.15" hidden="false" customHeight="false" outlineLevel="0" collapsed="false">
      <c r="A181" s="0" t="s">
        <v>333</v>
      </c>
      <c r="B181" s="0" t="s">
        <v>1896</v>
      </c>
    </row>
    <row r="182" customFormat="false" ht="10.15" hidden="false" customHeight="false" outlineLevel="0" collapsed="false">
      <c r="A182" s="0" t="s">
        <v>333</v>
      </c>
      <c r="B182" s="0" t="s">
        <v>1897</v>
      </c>
    </row>
    <row r="183" customFormat="false" ht="10.15" hidden="false" customHeight="false" outlineLevel="0" collapsed="false">
      <c r="A183" s="0" t="s">
        <v>333</v>
      </c>
      <c r="B183" s="0" t="s">
        <v>1898</v>
      </c>
    </row>
    <row r="184" customFormat="false" ht="10.15" hidden="false" customHeight="false" outlineLevel="0" collapsed="false">
      <c r="A184" s="0" t="s">
        <v>389</v>
      </c>
      <c r="B184" s="0" t="s">
        <v>1880</v>
      </c>
    </row>
    <row r="185" customFormat="false" ht="10.15" hidden="false" customHeight="false" outlineLevel="0" collapsed="false">
      <c r="A185" s="0" t="s">
        <v>389</v>
      </c>
      <c r="B185" s="0" t="s">
        <v>1881</v>
      </c>
    </row>
    <row r="186" customFormat="false" ht="10.15" hidden="false" customHeight="false" outlineLevel="0" collapsed="false">
      <c r="A186" s="0" t="s">
        <v>389</v>
      </c>
      <c r="B186" s="0" t="s">
        <v>1882</v>
      </c>
    </row>
    <row r="187" customFormat="false" ht="10.15" hidden="false" customHeight="false" outlineLevel="0" collapsed="false">
      <c r="A187" s="0" t="s">
        <v>389</v>
      </c>
      <c r="B187" s="0" t="s">
        <v>1883</v>
      </c>
    </row>
    <row r="188" customFormat="false" ht="10.15" hidden="false" customHeight="false" outlineLevel="0" collapsed="false">
      <c r="A188" s="0" t="s">
        <v>389</v>
      </c>
      <c r="B188" s="0" t="s">
        <v>1884</v>
      </c>
    </row>
    <row r="189" customFormat="false" ht="10.15" hidden="false" customHeight="false" outlineLevel="0" collapsed="false">
      <c r="A189" s="0" t="s">
        <v>389</v>
      </c>
      <c r="B189" s="0" t="s">
        <v>1899</v>
      </c>
    </row>
    <row r="190" customFormat="false" ht="10.15" hidden="false" customHeight="false" outlineLevel="0" collapsed="false">
      <c r="A190" s="0" t="s">
        <v>393</v>
      </c>
      <c r="B190" s="0" t="s">
        <v>1880</v>
      </c>
    </row>
    <row r="191" customFormat="false" ht="10.15" hidden="false" customHeight="false" outlineLevel="0" collapsed="false">
      <c r="A191" s="0" t="s">
        <v>393</v>
      </c>
      <c r="B191" s="0" t="s">
        <v>1881</v>
      </c>
    </row>
    <row r="192" customFormat="false" ht="10.15" hidden="false" customHeight="false" outlineLevel="0" collapsed="false">
      <c r="A192" s="0" t="s">
        <v>393</v>
      </c>
      <c r="B192" s="0" t="s">
        <v>1882</v>
      </c>
    </row>
    <row r="193" customFormat="false" ht="10.15" hidden="false" customHeight="false" outlineLevel="0" collapsed="false">
      <c r="A193" s="0" t="s">
        <v>393</v>
      </c>
      <c r="B193" s="0" t="s">
        <v>1883</v>
      </c>
    </row>
    <row r="194" customFormat="false" ht="10.15" hidden="false" customHeight="false" outlineLevel="0" collapsed="false">
      <c r="A194" s="0" t="s">
        <v>393</v>
      </c>
      <c r="B194" s="0" t="s">
        <v>1884</v>
      </c>
    </row>
    <row r="195" customFormat="false" ht="10.15" hidden="false" customHeight="false" outlineLevel="0" collapsed="false">
      <c r="A195" s="0" t="s">
        <v>393</v>
      </c>
      <c r="B195" s="0" t="s">
        <v>1899</v>
      </c>
    </row>
    <row r="196" customFormat="false" ht="10.15" hidden="false" customHeight="false" outlineLevel="0" collapsed="false">
      <c r="A196" s="0" t="s">
        <v>390</v>
      </c>
      <c r="B196" s="0" t="s">
        <v>1880</v>
      </c>
    </row>
    <row r="197" customFormat="false" ht="10.15" hidden="false" customHeight="false" outlineLevel="0" collapsed="false">
      <c r="A197" s="0" t="s">
        <v>390</v>
      </c>
      <c r="B197" s="0" t="s">
        <v>1881</v>
      </c>
    </row>
    <row r="198" customFormat="false" ht="10.15" hidden="false" customHeight="false" outlineLevel="0" collapsed="false">
      <c r="A198" s="0" t="s">
        <v>390</v>
      </c>
      <c r="B198" s="0" t="s">
        <v>1882</v>
      </c>
    </row>
    <row r="199" customFormat="false" ht="10.15" hidden="false" customHeight="false" outlineLevel="0" collapsed="false">
      <c r="A199" s="0" t="s">
        <v>390</v>
      </c>
      <c r="B199" s="0" t="s">
        <v>1883</v>
      </c>
    </row>
    <row r="200" customFormat="false" ht="10.15" hidden="false" customHeight="false" outlineLevel="0" collapsed="false">
      <c r="A200" s="0" t="s">
        <v>390</v>
      </c>
      <c r="B200" s="0" t="s">
        <v>1884</v>
      </c>
    </row>
    <row r="201" customFormat="false" ht="10.15" hidden="false" customHeight="false" outlineLevel="0" collapsed="false">
      <c r="A201" s="0" t="s">
        <v>390</v>
      </c>
      <c r="B201" s="0" t="s">
        <v>1899</v>
      </c>
    </row>
    <row r="202" customFormat="false" ht="10.15" hidden="false" customHeight="false" outlineLevel="0" collapsed="false">
      <c r="A202" s="0" t="s">
        <v>394</v>
      </c>
      <c r="B202" s="0" t="s">
        <v>1880</v>
      </c>
    </row>
    <row r="203" customFormat="false" ht="10.15" hidden="false" customHeight="false" outlineLevel="0" collapsed="false">
      <c r="A203" s="0" t="s">
        <v>394</v>
      </c>
      <c r="B203" s="0" t="s">
        <v>1881</v>
      </c>
    </row>
    <row r="204" customFormat="false" ht="10.15" hidden="false" customHeight="false" outlineLevel="0" collapsed="false">
      <c r="A204" s="0" t="s">
        <v>394</v>
      </c>
      <c r="B204" s="0" t="s">
        <v>1882</v>
      </c>
    </row>
    <row r="205" customFormat="false" ht="10.15" hidden="false" customHeight="false" outlineLevel="0" collapsed="false">
      <c r="A205" s="0" t="s">
        <v>394</v>
      </c>
      <c r="B205" s="0" t="s">
        <v>1883</v>
      </c>
    </row>
    <row r="206" customFormat="false" ht="10.15" hidden="false" customHeight="false" outlineLevel="0" collapsed="false">
      <c r="A206" s="0" t="s">
        <v>394</v>
      </c>
      <c r="B206" s="0" t="s">
        <v>1884</v>
      </c>
    </row>
    <row r="207" customFormat="false" ht="10.15" hidden="false" customHeight="false" outlineLevel="0" collapsed="false">
      <c r="A207" s="0" t="s">
        <v>394</v>
      </c>
      <c r="B207" s="0" t="s">
        <v>1899</v>
      </c>
    </row>
    <row r="208" customFormat="false" ht="10.15" hidden="false" customHeight="false" outlineLevel="0" collapsed="false">
      <c r="A208" s="0" t="s">
        <v>334</v>
      </c>
      <c r="B208" s="0" t="s">
        <v>1880</v>
      </c>
    </row>
    <row r="209" customFormat="false" ht="10.15" hidden="false" customHeight="false" outlineLevel="0" collapsed="false">
      <c r="A209" s="0" t="s">
        <v>334</v>
      </c>
      <c r="B209" s="0" t="s">
        <v>1881</v>
      </c>
    </row>
    <row r="210" customFormat="false" ht="10.15" hidden="false" customHeight="false" outlineLevel="0" collapsed="false">
      <c r="A210" s="0" t="s">
        <v>334</v>
      </c>
      <c r="B210" s="0" t="s">
        <v>1882</v>
      </c>
    </row>
    <row r="211" customFormat="false" ht="10.15" hidden="false" customHeight="false" outlineLevel="0" collapsed="false">
      <c r="A211" s="0" t="s">
        <v>334</v>
      </c>
      <c r="B211" s="0" t="s">
        <v>1883</v>
      </c>
    </row>
    <row r="212" customFormat="false" ht="10.15" hidden="false" customHeight="false" outlineLevel="0" collapsed="false">
      <c r="A212" s="0" t="s">
        <v>334</v>
      </c>
      <c r="B212" s="0" t="s">
        <v>1884</v>
      </c>
    </row>
    <row r="213" customFormat="false" ht="10.15" hidden="false" customHeight="false" outlineLevel="0" collapsed="false">
      <c r="A213" s="0" t="s">
        <v>334</v>
      </c>
      <c r="B213" s="0" t="s">
        <v>1899</v>
      </c>
    </row>
    <row r="214" customFormat="false" ht="10.15" hidden="false" customHeight="false" outlineLevel="0" collapsed="false">
      <c r="A214" s="0" t="s">
        <v>334</v>
      </c>
      <c r="B214" s="0" t="s">
        <v>1901</v>
      </c>
    </row>
    <row r="215" customFormat="false" ht="10.15" hidden="false" customHeight="false" outlineLevel="0" collapsed="false">
      <c r="A215" s="0" t="s">
        <v>334</v>
      </c>
      <c r="B215" s="0" t="s">
        <v>1902</v>
      </c>
    </row>
    <row r="216" customFormat="false" ht="10.15" hidden="false" customHeight="false" outlineLevel="0" collapsed="false">
      <c r="A216" s="0" t="s">
        <v>334</v>
      </c>
      <c r="B216" s="0" t="s">
        <v>1885</v>
      </c>
    </row>
    <row r="217" customFormat="false" ht="10.15" hidden="false" customHeight="false" outlineLevel="0" collapsed="false">
      <c r="A217" s="0" t="s">
        <v>334</v>
      </c>
      <c r="B217" s="0" t="s">
        <v>1886</v>
      </c>
    </row>
    <row r="218" customFormat="false" ht="10.15" hidden="false" customHeight="false" outlineLevel="0" collapsed="false">
      <c r="A218" s="0" t="s">
        <v>334</v>
      </c>
      <c r="B218" s="0" t="s">
        <v>1887</v>
      </c>
    </row>
    <row r="219" customFormat="false" ht="10.15" hidden="false" customHeight="false" outlineLevel="0" collapsed="false">
      <c r="A219" s="0" t="s">
        <v>334</v>
      </c>
      <c r="B219" s="0" t="s">
        <v>1888</v>
      </c>
    </row>
    <row r="220" customFormat="false" ht="10.15" hidden="false" customHeight="false" outlineLevel="0" collapsed="false">
      <c r="A220" s="0" t="s">
        <v>335</v>
      </c>
      <c r="B220" s="0" t="s">
        <v>1880</v>
      </c>
    </row>
    <row r="221" customFormat="false" ht="10.15" hidden="false" customHeight="false" outlineLevel="0" collapsed="false">
      <c r="A221" s="0" t="s">
        <v>335</v>
      </c>
      <c r="B221" s="0" t="s">
        <v>1881</v>
      </c>
    </row>
    <row r="222" customFormat="false" ht="10.15" hidden="false" customHeight="false" outlineLevel="0" collapsed="false">
      <c r="A222" s="0" t="s">
        <v>335</v>
      </c>
      <c r="B222" s="0" t="s">
        <v>1882</v>
      </c>
    </row>
    <row r="223" customFormat="false" ht="10.15" hidden="false" customHeight="false" outlineLevel="0" collapsed="false">
      <c r="A223" s="0" t="s">
        <v>335</v>
      </c>
      <c r="B223" s="0" t="s">
        <v>1883</v>
      </c>
    </row>
    <row r="224" customFormat="false" ht="10.15" hidden="false" customHeight="false" outlineLevel="0" collapsed="false">
      <c r="A224" s="0" t="s">
        <v>335</v>
      </c>
      <c r="B224" s="0" t="s">
        <v>1884</v>
      </c>
    </row>
    <row r="225" customFormat="false" ht="10.15" hidden="false" customHeight="false" outlineLevel="0" collapsed="false">
      <c r="A225" s="0" t="s">
        <v>335</v>
      </c>
      <c r="B225" s="0" t="s">
        <v>1899</v>
      </c>
    </row>
    <row r="226" customFormat="false" ht="10.15" hidden="false" customHeight="false" outlineLevel="0" collapsed="false">
      <c r="A226" s="0" t="s">
        <v>335</v>
      </c>
      <c r="B226" s="0" t="s">
        <v>1901</v>
      </c>
    </row>
    <row r="227" customFormat="false" ht="10.15" hidden="false" customHeight="false" outlineLevel="0" collapsed="false">
      <c r="A227" s="0" t="s">
        <v>335</v>
      </c>
      <c r="B227" s="0" t="s">
        <v>1902</v>
      </c>
    </row>
    <row r="228" customFormat="false" ht="10.15" hidden="false" customHeight="false" outlineLevel="0" collapsed="false">
      <c r="A228" s="0" t="s">
        <v>335</v>
      </c>
      <c r="B228" s="0" t="s">
        <v>1885</v>
      </c>
    </row>
    <row r="229" customFormat="false" ht="10.15" hidden="false" customHeight="false" outlineLevel="0" collapsed="false">
      <c r="A229" s="0" t="s">
        <v>335</v>
      </c>
      <c r="B229" s="0" t="s">
        <v>1886</v>
      </c>
    </row>
    <row r="230" customFormat="false" ht="10.15" hidden="false" customHeight="false" outlineLevel="0" collapsed="false">
      <c r="A230" s="0" t="s">
        <v>335</v>
      </c>
      <c r="B230" s="0" t="s">
        <v>1887</v>
      </c>
    </row>
    <row r="231" customFormat="false" ht="10.15" hidden="false" customHeight="false" outlineLevel="0" collapsed="false">
      <c r="A231" s="0" t="s">
        <v>335</v>
      </c>
      <c r="B231" s="0" t="s">
        <v>1888</v>
      </c>
    </row>
    <row r="232" customFormat="false" ht="10.15" hidden="false" customHeight="false" outlineLevel="0" collapsed="false">
      <c r="A232" s="0" t="s">
        <v>336</v>
      </c>
      <c r="B232" s="0" t="s">
        <v>1880</v>
      </c>
    </row>
    <row r="233" customFormat="false" ht="10.15" hidden="false" customHeight="false" outlineLevel="0" collapsed="false">
      <c r="A233" s="0" t="s">
        <v>336</v>
      </c>
      <c r="B233" s="0" t="s">
        <v>1881</v>
      </c>
    </row>
    <row r="234" customFormat="false" ht="10.15" hidden="false" customHeight="false" outlineLevel="0" collapsed="false">
      <c r="A234" s="0" t="s">
        <v>336</v>
      </c>
      <c r="B234" s="0" t="s">
        <v>1882</v>
      </c>
    </row>
    <row r="235" customFormat="false" ht="10.15" hidden="false" customHeight="false" outlineLevel="0" collapsed="false">
      <c r="A235" s="0" t="s">
        <v>336</v>
      </c>
      <c r="B235" s="0" t="s">
        <v>1883</v>
      </c>
    </row>
    <row r="236" customFormat="false" ht="10.15" hidden="false" customHeight="false" outlineLevel="0" collapsed="false">
      <c r="A236" s="0" t="s">
        <v>336</v>
      </c>
      <c r="B236" s="0" t="s">
        <v>1884</v>
      </c>
    </row>
    <row r="237" customFormat="false" ht="10.15" hidden="false" customHeight="false" outlineLevel="0" collapsed="false">
      <c r="A237" s="0" t="s">
        <v>336</v>
      </c>
      <c r="B237" s="0" t="s">
        <v>1899</v>
      </c>
    </row>
    <row r="238" customFormat="false" ht="10.15" hidden="false" customHeight="false" outlineLevel="0" collapsed="false">
      <c r="A238" s="0" t="s">
        <v>336</v>
      </c>
      <c r="B238" s="0" t="s">
        <v>1900</v>
      </c>
    </row>
    <row r="239" customFormat="false" ht="10.15" hidden="false" customHeight="false" outlineLevel="0" collapsed="false">
      <c r="A239" s="0" t="s">
        <v>336</v>
      </c>
      <c r="B239" s="0" t="s">
        <v>1885</v>
      </c>
    </row>
    <row r="240" customFormat="false" ht="10.15" hidden="false" customHeight="false" outlineLevel="0" collapsed="false">
      <c r="A240" s="0" t="s">
        <v>336</v>
      </c>
      <c r="B240" s="0" t="s">
        <v>1886</v>
      </c>
    </row>
    <row r="241" customFormat="false" ht="10.15" hidden="false" customHeight="false" outlineLevel="0" collapsed="false">
      <c r="A241" s="0" t="s">
        <v>336</v>
      </c>
      <c r="B241" s="0" t="s">
        <v>1887</v>
      </c>
    </row>
    <row r="242" customFormat="false" ht="10.15" hidden="false" customHeight="false" outlineLevel="0" collapsed="false">
      <c r="A242" s="0" t="s">
        <v>336</v>
      </c>
      <c r="B242" s="0" t="s">
        <v>1888</v>
      </c>
    </row>
    <row r="243" customFormat="false" ht="10.15" hidden="false" customHeight="false" outlineLevel="0" collapsed="false">
      <c r="A243" s="0" t="s">
        <v>336</v>
      </c>
      <c r="B243" s="0" t="s">
        <v>1889</v>
      </c>
    </row>
    <row r="244" customFormat="false" ht="10.15" hidden="false" customHeight="false" outlineLevel="0" collapsed="false">
      <c r="A244" s="0" t="s">
        <v>336</v>
      </c>
      <c r="B244" s="0" t="s">
        <v>1905</v>
      </c>
    </row>
    <row r="245" customFormat="false" ht="10.15" hidden="false" customHeight="false" outlineLevel="0" collapsed="false">
      <c r="A245" s="0" t="s">
        <v>336</v>
      </c>
      <c r="B245" s="0" t="s">
        <v>1906</v>
      </c>
    </row>
    <row r="246" customFormat="false" ht="10.15" hidden="false" customHeight="false" outlineLevel="0" collapsed="false">
      <c r="A246" s="0" t="s">
        <v>336</v>
      </c>
      <c r="B246" s="0" t="s">
        <v>1903</v>
      </c>
    </row>
    <row r="247" customFormat="false" ht="10.15" hidden="false" customHeight="false" outlineLevel="0" collapsed="false">
      <c r="A247" s="0" t="s">
        <v>336</v>
      </c>
      <c r="B247" s="0" t="s">
        <v>1891</v>
      </c>
    </row>
    <row r="248" customFormat="false" ht="10.15" hidden="false" customHeight="false" outlineLevel="0" collapsed="false">
      <c r="A248" s="0" t="s">
        <v>336</v>
      </c>
      <c r="B248" s="0" t="s">
        <v>1892</v>
      </c>
    </row>
    <row r="249" customFormat="false" ht="10.15" hidden="false" customHeight="false" outlineLevel="0" collapsed="false">
      <c r="A249" s="0" t="s">
        <v>336</v>
      </c>
      <c r="B249" s="0" t="s">
        <v>1893</v>
      </c>
    </row>
    <row r="250" customFormat="false" ht="10.15" hidden="false" customHeight="false" outlineLevel="0" collapsed="false">
      <c r="A250" s="0" t="s">
        <v>336</v>
      </c>
      <c r="B250" s="0" t="s">
        <v>1894</v>
      </c>
    </row>
    <row r="251" customFormat="false" ht="10.15" hidden="false" customHeight="false" outlineLevel="0" collapsed="false">
      <c r="A251" s="0" t="s">
        <v>336</v>
      </c>
      <c r="B251" s="0" t="s">
        <v>1895</v>
      </c>
    </row>
    <row r="252" customFormat="false" ht="10.15" hidden="false" customHeight="false" outlineLevel="0" collapsed="false">
      <c r="A252" s="0" t="s">
        <v>336</v>
      </c>
      <c r="B252" s="0" t="s">
        <v>1896</v>
      </c>
    </row>
    <row r="253" customFormat="false" ht="10.15" hidden="false" customHeight="false" outlineLevel="0" collapsed="false">
      <c r="A253" s="0" t="s">
        <v>336</v>
      </c>
      <c r="B253" s="0" t="s">
        <v>1897</v>
      </c>
    </row>
    <row r="254" customFormat="false" ht="10.15" hidden="false" customHeight="false" outlineLevel="0" collapsed="false">
      <c r="A254" s="0" t="s">
        <v>337</v>
      </c>
      <c r="B254" s="0" t="s">
        <v>1880</v>
      </c>
    </row>
    <row r="255" customFormat="false" ht="10.15" hidden="false" customHeight="false" outlineLevel="0" collapsed="false">
      <c r="A255" s="0" t="s">
        <v>337</v>
      </c>
      <c r="B255" s="0" t="s">
        <v>1881</v>
      </c>
    </row>
    <row r="256" customFormat="false" ht="10.15" hidden="false" customHeight="false" outlineLevel="0" collapsed="false">
      <c r="A256" s="0" t="s">
        <v>337</v>
      </c>
      <c r="B256" s="0" t="s">
        <v>1882</v>
      </c>
    </row>
    <row r="257" customFormat="false" ht="10.15" hidden="false" customHeight="false" outlineLevel="0" collapsed="false">
      <c r="A257" s="0" t="s">
        <v>337</v>
      </c>
      <c r="B257" s="0" t="s">
        <v>1883</v>
      </c>
    </row>
    <row r="258" customFormat="false" ht="10.15" hidden="false" customHeight="false" outlineLevel="0" collapsed="false">
      <c r="A258" s="0" t="s">
        <v>337</v>
      </c>
      <c r="B258" s="0" t="s">
        <v>1884</v>
      </c>
    </row>
    <row r="259" customFormat="false" ht="10.15" hidden="false" customHeight="false" outlineLevel="0" collapsed="false">
      <c r="A259" s="0" t="s">
        <v>337</v>
      </c>
      <c r="B259" s="0" t="s">
        <v>1899</v>
      </c>
    </row>
    <row r="260" customFormat="false" ht="10.15" hidden="false" customHeight="false" outlineLevel="0" collapsed="false">
      <c r="A260" s="0" t="s">
        <v>337</v>
      </c>
      <c r="B260" s="0" t="s">
        <v>1900</v>
      </c>
    </row>
    <row r="261" customFormat="false" ht="10.15" hidden="false" customHeight="false" outlineLevel="0" collapsed="false">
      <c r="A261" s="0" t="s">
        <v>337</v>
      </c>
      <c r="B261" s="0" t="s">
        <v>1901</v>
      </c>
    </row>
    <row r="262" customFormat="false" ht="10.15" hidden="false" customHeight="false" outlineLevel="0" collapsed="false">
      <c r="A262" s="0" t="s">
        <v>337</v>
      </c>
      <c r="B262" s="0" t="s">
        <v>1885</v>
      </c>
    </row>
    <row r="263" customFormat="false" ht="10.15" hidden="false" customHeight="false" outlineLevel="0" collapsed="false">
      <c r="A263" s="0" t="s">
        <v>337</v>
      </c>
      <c r="B263" s="0" t="s">
        <v>1886</v>
      </c>
    </row>
    <row r="264" customFormat="false" ht="10.15" hidden="false" customHeight="false" outlineLevel="0" collapsed="false">
      <c r="A264" s="0" t="s">
        <v>337</v>
      </c>
      <c r="B264" s="0" t="s">
        <v>1887</v>
      </c>
    </row>
    <row r="265" customFormat="false" ht="10.15" hidden="false" customHeight="false" outlineLevel="0" collapsed="false">
      <c r="A265" s="0" t="s">
        <v>337</v>
      </c>
      <c r="B265" s="0" t="s">
        <v>1888</v>
      </c>
    </row>
    <row r="266" customFormat="false" ht="10.15" hidden="false" customHeight="false" outlineLevel="0" collapsed="false">
      <c r="A266" s="0" t="s">
        <v>337</v>
      </c>
      <c r="B266" s="0" t="s">
        <v>1889</v>
      </c>
    </row>
    <row r="267" customFormat="false" ht="10.15" hidden="false" customHeight="false" outlineLevel="0" collapsed="false">
      <c r="A267" s="0" t="s">
        <v>337</v>
      </c>
      <c r="B267" s="0" t="s">
        <v>1905</v>
      </c>
    </row>
    <row r="268" customFormat="false" ht="10.15" hidden="false" customHeight="false" outlineLevel="0" collapsed="false">
      <c r="A268" s="0" t="s">
        <v>337</v>
      </c>
      <c r="B268" s="0" t="s">
        <v>1906</v>
      </c>
    </row>
    <row r="269" customFormat="false" ht="10.15" hidden="false" customHeight="false" outlineLevel="0" collapsed="false">
      <c r="A269" s="0" t="s">
        <v>337</v>
      </c>
      <c r="B269" s="0" t="s">
        <v>1891</v>
      </c>
    </row>
    <row r="270" customFormat="false" ht="10.15" hidden="false" customHeight="false" outlineLevel="0" collapsed="false">
      <c r="A270" s="0" t="s">
        <v>337</v>
      </c>
      <c r="B270" s="0" t="s">
        <v>1892</v>
      </c>
    </row>
    <row r="271" customFormat="false" ht="10.15" hidden="false" customHeight="false" outlineLevel="0" collapsed="false">
      <c r="A271" s="0" t="s">
        <v>337</v>
      </c>
      <c r="B271" s="0" t="s">
        <v>1893</v>
      </c>
    </row>
    <row r="272" customFormat="false" ht="10.15" hidden="false" customHeight="false" outlineLevel="0" collapsed="false">
      <c r="A272" s="0" t="s">
        <v>337</v>
      </c>
      <c r="B272" s="0" t="s">
        <v>1894</v>
      </c>
    </row>
    <row r="273" customFormat="false" ht="10.15" hidden="false" customHeight="false" outlineLevel="0" collapsed="false">
      <c r="A273" s="0" t="s">
        <v>337</v>
      </c>
      <c r="B273" s="0" t="s">
        <v>1895</v>
      </c>
    </row>
    <row r="274" customFormat="false" ht="10.15" hidden="false" customHeight="false" outlineLevel="0" collapsed="false">
      <c r="A274" s="0" t="s">
        <v>337</v>
      </c>
      <c r="B274" s="0" t="s">
        <v>1896</v>
      </c>
    </row>
    <row r="275" customFormat="false" ht="10.15" hidden="false" customHeight="false" outlineLevel="0" collapsed="false">
      <c r="A275" s="0" t="s">
        <v>337</v>
      </c>
      <c r="B275" s="0" t="s">
        <v>1897</v>
      </c>
    </row>
    <row r="276" customFormat="false" ht="10.15" hidden="false" customHeight="false" outlineLevel="0" collapsed="false">
      <c r="A276" s="0" t="s">
        <v>338</v>
      </c>
      <c r="B276" s="0" t="s">
        <v>1880</v>
      </c>
    </row>
    <row r="277" customFormat="false" ht="10.15" hidden="false" customHeight="false" outlineLevel="0" collapsed="false">
      <c r="A277" s="0" t="s">
        <v>338</v>
      </c>
      <c r="B277" s="0" t="s">
        <v>1881</v>
      </c>
    </row>
    <row r="278" customFormat="false" ht="10.15" hidden="false" customHeight="false" outlineLevel="0" collapsed="false">
      <c r="A278" s="0" t="s">
        <v>338</v>
      </c>
      <c r="B278" s="0" t="s">
        <v>1882</v>
      </c>
    </row>
    <row r="279" customFormat="false" ht="10.15" hidden="false" customHeight="false" outlineLevel="0" collapsed="false">
      <c r="A279" s="0" t="s">
        <v>338</v>
      </c>
      <c r="B279" s="0" t="s">
        <v>1883</v>
      </c>
    </row>
    <row r="280" customFormat="false" ht="10.15" hidden="false" customHeight="false" outlineLevel="0" collapsed="false">
      <c r="A280" s="0" t="s">
        <v>338</v>
      </c>
      <c r="B280" s="0" t="s">
        <v>1884</v>
      </c>
    </row>
    <row r="281" customFormat="false" ht="10.15" hidden="false" customHeight="false" outlineLevel="0" collapsed="false">
      <c r="A281" s="0" t="s">
        <v>338</v>
      </c>
      <c r="B281" s="0" t="s">
        <v>1899</v>
      </c>
    </row>
    <row r="282" customFormat="false" ht="10.15" hidden="false" customHeight="false" outlineLevel="0" collapsed="false">
      <c r="A282" s="0" t="s">
        <v>338</v>
      </c>
      <c r="B282" s="0" t="s">
        <v>1901</v>
      </c>
    </row>
    <row r="283" customFormat="false" ht="10.15" hidden="false" customHeight="false" outlineLevel="0" collapsed="false">
      <c r="A283" s="0" t="s">
        <v>338</v>
      </c>
      <c r="B283" s="0" t="s">
        <v>1902</v>
      </c>
    </row>
    <row r="284" customFormat="false" ht="10.15" hidden="false" customHeight="false" outlineLevel="0" collapsed="false">
      <c r="A284" s="0" t="s">
        <v>338</v>
      </c>
      <c r="B284" s="0" t="s">
        <v>1885</v>
      </c>
    </row>
    <row r="285" customFormat="false" ht="10.15" hidden="false" customHeight="false" outlineLevel="0" collapsed="false">
      <c r="A285" s="0" t="s">
        <v>338</v>
      </c>
      <c r="B285" s="0" t="s">
        <v>1886</v>
      </c>
    </row>
    <row r="286" customFormat="false" ht="10.15" hidden="false" customHeight="false" outlineLevel="0" collapsed="false">
      <c r="A286" s="0" t="s">
        <v>338</v>
      </c>
      <c r="B286" s="0" t="s">
        <v>1887</v>
      </c>
    </row>
    <row r="287" customFormat="false" ht="10.15" hidden="false" customHeight="false" outlineLevel="0" collapsed="false">
      <c r="A287" s="0" t="s">
        <v>338</v>
      </c>
      <c r="B287" s="0" t="s">
        <v>1888</v>
      </c>
    </row>
    <row r="288" customFormat="false" ht="10.15" hidden="false" customHeight="false" outlineLevel="0" collapsed="false">
      <c r="A288" s="0" t="s">
        <v>339</v>
      </c>
      <c r="B288" s="0" t="s">
        <v>1880</v>
      </c>
    </row>
    <row r="289" customFormat="false" ht="10.15" hidden="false" customHeight="false" outlineLevel="0" collapsed="false">
      <c r="A289" s="0" t="s">
        <v>339</v>
      </c>
      <c r="B289" s="0" t="s">
        <v>1881</v>
      </c>
    </row>
    <row r="290" customFormat="false" ht="10.15" hidden="false" customHeight="false" outlineLevel="0" collapsed="false">
      <c r="A290" s="0" t="s">
        <v>339</v>
      </c>
      <c r="B290" s="0" t="s">
        <v>1882</v>
      </c>
    </row>
    <row r="291" customFormat="false" ht="10.15" hidden="false" customHeight="false" outlineLevel="0" collapsed="false">
      <c r="A291" s="0" t="s">
        <v>339</v>
      </c>
      <c r="B291" s="0" t="s">
        <v>1883</v>
      </c>
    </row>
    <row r="292" customFormat="false" ht="10.15" hidden="false" customHeight="false" outlineLevel="0" collapsed="false">
      <c r="A292" s="0" t="s">
        <v>339</v>
      </c>
      <c r="B292" s="0" t="s">
        <v>1884</v>
      </c>
    </row>
    <row r="293" customFormat="false" ht="10.15" hidden="false" customHeight="false" outlineLevel="0" collapsed="false">
      <c r="A293" s="0" t="s">
        <v>339</v>
      </c>
      <c r="B293" s="0" t="s">
        <v>1899</v>
      </c>
    </row>
    <row r="294" customFormat="false" ht="10.15" hidden="false" customHeight="false" outlineLevel="0" collapsed="false">
      <c r="A294" s="0" t="s">
        <v>339</v>
      </c>
      <c r="B294" s="0" t="s">
        <v>1901</v>
      </c>
    </row>
    <row r="295" customFormat="false" ht="10.15" hidden="false" customHeight="false" outlineLevel="0" collapsed="false">
      <c r="A295" s="0" t="s">
        <v>339</v>
      </c>
      <c r="B295" s="0" t="s">
        <v>1902</v>
      </c>
    </row>
    <row r="296" customFormat="false" ht="10.15" hidden="false" customHeight="false" outlineLevel="0" collapsed="false">
      <c r="A296" s="0" t="s">
        <v>339</v>
      </c>
      <c r="B296" s="0" t="s">
        <v>1885</v>
      </c>
    </row>
    <row r="297" customFormat="false" ht="10.15" hidden="false" customHeight="false" outlineLevel="0" collapsed="false">
      <c r="A297" s="0" t="s">
        <v>339</v>
      </c>
      <c r="B297" s="0" t="s">
        <v>1886</v>
      </c>
    </row>
    <row r="298" customFormat="false" ht="10.15" hidden="false" customHeight="false" outlineLevel="0" collapsed="false">
      <c r="A298" s="0" t="s">
        <v>339</v>
      </c>
      <c r="B298" s="0" t="s">
        <v>1887</v>
      </c>
    </row>
    <row r="299" customFormat="false" ht="10.15" hidden="false" customHeight="false" outlineLevel="0" collapsed="false">
      <c r="A299" s="0" t="s">
        <v>339</v>
      </c>
      <c r="B299" s="0" t="s">
        <v>1888</v>
      </c>
    </row>
    <row r="300" customFormat="false" ht="10.15" hidden="false" customHeight="false" outlineLevel="0" collapsed="false">
      <c r="A300" s="0" t="s">
        <v>340</v>
      </c>
      <c r="B300" s="0" t="s">
        <v>1880</v>
      </c>
    </row>
    <row r="301" customFormat="false" ht="10.15" hidden="false" customHeight="false" outlineLevel="0" collapsed="false">
      <c r="A301" s="0" t="s">
        <v>340</v>
      </c>
      <c r="B301" s="0" t="s">
        <v>1881</v>
      </c>
    </row>
    <row r="302" customFormat="false" ht="10.15" hidden="false" customHeight="false" outlineLevel="0" collapsed="false">
      <c r="A302" s="0" t="s">
        <v>340</v>
      </c>
      <c r="B302" s="0" t="s">
        <v>1882</v>
      </c>
    </row>
    <row r="303" customFormat="false" ht="10.15" hidden="false" customHeight="false" outlineLevel="0" collapsed="false">
      <c r="A303" s="0" t="s">
        <v>340</v>
      </c>
      <c r="B303" s="0" t="s">
        <v>1883</v>
      </c>
    </row>
    <row r="304" customFormat="false" ht="10.15" hidden="false" customHeight="false" outlineLevel="0" collapsed="false">
      <c r="A304" s="0" t="s">
        <v>340</v>
      </c>
      <c r="B304" s="0" t="s">
        <v>1884</v>
      </c>
    </row>
    <row r="305" customFormat="false" ht="10.15" hidden="false" customHeight="false" outlineLevel="0" collapsed="false">
      <c r="A305" s="0" t="s">
        <v>340</v>
      </c>
      <c r="B305" s="0" t="s">
        <v>1899</v>
      </c>
    </row>
    <row r="306" customFormat="false" ht="10.15" hidden="false" customHeight="false" outlineLevel="0" collapsed="false">
      <c r="A306" s="0" t="s">
        <v>340</v>
      </c>
      <c r="B306" s="0" t="s">
        <v>1900</v>
      </c>
    </row>
    <row r="307" customFormat="false" ht="10.15" hidden="false" customHeight="false" outlineLevel="0" collapsed="false">
      <c r="A307" s="0" t="s">
        <v>340</v>
      </c>
      <c r="B307" s="0" t="s">
        <v>1886</v>
      </c>
    </row>
    <row r="308" customFormat="false" ht="10.15" hidden="false" customHeight="false" outlineLevel="0" collapsed="false">
      <c r="A308" s="0" t="s">
        <v>340</v>
      </c>
      <c r="B308" s="0" t="s">
        <v>1887</v>
      </c>
    </row>
    <row r="309" customFormat="false" ht="10.15" hidden="false" customHeight="false" outlineLevel="0" collapsed="false">
      <c r="A309" s="0" t="s">
        <v>340</v>
      </c>
      <c r="B309" s="0" t="s">
        <v>1888</v>
      </c>
    </row>
    <row r="310" customFormat="false" ht="10.15" hidden="false" customHeight="false" outlineLevel="0" collapsed="false">
      <c r="A310" s="0" t="s">
        <v>340</v>
      </c>
      <c r="B310" s="0" t="s">
        <v>1889</v>
      </c>
    </row>
    <row r="311" customFormat="false" ht="10.15" hidden="false" customHeight="false" outlineLevel="0" collapsed="false">
      <c r="A311" s="0" t="s">
        <v>340</v>
      </c>
      <c r="B311" s="0" t="s">
        <v>1905</v>
      </c>
    </row>
    <row r="312" customFormat="false" ht="10.15" hidden="false" customHeight="false" outlineLevel="0" collapsed="false">
      <c r="A312" s="0" t="s">
        <v>340</v>
      </c>
      <c r="B312" s="0" t="s">
        <v>1906</v>
      </c>
    </row>
    <row r="313" customFormat="false" ht="10.15" hidden="false" customHeight="false" outlineLevel="0" collapsed="false">
      <c r="A313" s="0" t="s">
        <v>340</v>
      </c>
      <c r="B313" s="0" t="s">
        <v>1903</v>
      </c>
    </row>
    <row r="314" customFormat="false" ht="10.15" hidden="false" customHeight="false" outlineLevel="0" collapsed="false">
      <c r="A314" s="0" t="s">
        <v>340</v>
      </c>
      <c r="B314" s="0" t="s">
        <v>1893</v>
      </c>
    </row>
    <row r="315" customFormat="false" ht="10.15" hidden="false" customHeight="false" outlineLevel="0" collapsed="false">
      <c r="A315" s="0" t="s">
        <v>340</v>
      </c>
      <c r="B315" s="0" t="s">
        <v>1894</v>
      </c>
    </row>
    <row r="316" customFormat="false" ht="10.15" hidden="false" customHeight="false" outlineLevel="0" collapsed="false">
      <c r="A316" s="0" t="s">
        <v>340</v>
      </c>
      <c r="B316" s="0" t="s">
        <v>1895</v>
      </c>
    </row>
    <row r="317" customFormat="false" ht="10.15" hidden="false" customHeight="false" outlineLevel="0" collapsed="false">
      <c r="A317" s="0" t="s">
        <v>340</v>
      </c>
      <c r="B317" s="0" t="s">
        <v>1896</v>
      </c>
    </row>
    <row r="318" customFormat="false" ht="10.15" hidden="false" customHeight="false" outlineLevel="0" collapsed="false">
      <c r="A318" s="0" t="s">
        <v>340</v>
      </c>
      <c r="B318" s="0" t="s">
        <v>1897</v>
      </c>
    </row>
    <row r="319" customFormat="false" ht="10.15" hidden="false" customHeight="false" outlineLevel="0" collapsed="false">
      <c r="A319" s="0" t="s">
        <v>340</v>
      </c>
      <c r="B319" s="0" t="s">
        <v>1898</v>
      </c>
    </row>
    <row r="320" customFormat="false" ht="10.15" hidden="false" customHeight="false" outlineLevel="0" collapsed="false">
      <c r="A320" s="0" t="s">
        <v>340</v>
      </c>
      <c r="B320" s="0" t="s">
        <v>1907</v>
      </c>
    </row>
    <row r="321" customFormat="false" ht="10.15" hidden="false" customHeight="false" outlineLevel="0" collapsed="false">
      <c r="A321" s="0" t="s">
        <v>344</v>
      </c>
      <c r="B321" s="0" t="s">
        <v>1880</v>
      </c>
    </row>
    <row r="322" customFormat="false" ht="10.15" hidden="false" customHeight="false" outlineLevel="0" collapsed="false">
      <c r="A322" s="0" t="s">
        <v>344</v>
      </c>
      <c r="B322" s="0" t="s">
        <v>1881</v>
      </c>
    </row>
    <row r="323" customFormat="false" ht="10.15" hidden="false" customHeight="false" outlineLevel="0" collapsed="false">
      <c r="A323" s="0" t="s">
        <v>344</v>
      </c>
      <c r="B323" s="0" t="s">
        <v>1882</v>
      </c>
    </row>
    <row r="324" customFormat="false" ht="10.15" hidden="false" customHeight="false" outlineLevel="0" collapsed="false">
      <c r="A324" s="0" t="s">
        <v>344</v>
      </c>
      <c r="B324" s="0" t="s">
        <v>1883</v>
      </c>
    </row>
    <row r="325" customFormat="false" ht="10.15" hidden="false" customHeight="false" outlineLevel="0" collapsed="false">
      <c r="A325" s="0" t="s">
        <v>344</v>
      </c>
      <c r="B325" s="0" t="s">
        <v>1884</v>
      </c>
    </row>
    <row r="326" customFormat="false" ht="10.15" hidden="false" customHeight="false" outlineLevel="0" collapsed="false">
      <c r="A326" s="0" t="s">
        <v>344</v>
      </c>
      <c r="B326" s="0" t="s">
        <v>1899</v>
      </c>
    </row>
    <row r="327" customFormat="false" ht="10.15" hidden="false" customHeight="false" outlineLevel="0" collapsed="false">
      <c r="A327" s="0" t="s">
        <v>344</v>
      </c>
      <c r="B327" s="0" t="s">
        <v>1900</v>
      </c>
    </row>
    <row r="328" customFormat="false" ht="10.15" hidden="false" customHeight="false" outlineLevel="0" collapsed="false">
      <c r="A328" s="0" t="s">
        <v>344</v>
      </c>
      <c r="B328" s="0" t="s">
        <v>1901</v>
      </c>
    </row>
    <row r="329" customFormat="false" ht="10.15" hidden="false" customHeight="false" outlineLevel="0" collapsed="false">
      <c r="A329" s="0" t="s">
        <v>344</v>
      </c>
      <c r="B329" s="0" t="s">
        <v>1902</v>
      </c>
    </row>
    <row r="330" customFormat="false" ht="10.15" hidden="false" customHeight="false" outlineLevel="0" collapsed="false">
      <c r="A330" s="0" t="s">
        <v>344</v>
      </c>
      <c r="B330" s="0" t="s">
        <v>1885</v>
      </c>
    </row>
    <row r="331" customFormat="false" ht="10.15" hidden="false" customHeight="false" outlineLevel="0" collapsed="false">
      <c r="A331" s="0" t="s">
        <v>344</v>
      </c>
      <c r="B331" s="0" t="s">
        <v>1886</v>
      </c>
    </row>
    <row r="332" customFormat="false" ht="10.15" hidden="false" customHeight="false" outlineLevel="0" collapsed="false">
      <c r="A332" s="0" t="s">
        <v>344</v>
      </c>
      <c r="B332" s="0" t="s">
        <v>1887</v>
      </c>
    </row>
    <row r="333" customFormat="false" ht="10.15" hidden="false" customHeight="false" outlineLevel="0" collapsed="false">
      <c r="A333" s="0" t="s">
        <v>344</v>
      </c>
      <c r="B333" s="0" t="s">
        <v>1893</v>
      </c>
    </row>
    <row r="334" customFormat="false" ht="10.15" hidden="false" customHeight="false" outlineLevel="0" collapsed="false">
      <c r="A334" s="0" t="s">
        <v>344</v>
      </c>
      <c r="B334" s="0" t="s">
        <v>1894</v>
      </c>
    </row>
    <row r="335" customFormat="false" ht="10.15" hidden="false" customHeight="false" outlineLevel="0" collapsed="false">
      <c r="A335" s="0" t="s">
        <v>344</v>
      </c>
      <c r="B335" s="0" t="s">
        <v>1895</v>
      </c>
    </row>
    <row r="336" customFormat="false" ht="10.15" hidden="false" customHeight="false" outlineLevel="0" collapsed="false">
      <c r="A336" s="0" t="s">
        <v>344</v>
      </c>
      <c r="B336" s="0" t="s">
        <v>1896</v>
      </c>
    </row>
    <row r="337" customFormat="false" ht="10.15" hidden="false" customHeight="false" outlineLevel="0" collapsed="false">
      <c r="A337" s="0" t="s">
        <v>344</v>
      </c>
      <c r="B337" s="0" t="s">
        <v>1897</v>
      </c>
    </row>
    <row r="338" customFormat="false" ht="10.15" hidden="false" customHeight="false" outlineLevel="0" collapsed="false">
      <c r="A338" s="0" t="s">
        <v>344</v>
      </c>
      <c r="B338" s="0" t="s">
        <v>1898</v>
      </c>
    </row>
    <row r="339" customFormat="false" ht="10.15" hidden="false" customHeight="false" outlineLevel="0" collapsed="false">
      <c r="A339" s="0" t="s">
        <v>344</v>
      </c>
      <c r="B339" s="0" t="s">
        <v>1907</v>
      </c>
    </row>
    <row r="340" customFormat="false" ht="10.15" hidden="false" customHeight="false" outlineLevel="0" collapsed="false">
      <c r="A340" s="0" t="s">
        <v>344</v>
      </c>
      <c r="B340" s="0" t="s">
        <v>1908</v>
      </c>
    </row>
    <row r="341" customFormat="false" ht="10.15" hidden="false" customHeight="false" outlineLevel="0" collapsed="false">
      <c r="A341" s="0" t="s">
        <v>344</v>
      </c>
      <c r="B341" s="0" t="s">
        <v>1909</v>
      </c>
    </row>
    <row r="342" customFormat="false" ht="10.15" hidden="false" customHeight="false" outlineLevel="0" collapsed="false">
      <c r="A342" s="0" t="s">
        <v>346</v>
      </c>
      <c r="B342" s="0" t="s">
        <v>1880</v>
      </c>
    </row>
    <row r="343" customFormat="false" ht="10.15" hidden="false" customHeight="false" outlineLevel="0" collapsed="false">
      <c r="A343" s="0" t="s">
        <v>346</v>
      </c>
      <c r="B343" s="0" t="s">
        <v>1881</v>
      </c>
    </row>
    <row r="344" customFormat="false" ht="10.15" hidden="false" customHeight="false" outlineLevel="0" collapsed="false">
      <c r="A344" s="0" t="s">
        <v>346</v>
      </c>
      <c r="B344" s="0" t="s">
        <v>1882</v>
      </c>
    </row>
    <row r="345" customFormat="false" ht="10.15" hidden="false" customHeight="false" outlineLevel="0" collapsed="false">
      <c r="A345" s="0" t="s">
        <v>346</v>
      </c>
      <c r="B345" s="0" t="s">
        <v>1883</v>
      </c>
    </row>
    <row r="346" customFormat="false" ht="10.15" hidden="false" customHeight="false" outlineLevel="0" collapsed="false">
      <c r="A346" s="0" t="s">
        <v>346</v>
      </c>
      <c r="B346" s="0" t="s">
        <v>1884</v>
      </c>
    </row>
    <row r="347" customFormat="false" ht="10.15" hidden="false" customHeight="false" outlineLevel="0" collapsed="false">
      <c r="A347" s="0" t="s">
        <v>346</v>
      </c>
      <c r="B347" s="0" t="s">
        <v>1899</v>
      </c>
    </row>
    <row r="348" customFormat="false" ht="10.15" hidden="false" customHeight="false" outlineLevel="0" collapsed="false">
      <c r="A348" s="0" t="s">
        <v>346</v>
      </c>
      <c r="B348" s="0" t="s">
        <v>1900</v>
      </c>
    </row>
    <row r="349" customFormat="false" ht="10.15" hidden="false" customHeight="false" outlineLevel="0" collapsed="false">
      <c r="A349" s="0" t="s">
        <v>346</v>
      </c>
      <c r="B349" s="0" t="s">
        <v>1886</v>
      </c>
    </row>
    <row r="350" customFormat="false" ht="10.15" hidden="false" customHeight="false" outlineLevel="0" collapsed="false">
      <c r="A350" s="0" t="s">
        <v>346</v>
      </c>
      <c r="B350" s="0" t="s">
        <v>1887</v>
      </c>
    </row>
    <row r="351" customFormat="false" ht="10.15" hidden="false" customHeight="false" outlineLevel="0" collapsed="false">
      <c r="A351" s="0" t="s">
        <v>346</v>
      </c>
      <c r="B351" s="0" t="s">
        <v>1888</v>
      </c>
    </row>
    <row r="352" customFormat="false" ht="10.15" hidden="false" customHeight="false" outlineLevel="0" collapsed="false">
      <c r="A352" s="0" t="s">
        <v>346</v>
      </c>
      <c r="B352" s="0" t="s">
        <v>1889</v>
      </c>
    </row>
    <row r="353" customFormat="false" ht="10.15" hidden="false" customHeight="false" outlineLevel="0" collapsed="false">
      <c r="A353" s="0" t="s">
        <v>346</v>
      </c>
      <c r="B353" s="0" t="s">
        <v>1905</v>
      </c>
    </row>
    <row r="354" customFormat="false" ht="10.15" hidden="false" customHeight="false" outlineLevel="0" collapsed="false">
      <c r="A354" s="0" t="s">
        <v>346</v>
      </c>
      <c r="B354" s="0" t="s">
        <v>1906</v>
      </c>
    </row>
    <row r="355" customFormat="false" ht="10.15" hidden="false" customHeight="false" outlineLevel="0" collapsed="false">
      <c r="A355" s="0" t="s">
        <v>346</v>
      </c>
      <c r="B355" s="0" t="s">
        <v>1903</v>
      </c>
    </row>
    <row r="356" customFormat="false" ht="10.15" hidden="false" customHeight="false" outlineLevel="0" collapsed="false">
      <c r="A356" s="0" t="s">
        <v>346</v>
      </c>
      <c r="B356" s="0" t="s">
        <v>1893</v>
      </c>
    </row>
    <row r="357" customFormat="false" ht="10.15" hidden="false" customHeight="false" outlineLevel="0" collapsed="false">
      <c r="A357" s="0" t="s">
        <v>346</v>
      </c>
      <c r="B357" s="0" t="s">
        <v>1894</v>
      </c>
    </row>
    <row r="358" customFormat="false" ht="10.15" hidden="false" customHeight="false" outlineLevel="0" collapsed="false">
      <c r="A358" s="0" t="s">
        <v>346</v>
      </c>
      <c r="B358" s="0" t="s">
        <v>1895</v>
      </c>
    </row>
    <row r="359" customFormat="false" ht="10.15" hidden="false" customHeight="false" outlineLevel="0" collapsed="false">
      <c r="A359" s="0" t="s">
        <v>346</v>
      </c>
      <c r="B359" s="0" t="s">
        <v>1896</v>
      </c>
    </row>
    <row r="360" customFormat="false" ht="10.15" hidden="false" customHeight="false" outlineLevel="0" collapsed="false">
      <c r="A360" s="0" t="s">
        <v>346</v>
      </c>
      <c r="B360" s="0" t="s">
        <v>1897</v>
      </c>
    </row>
    <row r="361" customFormat="false" ht="10.15" hidden="false" customHeight="false" outlineLevel="0" collapsed="false">
      <c r="A361" s="0" t="s">
        <v>346</v>
      </c>
      <c r="B361" s="0" t="s">
        <v>1898</v>
      </c>
    </row>
    <row r="362" customFormat="false" ht="10.15" hidden="false" customHeight="false" outlineLevel="0" collapsed="false">
      <c r="A362" s="0" t="s">
        <v>346</v>
      </c>
      <c r="B362" s="0" t="s">
        <v>1907</v>
      </c>
    </row>
    <row r="363" customFormat="false" ht="10.15" hidden="false" customHeight="false" outlineLevel="0" collapsed="false">
      <c r="A363" s="0" t="s">
        <v>348</v>
      </c>
      <c r="B363" s="0" t="s">
        <v>1880</v>
      </c>
    </row>
    <row r="364" customFormat="false" ht="10.15" hidden="false" customHeight="false" outlineLevel="0" collapsed="false">
      <c r="A364" s="0" t="s">
        <v>348</v>
      </c>
      <c r="B364" s="0" t="s">
        <v>1881</v>
      </c>
    </row>
    <row r="365" customFormat="false" ht="10.15" hidden="false" customHeight="false" outlineLevel="0" collapsed="false">
      <c r="A365" s="0" t="s">
        <v>348</v>
      </c>
      <c r="B365" s="0" t="s">
        <v>1882</v>
      </c>
    </row>
    <row r="366" customFormat="false" ht="10.15" hidden="false" customHeight="false" outlineLevel="0" collapsed="false">
      <c r="A366" s="0" t="s">
        <v>348</v>
      </c>
      <c r="B366" s="0" t="s">
        <v>1883</v>
      </c>
    </row>
    <row r="367" customFormat="false" ht="10.15" hidden="false" customHeight="false" outlineLevel="0" collapsed="false">
      <c r="A367" s="0" t="s">
        <v>348</v>
      </c>
      <c r="B367" s="0" t="s">
        <v>1884</v>
      </c>
    </row>
    <row r="368" customFormat="false" ht="10.15" hidden="false" customHeight="false" outlineLevel="0" collapsed="false">
      <c r="A368" s="0" t="s">
        <v>348</v>
      </c>
      <c r="B368" s="0" t="s">
        <v>1899</v>
      </c>
    </row>
    <row r="369" customFormat="false" ht="10.15" hidden="false" customHeight="false" outlineLevel="0" collapsed="false">
      <c r="A369" s="0" t="s">
        <v>348</v>
      </c>
      <c r="B369" s="0" t="s">
        <v>1900</v>
      </c>
    </row>
    <row r="370" customFormat="false" ht="10.15" hidden="false" customHeight="false" outlineLevel="0" collapsed="false">
      <c r="A370" s="0" t="s">
        <v>348</v>
      </c>
      <c r="B370" s="0" t="s">
        <v>1901</v>
      </c>
    </row>
    <row r="371" customFormat="false" ht="10.15" hidden="false" customHeight="false" outlineLevel="0" collapsed="false">
      <c r="A371" s="0" t="s">
        <v>348</v>
      </c>
      <c r="B371" s="0" t="s">
        <v>1902</v>
      </c>
    </row>
    <row r="372" customFormat="false" ht="10.15" hidden="false" customHeight="false" outlineLevel="0" collapsed="false">
      <c r="A372" s="0" t="s">
        <v>348</v>
      </c>
      <c r="B372" s="0" t="s">
        <v>1885</v>
      </c>
    </row>
    <row r="373" customFormat="false" ht="10.15" hidden="false" customHeight="false" outlineLevel="0" collapsed="false">
      <c r="A373" s="0" t="s">
        <v>348</v>
      </c>
      <c r="B373" s="0" t="s">
        <v>1886</v>
      </c>
    </row>
    <row r="374" customFormat="false" ht="10.15" hidden="false" customHeight="false" outlineLevel="0" collapsed="false">
      <c r="A374" s="0" t="s">
        <v>348</v>
      </c>
      <c r="B374" s="0" t="s">
        <v>1887</v>
      </c>
    </row>
    <row r="375" customFormat="false" ht="10.15" hidden="false" customHeight="false" outlineLevel="0" collapsed="false">
      <c r="A375" s="0" t="s">
        <v>348</v>
      </c>
      <c r="B375" s="0" t="s">
        <v>1888</v>
      </c>
    </row>
    <row r="376" customFormat="false" ht="10.15" hidden="false" customHeight="false" outlineLevel="0" collapsed="false">
      <c r="A376" s="0" t="s">
        <v>348</v>
      </c>
      <c r="B376" s="0" t="s">
        <v>1889</v>
      </c>
    </row>
    <row r="377" customFormat="false" ht="10.15" hidden="false" customHeight="false" outlineLevel="0" collapsed="false">
      <c r="A377" s="0" t="s">
        <v>348</v>
      </c>
      <c r="B377" s="0" t="s">
        <v>1905</v>
      </c>
    </row>
    <row r="378" customFormat="false" ht="10.15" hidden="false" customHeight="false" outlineLevel="0" collapsed="false">
      <c r="A378" s="0" t="s">
        <v>348</v>
      </c>
      <c r="B378" s="0" t="s">
        <v>1893</v>
      </c>
    </row>
    <row r="379" customFormat="false" ht="10.15" hidden="false" customHeight="false" outlineLevel="0" collapsed="false">
      <c r="A379" s="0" t="s">
        <v>348</v>
      </c>
      <c r="B379" s="0" t="s">
        <v>1894</v>
      </c>
    </row>
    <row r="380" customFormat="false" ht="10.15" hidden="false" customHeight="false" outlineLevel="0" collapsed="false">
      <c r="A380" s="0" t="s">
        <v>348</v>
      </c>
      <c r="B380" s="0" t="s">
        <v>1895</v>
      </c>
    </row>
    <row r="381" customFormat="false" ht="10.15" hidden="false" customHeight="false" outlineLevel="0" collapsed="false">
      <c r="A381" s="0" t="s">
        <v>348</v>
      </c>
      <c r="B381" s="0" t="s">
        <v>1896</v>
      </c>
    </row>
    <row r="382" customFormat="false" ht="10.15" hidden="false" customHeight="false" outlineLevel="0" collapsed="false">
      <c r="A382" s="0" t="s">
        <v>348</v>
      </c>
      <c r="B382" s="0" t="s">
        <v>1897</v>
      </c>
    </row>
    <row r="383" customFormat="false" ht="10.15" hidden="false" customHeight="false" outlineLevel="0" collapsed="false">
      <c r="A383" s="0" t="s">
        <v>348</v>
      </c>
      <c r="B383" s="0" t="s">
        <v>1898</v>
      </c>
    </row>
    <row r="384" customFormat="false" ht="10.15" hidden="false" customHeight="false" outlineLevel="0" collapsed="false">
      <c r="A384" s="0" t="s">
        <v>349</v>
      </c>
      <c r="B384" s="0" t="s">
        <v>1880</v>
      </c>
    </row>
    <row r="385" customFormat="false" ht="10.15" hidden="false" customHeight="false" outlineLevel="0" collapsed="false">
      <c r="A385" s="0" t="s">
        <v>349</v>
      </c>
      <c r="B385" s="0" t="s">
        <v>1881</v>
      </c>
    </row>
    <row r="386" customFormat="false" ht="10.15" hidden="false" customHeight="false" outlineLevel="0" collapsed="false">
      <c r="A386" s="0" t="s">
        <v>349</v>
      </c>
      <c r="B386" s="0" t="s">
        <v>1882</v>
      </c>
    </row>
    <row r="387" customFormat="false" ht="10.15" hidden="false" customHeight="false" outlineLevel="0" collapsed="false">
      <c r="A387" s="0" t="s">
        <v>349</v>
      </c>
      <c r="B387" s="0" t="s">
        <v>1883</v>
      </c>
    </row>
    <row r="388" customFormat="false" ht="10.15" hidden="false" customHeight="false" outlineLevel="0" collapsed="false">
      <c r="A388" s="0" t="s">
        <v>349</v>
      </c>
      <c r="B388" s="0" t="s">
        <v>1884</v>
      </c>
    </row>
    <row r="389" customFormat="false" ht="10.15" hidden="false" customHeight="false" outlineLevel="0" collapsed="false">
      <c r="A389" s="0" t="s">
        <v>349</v>
      </c>
      <c r="B389" s="0" t="s">
        <v>1899</v>
      </c>
    </row>
    <row r="390" customFormat="false" ht="10.15" hidden="false" customHeight="false" outlineLevel="0" collapsed="false">
      <c r="A390" s="0" t="s">
        <v>349</v>
      </c>
      <c r="B390" s="0" t="s">
        <v>1900</v>
      </c>
    </row>
    <row r="391" customFormat="false" ht="10.15" hidden="false" customHeight="false" outlineLevel="0" collapsed="false">
      <c r="A391" s="0" t="s">
        <v>349</v>
      </c>
      <c r="B391" s="0" t="s">
        <v>1901</v>
      </c>
    </row>
    <row r="392" customFormat="false" ht="10.15" hidden="false" customHeight="false" outlineLevel="0" collapsed="false">
      <c r="A392" s="0" t="s">
        <v>349</v>
      </c>
      <c r="B392" s="0" t="s">
        <v>1902</v>
      </c>
    </row>
    <row r="393" customFormat="false" ht="10.15" hidden="false" customHeight="false" outlineLevel="0" collapsed="false">
      <c r="A393" s="0" t="s">
        <v>349</v>
      </c>
      <c r="B393" s="0" t="s">
        <v>1885</v>
      </c>
    </row>
    <row r="394" customFormat="false" ht="10.15" hidden="false" customHeight="false" outlineLevel="0" collapsed="false">
      <c r="A394" s="0" t="s">
        <v>349</v>
      </c>
      <c r="B394" s="0" t="s">
        <v>1886</v>
      </c>
    </row>
    <row r="395" customFormat="false" ht="10.15" hidden="false" customHeight="false" outlineLevel="0" collapsed="false">
      <c r="A395" s="0" t="s">
        <v>349</v>
      </c>
      <c r="B395" s="0" t="s">
        <v>1887</v>
      </c>
    </row>
    <row r="396" customFormat="false" ht="10.15" hidden="false" customHeight="false" outlineLevel="0" collapsed="false">
      <c r="A396" s="0" t="s">
        <v>349</v>
      </c>
      <c r="B396" s="0" t="s">
        <v>1888</v>
      </c>
    </row>
    <row r="397" customFormat="false" ht="10.15" hidden="false" customHeight="false" outlineLevel="0" collapsed="false">
      <c r="A397" s="0" t="s">
        <v>349</v>
      </c>
      <c r="B397" s="0" t="s">
        <v>1889</v>
      </c>
    </row>
    <row r="398" customFormat="false" ht="10.15" hidden="false" customHeight="false" outlineLevel="0" collapsed="false">
      <c r="A398" s="0" t="s">
        <v>353</v>
      </c>
      <c r="B398" s="0" t="s">
        <v>1880</v>
      </c>
    </row>
    <row r="399" customFormat="false" ht="10.15" hidden="false" customHeight="false" outlineLevel="0" collapsed="false">
      <c r="A399" s="0" t="s">
        <v>353</v>
      </c>
      <c r="B399" s="0" t="s">
        <v>1881</v>
      </c>
    </row>
    <row r="400" customFormat="false" ht="10.15" hidden="false" customHeight="false" outlineLevel="0" collapsed="false">
      <c r="A400" s="0" t="s">
        <v>353</v>
      </c>
      <c r="B400" s="0" t="s">
        <v>1882</v>
      </c>
    </row>
    <row r="401" customFormat="false" ht="10.15" hidden="false" customHeight="false" outlineLevel="0" collapsed="false">
      <c r="A401" s="0" t="s">
        <v>353</v>
      </c>
      <c r="B401" s="0" t="s">
        <v>1883</v>
      </c>
    </row>
    <row r="402" customFormat="false" ht="10.15" hidden="false" customHeight="false" outlineLevel="0" collapsed="false">
      <c r="A402" s="0" t="s">
        <v>353</v>
      </c>
      <c r="B402" s="0" t="s">
        <v>1884</v>
      </c>
    </row>
    <row r="403" customFormat="false" ht="10.15" hidden="false" customHeight="false" outlineLevel="0" collapsed="false">
      <c r="A403" s="0" t="s">
        <v>353</v>
      </c>
      <c r="B403" s="0" t="s">
        <v>1899</v>
      </c>
    </row>
    <row r="404" customFormat="false" ht="10.15" hidden="false" customHeight="false" outlineLevel="0" collapsed="false">
      <c r="A404" s="0" t="s">
        <v>353</v>
      </c>
      <c r="B404" s="0" t="s">
        <v>1900</v>
      </c>
    </row>
    <row r="405" customFormat="false" ht="10.15" hidden="false" customHeight="false" outlineLevel="0" collapsed="false">
      <c r="A405" s="0" t="s">
        <v>353</v>
      </c>
      <c r="B405" s="0" t="s">
        <v>1901</v>
      </c>
    </row>
    <row r="406" customFormat="false" ht="10.15" hidden="false" customHeight="false" outlineLevel="0" collapsed="false">
      <c r="A406" s="0" t="s">
        <v>353</v>
      </c>
      <c r="B406" s="0" t="s">
        <v>1902</v>
      </c>
    </row>
    <row r="407" customFormat="false" ht="10.15" hidden="false" customHeight="false" outlineLevel="0" collapsed="false">
      <c r="A407" s="0" t="s">
        <v>353</v>
      </c>
      <c r="B407" s="0" t="s">
        <v>1885</v>
      </c>
    </row>
    <row r="408" customFormat="false" ht="10.15" hidden="false" customHeight="false" outlineLevel="0" collapsed="false">
      <c r="A408" s="0" t="s">
        <v>353</v>
      </c>
      <c r="B408" s="0" t="s">
        <v>1886</v>
      </c>
    </row>
    <row r="409" customFormat="false" ht="10.15" hidden="false" customHeight="false" outlineLevel="0" collapsed="false">
      <c r="A409" s="0" t="s">
        <v>353</v>
      </c>
      <c r="B409" s="0" t="s">
        <v>1887</v>
      </c>
    </row>
    <row r="410" customFormat="false" ht="10.15" hidden="false" customHeight="false" outlineLevel="0" collapsed="false">
      <c r="A410" s="0" t="s">
        <v>353</v>
      </c>
      <c r="B410" s="0" t="s">
        <v>1888</v>
      </c>
    </row>
    <row r="411" customFormat="false" ht="10.15" hidden="false" customHeight="false" outlineLevel="0" collapsed="false">
      <c r="A411" s="0" t="s">
        <v>353</v>
      </c>
      <c r="B411" s="0" t="s">
        <v>1889</v>
      </c>
    </row>
    <row r="412" customFormat="false" ht="10.15" hidden="false" customHeight="false" outlineLevel="0" collapsed="false">
      <c r="A412" s="0" t="s">
        <v>357</v>
      </c>
      <c r="B412" s="0" t="s">
        <v>1880</v>
      </c>
    </row>
    <row r="413" customFormat="false" ht="10.15" hidden="false" customHeight="false" outlineLevel="0" collapsed="false">
      <c r="A413" s="0" t="s">
        <v>357</v>
      </c>
      <c r="B413" s="0" t="s">
        <v>1881</v>
      </c>
    </row>
    <row r="414" customFormat="false" ht="10.15" hidden="false" customHeight="false" outlineLevel="0" collapsed="false">
      <c r="A414" s="0" t="s">
        <v>357</v>
      </c>
      <c r="B414" s="0" t="s">
        <v>1882</v>
      </c>
    </row>
    <row r="415" customFormat="false" ht="10.15" hidden="false" customHeight="false" outlineLevel="0" collapsed="false">
      <c r="A415" s="0" t="s">
        <v>357</v>
      </c>
      <c r="B415" s="0" t="s">
        <v>1883</v>
      </c>
    </row>
    <row r="416" customFormat="false" ht="10.15" hidden="false" customHeight="false" outlineLevel="0" collapsed="false">
      <c r="A416" s="0" t="s">
        <v>357</v>
      </c>
      <c r="B416" s="0" t="s">
        <v>1884</v>
      </c>
    </row>
    <row r="417" customFormat="false" ht="10.15" hidden="false" customHeight="false" outlineLevel="0" collapsed="false">
      <c r="A417" s="0" t="s">
        <v>357</v>
      </c>
      <c r="B417" s="0" t="s">
        <v>1899</v>
      </c>
    </row>
    <row r="418" customFormat="false" ht="10.15" hidden="false" customHeight="false" outlineLevel="0" collapsed="false">
      <c r="A418" s="0" t="s">
        <v>357</v>
      </c>
      <c r="B418" s="0" t="s">
        <v>1900</v>
      </c>
    </row>
    <row r="419" customFormat="false" ht="10.15" hidden="false" customHeight="false" outlineLevel="0" collapsed="false">
      <c r="A419" s="0" t="s">
        <v>357</v>
      </c>
      <c r="B419" s="0" t="s">
        <v>1901</v>
      </c>
    </row>
    <row r="420" customFormat="false" ht="10.15" hidden="false" customHeight="false" outlineLevel="0" collapsed="false">
      <c r="A420" s="0" t="s">
        <v>357</v>
      </c>
      <c r="B420" s="0" t="s">
        <v>1902</v>
      </c>
    </row>
    <row r="421" customFormat="false" ht="10.15" hidden="false" customHeight="false" outlineLevel="0" collapsed="false">
      <c r="A421" s="0" t="s">
        <v>357</v>
      </c>
      <c r="B421" s="0" t="s">
        <v>1885</v>
      </c>
    </row>
    <row r="422" customFormat="false" ht="10.15" hidden="false" customHeight="false" outlineLevel="0" collapsed="false">
      <c r="A422" s="0" t="s">
        <v>357</v>
      </c>
      <c r="B422" s="0" t="s">
        <v>1886</v>
      </c>
    </row>
    <row r="423" customFormat="false" ht="10.15" hidden="false" customHeight="false" outlineLevel="0" collapsed="false">
      <c r="A423" s="0" t="s">
        <v>357</v>
      </c>
      <c r="B423" s="0" t="s">
        <v>1887</v>
      </c>
    </row>
    <row r="424" customFormat="false" ht="10.15" hidden="false" customHeight="false" outlineLevel="0" collapsed="false">
      <c r="A424" s="0" t="s">
        <v>357</v>
      </c>
      <c r="B424" s="0" t="s">
        <v>1888</v>
      </c>
    </row>
    <row r="425" customFormat="false" ht="10.15" hidden="false" customHeight="false" outlineLevel="0" collapsed="false">
      <c r="A425" s="0" t="s">
        <v>357</v>
      </c>
      <c r="B425" s="0" t="s">
        <v>1889</v>
      </c>
    </row>
    <row r="426" customFormat="false" ht="10.15" hidden="false" customHeight="false" outlineLevel="0" collapsed="false">
      <c r="A426" s="0" t="s">
        <v>357</v>
      </c>
      <c r="B426" s="0" t="s">
        <v>1905</v>
      </c>
    </row>
    <row r="427" customFormat="false" ht="10.15" hidden="false" customHeight="false" outlineLevel="0" collapsed="false">
      <c r="A427" s="0" t="s">
        <v>357</v>
      </c>
      <c r="B427" s="0" t="s">
        <v>1906</v>
      </c>
    </row>
    <row r="428" customFormat="false" ht="10.15" hidden="false" customHeight="false" outlineLevel="0" collapsed="false">
      <c r="A428" s="0" t="s">
        <v>357</v>
      </c>
      <c r="B428" s="0" t="s">
        <v>1903</v>
      </c>
    </row>
    <row r="429" customFormat="false" ht="10.15" hidden="false" customHeight="false" outlineLevel="0" collapsed="false">
      <c r="A429" s="0" t="s">
        <v>357</v>
      </c>
      <c r="B429" s="0" t="s">
        <v>1890</v>
      </c>
    </row>
    <row r="430" customFormat="false" ht="10.15" hidden="false" customHeight="false" outlineLevel="0" collapsed="false">
      <c r="A430" s="0" t="s">
        <v>357</v>
      </c>
      <c r="B430" s="0" t="s">
        <v>1891</v>
      </c>
    </row>
    <row r="431" customFormat="false" ht="10.15" hidden="false" customHeight="false" outlineLevel="0" collapsed="false">
      <c r="A431" s="0" t="s">
        <v>357</v>
      </c>
      <c r="B431" s="0" t="s">
        <v>1892</v>
      </c>
    </row>
    <row r="432" customFormat="false" ht="10.15" hidden="false" customHeight="false" outlineLevel="0" collapsed="false">
      <c r="A432" s="0" t="s">
        <v>357</v>
      </c>
      <c r="B432" s="0" t="s">
        <v>1893</v>
      </c>
    </row>
    <row r="433" customFormat="false" ht="10.15" hidden="false" customHeight="false" outlineLevel="0" collapsed="false">
      <c r="A433" s="0" t="s">
        <v>357</v>
      </c>
      <c r="B433" s="0" t="s">
        <v>1894</v>
      </c>
    </row>
    <row r="434" customFormat="false" ht="10.15" hidden="false" customHeight="false" outlineLevel="0" collapsed="false">
      <c r="A434" s="0" t="s">
        <v>357</v>
      </c>
      <c r="B434" s="0" t="s">
        <v>1895</v>
      </c>
    </row>
    <row r="435" customFormat="false" ht="10.15" hidden="false" customHeight="false" outlineLevel="0" collapsed="false">
      <c r="A435" s="0" t="s">
        <v>357</v>
      </c>
      <c r="B435" s="0" t="s">
        <v>1896</v>
      </c>
    </row>
    <row r="436" customFormat="false" ht="10.15" hidden="false" customHeight="false" outlineLevel="0" collapsed="false">
      <c r="A436" s="0" t="s">
        <v>358</v>
      </c>
      <c r="B436" s="0" t="s">
        <v>1880</v>
      </c>
    </row>
    <row r="437" customFormat="false" ht="10.15" hidden="false" customHeight="false" outlineLevel="0" collapsed="false">
      <c r="A437" s="0" t="s">
        <v>358</v>
      </c>
      <c r="B437" s="0" t="s">
        <v>1881</v>
      </c>
    </row>
    <row r="438" customFormat="false" ht="10.15" hidden="false" customHeight="false" outlineLevel="0" collapsed="false">
      <c r="A438" s="0" t="s">
        <v>358</v>
      </c>
      <c r="B438" s="0" t="s">
        <v>1882</v>
      </c>
    </row>
    <row r="439" customFormat="false" ht="10.15" hidden="false" customHeight="false" outlineLevel="0" collapsed="false">
      <c r="A439" s="0" t="s">
        <v>358</v>
      </c>
      <c r="B439" s="0" t="s">
        <v>1883</v>
      </c>
    </row>
    <row r="440" customFormat="false" ht="10.15" hidden="false" customHeight="false" outlineLevel="0" collapsed="false">
      <c r="A440" s="0" t="s">
        <v>358</v>
      </c>
      <c r="B440" s="0" t="s">
        <v>1884</v>
      </c>
    </row>
    <row r="441" customFormat="false" ht="10.15" hidden="false" customHeight="false" outlineLevel="0" collapsed="false">
      <c r="A441" s="0" t="s">
        <v>358</v>
      </c>
      <c r="B441" s="0" t="s">
        <v>1899</v>
      </c>
    </row>
    <row r="442" customFormat="false" ht="10.15" hidden="false" customHeight="false" outlineLevel="0" collapsed="false">
      <c r="A442" s="0" t="s">
        <v>358</v>
      </c>
      <c r="B442" s="0" t="s">
        <v>1900</v>
      </c>
    </row>
    <row r="443" customFormat="false" ht="10.15" hidden="false" customHeight="false" outlineLevel="0" collapsed="false">
      <c r="A443" s="0" t="s">
        <v>358</v>
      </c>
      <c r="B443" s="0" t="s">
        <v>1901</v>
      </c>
    </row>
    <row r="444" customFormat="false" ht="10.15" hidden="false" customHeight="false" outlineLevel="0" collapsed="false">
      <c r="A444" s="0" t="s">
        <v>358</v>
      </c>
      <c r="B444" s="0" t="s">
        <v>1902</v>
      </c>
    </row>
    <row r="445" customFormat="false" ht="10.15" hidden="false" customHeight="false" outlineLevel="0" collapsed="false">
      <c r="A445" s="0" t="s">
        <v>358</v>
      </c>
      <c r="B445" s="0" t="s">
        <v>1885</v>
      </c>
    </row>
    <row r="446" customFormat="false" ht="10.15" hidden="false" customHeight="false" outlineLevel="0" collapsed="false">
      <c r="A446" s="0" t="s">
        <v>358</v>
      </c>
      <c r="B446" s="0" t="s">
        <v>1886</v>
      </c>
    </row>
    <row r="447" customFormat="false" ht="10.15" hidden="false" customHeight="false" outlineLevel="0" collapsed="false">
      <c r="A447" s="0" t="s">
        <v>358</v>
      </c>
      <c r="B447" s="0" t="s">
        <v>1887</v>
      </c>
    </row>
    <row r="448" customFormat="false" ht="10.15" hidden="false" customHeight="false" outlineLevel="0" collapsed="false">
      <c r="A448" s="0" t="s">
        <v>358</v>
      </c>
      <c r="B448" s="0" t="s">
        <v>1888</v>
      </c>
    </row>
    <row r="449" customFormat="false" ht="10.15" hidden="false" customHeight="false" outlineLevel="0" collapsed="false">
      <c r="A449" s="0" t="s">
        <v>358</v>
      </c>
      <c r="B449" s="0" t="s">
        <v>1889</v>
      </c>
    </row>
    <row r="450" customFormat="false" ht="10.15" hidden="false" customHeight="false" outlineLevel="0" collapsed="false">
      <c r="A450" s="0" t="s">
        <v>358</v>
      </c>
      <c r="B450" s="0" t="s">
        <v>1905</v>
      </c>
    </row>
    <row r="451" customFormat="false" ht="10.15" hidden="false" customHeight="false" outlineLevel="0" collapsed="false">
      <c r="A451" s="0" t="s">
        <v>358</v>
      </c>
      <c r="B451" s="0" t="s">
        <v>1906</v>
      </c>
    </row>
    <row r="452" customFormat="false" ht="10.15" hidden="false" customHeight="false" outlineLevel="0" collapsed="false">
      <c r="A452" s="0" t="s">
        <v>358</v>
      </c>
      <c r="B452" s="0" t="s">
        <v>1903</v>
      </c>
    </row>
    <row r="453" customFormat="false" ht="10.15" hidden="false" customHeight="false" outlineLevel="0" collapsed="false">
      <c r="A453" s="0" t="s">
        <v>358</v>
      </c>
      <c r="B453" s="0" t="s">
        <v>1890</v>
      </c>
    </row>
    <row r="454" customFormat="false" ht="10.15" hidden="false" customHeight="false" outlineLevel="0" collapsed="false">
      <c r="A454" s="0" t="s">
        <v>358</v>
      </c>
      <c r="B454" s="0" t="s">
        <v>1891</v>
      </c>
    </row>
    <row r="455" customFormat="false" ht="10.15" hidden="false" customHeight="false" outlineLevel="0" collapsed="false">
      <c r="A455" s="0" t="s">
        <v>358</v>
      </c>
      <c r="B455" s="0" t="s">
        <v>1892</v>
      </c>
    </row>
    <row r="456" customFormat="false" ht="10.15" hidden="false" customHeight="false" outlineLevel="0" collapsed="false">
      <c r="A456" s="0" t="s">
        <v>358</v>
      </c>
      <c r="B456" s="0" t="s">
        <v>1893</v>
      </c>
    </row>
    <row r="457" customFormat="false" ht="10.15" hidden="false" customHeight="false" outlineLevel="0" collapsed="false">
      <c r="A457" s="0" t="s">
        <v>358</v>
      </c>
      <c r="B457" s="0" t="s">
        <v>1894</v>
      </c>
    </row>
    <row r="458" customFormat="false" ht="10.15" hidden="false" customHeight="false" outlineLevel="0" collapsed="false">
      <c r="A458" s="0" t="s">
        <v>358</v>
      </c>
      <c r="B458" s="0" t="s">
        <v>1895</v>
      </c>
    </row>
    <row r="459" customFormat="false" ht="10.15" hidden="false" customHeight="false" outlineLevel="0" collapsed="false">
      <c r="A459" s="0" t="s">
        <v>358</v>
      </c>
      <c r="B459" s="0" t="s">
        <v>1896</v>
      </c>
    </row>
    <row r="460" customFormat="false" ht="10.15" hidden="false" customHeight="false" outlineLevel="0" collapsed="false">
      <c r="A460" s="0" t="s">
        <v>359</v>
      </c>
      <c r="B460" s="0" t="s">
        <v>1880</v>
      </c>
    </row>
    <row r="461" customFormat="false" ht="10.15" hidden="false" customHeight="false" outlineLevel="0" collapsed="false">
      <c r="A461" s="0" t="s">
        <v>359</v>
      </c>
      <c r="B461" s="0" t="s">
        <v>1881</v>
      </c>
    </row>
    <row r="462" customFormat="false" ht="10.15" hidden="false" customHeight="false" outlineLevel="0" collapsed="false">
      <c r="A462" s="0" t="s">
        <v>359</v>
      </c>
      <c r="B462" s="0" t="s">
        <v>1882</v>
      </c>
    </row>
    <row r="463" customFormat="false" ht="10.15" hidden="false" customHeight="false" outlineLevel="0" collapsed="false">
      <c r="A463" s="0" t="s">
        <v>359</v>
      </c>
      <c r="B463" s="0" t="s">
        <v>1883</v>
      </c>
    </row>
    <row r="464" customFormat="false" ht="10.15" hidden="false" customHeight="false" outlineLevel="0" collapsed="false">
      <c r="A464" s="0" t="s">
        <v>359</v>
      </c>
      <c r="B464" s="0" t="s">
        <v>1884</v>
      </c>
    </row>
    <row r="465" customFormat="false" ht="10.15" hidden="false" customHeight="false" outlineLevel="0" collapsed="false">
      <c r="A465" s="0" t="s">
        <v>359</v>
      </c>
      <c r="B465" s="0" t="s">
        <v>1899</v>
      </c>
    </row>
    <row r="466" customFormat="false" ht="10.15" hidden="false" customHeight="false" outlineLevel="0" collapsed="false">
      <c r="A466" s="0" t="s">
        <v>359</v>
      </c>
      <c r="B466" s="0" t="s">
        <v>1900</v>
      </c>
    </row>
    <row r="467" customFormat="false" ht="10.15" hidden="false" customHeight="false" outlineLevel="0" collapsed="false">
      <c r="A467" s="0" t="s">
        <v>359</v>
      </c>
      <c r="B467" s="0" t="s">
        <v>1901</v>
      </c>
    </row>
    <row r="468" customFormat="false" ht="10.15" hidden="false" customHeight="false" outlineLevel="0" collapsed="false">
      <c r="A468" s="0" t="s">
        <v>359</v>
      </c>
      <c r="B468" s="0" t="s">
        <v>1902</v>
      </c>
    </row>
    <row r="469" customFormat="false" ht="10.15" hidden="false" customHeight="false" outlineLevel="0" collapsed="false">
      <c r="A469" s="0" t="s">
        <v>359</v>
      </c>
      <c r="B469" s="0" t="s">
        <v>1886</v>
      </c>
    </row>
    <row r="470" customFormat="false" ht="10.15" hidden="false" customHeight="false" outlineLevel="0" collapsed="false">
      <c r="A470" s="0" t="s">
        <v>359</v>
      </c>
      <c r="B470" s="0" t="s">
        <v>1887</v>
      </c>
    </row>
    <row r="471" customFormat="false" ht="10.15" hidden="false" customHeight="false" outlineLevel="0" collapsed="false">
      <c r="A471" s="0" t="s">
        <v>359</v>
      </c>
      <c r="B471" s="0" t="s">
        <v>1888</v>
      </c>
    </row>
    <row r="472" customFormat="false" ht="10.15" hidden="false" customHeight="false" outlineLevel="0" collapsed="false">
      <c r="A472" s="0" t="s">
        <v>359</v>
      </c>
      <c r="B472" s="0" t="s">
        <v>1889</v>
      </c>
    </row>
    <row r="473" customFormat="false" ht="10.15" hidden="false" customHeight="false" outlineLevel="0" collapsed="false">
      <c r="A473" s="0" t="s">
        <v>359</v>
      </c>
      <c r="B473" s="0" t="s">
        <v>1905</v>
      </c>
    </row>
    <row r="474" customFormat="false" ht="10.15" hidden="false" customHeight="false" outlineLevel="0" collapsed="false">
      <c r="A474" s="0" t="s">
        <v>359</v>
      </c>
      <c r="B474" s="0" t="s">
        <v>1906</v>
      </c>
    </row>
    <row r="475" customFormat="false" ht="10.15" hidden="false" customHeight="false" outlineLevel="0" collapsed="false">
      <c r="A475" s="0" t="s">
        <v>359</v>
      </c>
      <c r="B475" s="0" t="s">
        <v>1903</v>
      </c>
    </row>
    <row r="476" customFormat="false" ht="10.15" hidden="false" customHeight="false" outlineLevel="0" collapsed="false">
      <c r="A476" s="0" t="s">
        <v>359</v>
      </c>
      <c r="B476" s="0" t="s">
        <v>1890</v>
      </c>
    </row>
    <row r="477" customFormat="false" ht="10.15" hidden="false" customHeight="false" outlineLevel="0" collapsed="false">
      <c r="A477" s="0" t="s">
        <v>359</v>
      </c>
      <c r="B477" s="0" t="s">
        <v>1891</v>
      </c>
    </row>
    <row r="478" customFormat="false" ht="10.15" hidden="false" customHeight="false" outlineLevel="0" collapsed="false">
      <c r="A478" s="0" t="s">
        <v>359</v>
      </c>
      <c r="B478" s="0" t="s">
        <v>1893</v>
      </c>
    </row>
    <row r="479" customFormat="false" ht="10.15" hidden="false" customHeight="false" outlineLevel="0" collapsed="false">
      <c r="A479" s="0" t="s">
        <v>359</v>
      </c>
      <c r="B479" s="0" t="s">
        <v>1894</v>
      </c>
    </row>
    <row r="480" customFormat="false" ht="10.15" hidden="false" customHeight="false" outlineLevel="0" collapsed="false">
      <c r="A480" s="0" t="s">
        <v>359</v>
      </c>
      <c r="B480" s="0" t="s">
        <v>1895</v>
      </c>
    </row>
    <row r="481" customFormat="false" ht="10.15" hidden="false" customHeight="false" outlineLevel="0" collapsed="false">
      <c r="A481" s="0" t="s">
        <v>359</v>
      </c>
      <c r="B481" s="0" t="s">
        <v>1896</v>
      </c>
    </row>
    <row r="482" customFormat="false" ht="10.15" hidden="false" customHeight="false" outlineLevel="0" collapsed="false">
      <c r="A482" s="0" t="s">
        <v>359</v>
      </c>
      <c r="B482" s="0" t="s">
        <v>1897</v>
      </c>
    </row>
    <row r="483" customFormat="false" ht="10.15" hidden="false" customHeight="false" outlineLevel="0" collapsed="false">
      <c r="A483" s="0" t="s">
        <v>359</v>
      </c>
      <c r="B483" s="0" t="s">
        <v>1898</v>
      </c>
    </row>
    <row r="484" customFormat="false" ht="10.15" hidden="false" customHeight="false" outlineLevel="0" collapsed="false">
      <c r="A484" s="0" t="s">
        <v>359</v>
      </c>
      <c r="B484" s="0" t="s">
        <v>1907</v>
      </c>
    </row>
    <row r="485" customFormat="false" ht="10.15" hidden="false" customHeight="false" outlineLevel="0" collapsed="false">
      <c r="A485" s="0" t="s">
        <v>359</v>
      </c>
      <c r="B485" s="0" t="s">
        <v>1908</v>
      </c>
    </row>
    <row r="486" customFormat="false" ht="10.15" hidden="false" customHeight="false" outlineLevel="0" collapsed="false">
      <c r="A486" s="0" t="s">
        <v>362</v>
      </c>
      <c r="B486" s="0" t="s">
        <v>1880</v>
      </c>
    </row>
    <row r="487" customFormat="false" ht="10.15" hidden="false" customHeight="false" outlineLevel="0" collapsed="false">
      <c r="A487" s="0" t="s">
        <v>362</v>
      </c>
      <c r="B487" s="0" t="s">
        <v>1881</v>
      </c>
    </row>
    <row r="488" customFormat="false" ht="10.15" hidden="false" customHeight="false" outlineLevel="0" collapsed="false">
      <c r="A488" s="0" t="s">
        <v>362</v>
      </c>
      <c r="B488" s="0" t="s">
        <v>1882</v>
      </c>
    </row>
    <row r="489" customFormat="false" ht="10.15" hidden="false" customHeight="false" outlineLevel="0" collapsed="false">
      <c r="A489" s="0" t="s">
        <v>362</v>
      </c>
      <c r="B489" s="0" t="s">
        <v>1883</v>
      </c>
    </row>
    <row r="490" customFormat="false" ht="10.15" hidden="false" customHeight="false" outlineLevel="0" collapsed="false">
      <c r="A490" s="0" t="s">
        <v>362</v>
      </c>
      <c r="B490" s="0" t="s">
        <v>1884</v>
      </c>
    </row>
    <row r="491" customFormat="false" ht="10.15" hidden="false" customHeight="false" outlineLevel="0" collapsed="false">
      <c r="A491" s="0" t="s">
        <v>362</v>
      </c>
      <c r="B491" s="0" t="s">
        <v>1899</v>
      </c>
    </row>
    <row r="492" customFormat="false" ht="10.15" hidden="false" customHeight="false" outlineLevel="0" collapsed="false">
      <c r="A492" s="0" t="s">
        <v>362</v>
      </c>
      <c r="B492" s="0" t="s">
        <v>1900</v>
      </c>
    </row>
    <row r="493" customFormat="false" ht="10.15" hidden="false" customHeight="false" outlineLevel="0" collapsed="false">
      <c r="A493" s="0" t="s">
        <v>362</v>
      </c>
      <c r="B493" s="0" t="s">
        <v>1901</v>
      </c>
    </row>
    <row r="494" customFormat="false" ht="10.15" hidden="false" customHeight="false" outlineLevel="0" collapsed="false">
      <c r="A494" s="0" t="s">
        <v>362</v>
      </c>
      <c r="B494" s="0" t="s">
        <v>1902</v>
      </c>
    </row>
    <row r="495" customFormat="false" ht="10.15" hidden="false" customHeight="false" outlineLevel="0" collapsed="false">
      <c r="A495" s="0" t="s">
        <v>362</v>
      </c>
      <c r="B495" s="0" t="s">
        <v>1886</v>
      </c>
    </row>
    <row r="496" customFormat="false" ht="10.15" hidden="false" customHeight="false" outlineLevel="0" collapsed="false">
      <c r="A496" s="0" t="s">
        <v>362</v>
      </c>
      <c r="B496" s="0" t="s">
        <v>1887</v>
      </c>
    </row>
    <row r="497" customFormat="false" ht="10.15" hidden="false" customHeight="false" outlineLevel="0" collapsed="false">
      <c r="A497" s="0" t="s">
        <v>362</v>
      </c>
      <c r="B497" s="0" t="s">
        <v>1888</v>
      </c>
    </row>
    <row r="498" customFormat="false" ht="10.15" hidden="false" customHeight="false" outlineLevel="0" collapsed="false">
      <c r="A498" s="0" t="s">
        <v>362</v>
      </c>
      <c r="B498" s="0" t="s">
        <v>1889</v>
      </c>
    </row>
    <row r="499" customFormat="false" ht="10.15" hidden="false" customHeight="false" outlineLevel="0" collapsed="false">
      <c r="A499" s="0" t="s">
        <v>362</v>
      </c>
      <c r="B499" s="0" t="s">
        <v>1905</v>
      </c>
    </row>
    <row r="500" customFormat="false" ht="10.15" hidden="false" customHeight="false" outlineLevel="0" collapsed="false">
      <c r="A500" s="0" t="s">
        <v>362</v>
      </c>
      <c r="B500" s="0" t="s">
        <v>1906</v>
      </c>
    </row>
    <row r="501" customFormat="false" ht="10.15" hidden="false" customHeight="false" outlineLevel="0" collapsed="false">
      <c r="A501" s="0" t="s">
        <v>362</v>
      </c>
      <c r="B501" s="0" t="s">
        <v>1903</v>
      </c>
    </row>
    <row r="502" customFormat="false" ht="10.15" hidden="false" customHeight="false" outlineLevel="0" collapsed="false">
      <c r="A502" s="0" t="s">
        <v>362</v>
      </c>
      <c r="B502" s="0" t="s">
        <v>1890</v>
      </c>
    </row>
    <row r="503" customFormat="false" ht="10.15" hidden="false" customHeight="false" outlineLevel="0" collapsed="false">
      <c r="A503" s="0" t="s">
        <v>362</v>
      </c>
      <c r="B503" s="0" t="s">
        <v>1893</v>
      </c>
    </row>
    <row r="504" customFormat="false" ht="10.15" hidden="false" customHeight="false" outlineLevel="0" collapsed="false">
      <c r="A504" s="0" t="s">
        <v>362</v>
      </c>
      <c r="B504" s="0" t="s">
        <v>1894</v>
      </c>
    </row>
    <row r="505" customFormat="false" ht="10.15" hidden="false" customHeight="false" outlineLevel="0" collapsed="false">
      <c r="A505" s="0" t="s">
        <v>362</v>
      </c>
      <c r="B505" s="0" t="s">
        <v>1895</v>
      </c>
    </row>
    <row r="506" customFormat="false" ht="10.15" hidden="false" customHeight="false" outlineLevel="0" collapsed="false">
      <c r="A506" s="0" t="s">
        <v>362</v>
      </c>
      <c r="B506" s="0" t="s">
        <v>1896</v>
      </c>
    </row>
    <row r="507" customFormat="false" ht="10.15" hidden="false" customHeight="false" outlineLevel="0" collapsed="false">
      <c r="A507" s="0" t="s">
        <v>362</v>
      </c>
      <c r="B507" s="0" t="s">
        <v>1897</v>
      </c>
    </row>
    <row r="508" customFormat="false" ht="10.15" hidden="false" customHeight="false" outlineLevel="0" collapsed="false">
      <c r="A508" s="0" t="s">
        <v>362</v>
      </c>
      <c r="B508" s="0" t="s">
        <v>1898</v>
      </c>
    </row>
    <row r="509" customFormat="false" ht="10.15" hidden="false" customHeight="false" outlineLevel="0" collapsed="false">
      <c r="A509" s="0" t="s">
        <v>362</v>
      </c>
      <c r="B509" s="0" t="s">
        <v>1907</v>
      </c>
    </row>
    <row r="510" customFormat="false" ht="10.15" hidden="false" customHeight="false" outlineLevel="0" collapsed="false">
      <c r="A510" s="0" t="s">
        <v>362</v>
      </c>
      <c r="B510" s="0" t="s">
        <v>1908</v>
      </c>
    </row>
    <row r="511" customFormat="false" ht="10.15" hidden="false" customHeight="false" outlineLevel="0" collapsed="false">
      <c r="A511" s="0" t="s">
        <v>362</v>
      </c>
      <c r="B511" s="0" t="s">
        <v>1909</v>
      </c>
    </row>
    <row r="512" customFormat="false" ht="10.15" hidden="false" customHeight="false" outlineLevel="0" collapsed="false">
      <c r="A512" s="0" t="s">
        <v>396</v>
      </c>
      <c r="B512" s="0" t="s">
        <v>1880</v>
      </c>
    </row>
    <row r="513" customFormat="false" ht="10.15" hidden="false" customHeight="false" outlineLevel="0" collapsed="false">
      <c r="A513" s="0" t="s">
        <v>396</v>
      </c>
      <c r="B513" s="0" t="s">
        <v>1881</v>
      </c>
    </row>
    <row r="514" customFormat="false" ht="10.15" hidden="false" customHeight="false" outlineLevel="0" collapsed="false">
      <c r="A514" s="0" t="s">
        <v>396</v>
      </c>
      <c r="B514" s="0" t="s">
        <v>1882</v>
      </c>
    </row>
    <row r="515" customFormat="false" ht="10.15" hidden="false" customHeight="false" outlineLevel="0" collapsed="false">
      <c r="A515" s="0" t="s">
        <v>396</v>
      </c>
      <c r="B515" s="0" t="s">
        <v>1883</v>
      </c>
    </row>
    <row r="516" customFormat="false" ht="10.15" hidden="false" customHeight="false" outlineLevel="0" collapsed="false">
      <c r="A516" s="0" t="s">
        <v>396</v>
      </c>
      <c r="B516" s="0" t="s">
        <v>1884</v>
      </c>
    </row>
    <row r="517" customFormat="false" ht="10.15" hidden="false" customHeight="false" outlineLevel="0" collapsed="false">
      <c r="A517" s="0" t="s">
        <v>396</v>
      </c>
      <c r="B517" s="0" t="s">
        <v>1899</v>
      </c>
    </row>
    <row r="518" customFormat="false" ht="10.15" hidden="false" customHeight="false" outlineLevel="0" collapsed="false">
      <c r="A518" s="0" t="s">
        <v>364</v>
      </c>
      <c r="B518" s="0" t="s">
        <v>1880</v>
      </c>
    </row>
    <row r="519" customFormat="false" ht="10.15" hidden="false" customHeight="false" outlineLevel="0" collapsed="false">
      <c r="A519" s="0" t="s">
        <v>364</v>
      </c>
      <c r="B519" s="0" t="s">
        <v>1881</v>
      </c>
    </row>
    <row r="520" customFormat="false" ht="10.15" hidden="false" customHeight="false" outlineLevel="0" collapsed="false">
      <c r="A520" s="0" t="s">
        <v>364</v>
      </c>
      <c r="B520" s="0" t="s">
        <v>1882</v>
      </c>
    </row>
    <row r="521" customFormat="false" ht="10.15" hidden="false" customHeight="false" outlineLevel="0" collapsed="false">
      <c r="A521" s="0" t="s">
        <v>364</v>
      </c>
      <c r="B521" s="0" t="s">
        <v>1883</v>
      </c>
    </row>
    <row r="522" customFormat="false" ht="10.15" hidden="false" customHeight="false" outlineLevel="0" collapsed="false">
      <c r="A522" s="0" t="s">
        <v>364</v>
      </c>
      <c r="B522" s="0" t="s">
        <v>1884</v>
      </c>
    </row>
    <row r="523" customFormat="false" ht="10.15" hidden="false" customHeight="false" outlineLevel="0" collapsed="false">
      <c r="A523" s="0" t="s">
        <v>364</v>
      </c>
      <c r="B523" s="0" t="s">
        <v>1899</v>
      </c>
    </row>
    <row r="524" customFormat="false" ht="10.15" hidden="false" customHeight="false" outlineLevel="0" collapsed="false">
      <c r="A524" s="0" t="s">
        <v>364</v>
      </c>
      <c r="B524" s="0" t="s">
        <v>1900</v>
      </c>
    </row>
    <row r="525" customFormat="false" ht="10.15" hidden="false" customHeight="false" outlineLevel="0" collapsed="false">
      <c r="A525" s="0" t="s">
        <v>364</v>
      </c>
      <c r="B525" s="0" t="s">
        <v>1886</v>
      </c>
    </row>
    <row r="526" customFormat="false" ht="10.15" hidden="false" customHeight="false" outlineLevel="0" collapsed="false">
      <c r="A526" s="0" t="s">
        <v>364</v>
      </c>
      <c r="B526" s="0" t="s">
        <v>1887</v>
      </c>
    </row>
    <row r="527" customFormat="false" ht="10.15" hidden="false" customHeight="false" outlineLevel="0" collapsed="false">
      <c r="A527" s="0" t="s">
        <v>364</v>
      </c>
      <c r="B527" s="0" t="s">
        <v>1888</v>
      </c>
    </row>
    <row r="528" customFormat="false" ht="10.15" hidden="false" customHeight="false" outlineLevel="0" collapsed="false">
      <c r="A528" s="0" t="s">
        <v>364</v>
      </c>
      <c r="B528" s="0" t="s">
        <v>1889</v>
      </c>
    </row>
    <row r="529" customFormat="false" ht="10.15" hidden="false" customHeight="false" outlineLevel="0" collapsed="false">
      <c r="A529" s="0" t="s">
        <v>364</v>
      </c>
      <c r="B529" s="0" t="s">
        <v>1905</v>
      </c>
    </row>
    <row r="530" customFormat="false" ht="10.15" hidden="false" customHeight="false" outlineLevel="0" collapsed="false">
      <c r="A530" s="0" t="s">
        <v>364</v>
      </c>
      <c r="B530" s="0" t="s">
        <v>1906</v>
      </c>
    </row>
    <row r="531" customFormat="false" ht="10.15" hidden="false" customHeight="false" outlineLevel="0" collapsed="false">
      <c r="A531" s="0" t="s">
        <v>364</v>
      </c>
      <c r="B531" s="0" t="s">
        <v>1903</v>
      </c>
    </row>
    <row r="532" customFormat="false" ht="10.15" hidden="false" customHeight="false" outlineLevel="0" collapsed="false">
      <c r="A532" s="0" t="s">
        <v>364</v>
      </c>
      <c r="B532" s="0" t="s">
        <v>1893</v>
      </c>
    </row>
    <row r="533" customFormat="false" ht="10.15" hidden="false" customHeight="false" outlineLevel="0" collapsed="false">
      <c r="A533" s="0" t="s">
        <v>364</v>
      </c>
      <c r="B533" s="0" t="s">
        <v>1894</v>
      </c>
    </row>
    <row r="534" customFormat="false" ht="10.15" hidden="false" customHeight="false" outlineLevel="0" collapsed="false">
      <c r="A534" s="0" t="s">
        <v>364</v>
      </c>
      <c r="B534" s="0" t="s">
        <v>1895</v>
      </c>
    </row>
    <row r="535" customFormat="false" ht="10.15" hidden="false" customHeight="false" outlineLevel="0" collapsed="false">
      <c r="A535" s="0" t="s">
        <v>364</v>
      </c>
      <c r="B535" s="0" t="s">
        <v>1896</v>
      </c>
    </row>
    <row r="536" customFormat="false" ht="10.15" hidden="false" customHeight="false" outlineLevel="0" collapsed="false">
      <c r="A536" s="0" t="s">
        <v>364</v>
      </c>
      <c r="B536" s="0" t="s">
        <v>1897</v>
      </c>
    </row>
    <row r="537" customFormat="false" ht="10.15" hidden="false" customHeight="false" outlineLevel="0" collapsed="false">
      <c r="A537" s="0" t="s">
        <v>364</v>
      </c>
      <c r="B537" s="0" t="s">
        <v>1898</v>
      </c>
    </row>
    <row r="538" customFormat="false" ht="10.15" hidden="false" customHeight="false" outlineLevel="0" collapsed="false">
      <c r="A538" s="0" t="s">
        <v>364</v>
      </c>
      <c r="B538" s="0" t="s">
        <v>1907</v>
      </c>
    </row>
    <row r="539" customFormat="false" ht="10.15" hidden="false" customHeight="false" outlineLevel="0" collapsed="false">
      <c r="A539" s="0" t="s">
        <v>366</v>
      </c>
      <c r="B539" s="0" t="s">
        <v>1880</v>
      </c>
    </row>
    <row r="540" customFormat="false" ht="10.15" hidden="false" customHeight="false" outlineLevel="0" collapsed="false">
      <c r="A540" s="0" t="s">
        <v>366</v>
      </c>
      <c r="B540" s="0" t="s">
        <v>1881</v>
      </c>
    </row>
    <row r="541" customFormat="false" ht="10.15" hidden="false" customHeight="false" outlineLevel="0" collapsed="false">
      <c r="A541" s="0" t="s">
        <v>366</v>
      </c>
      <c r="B541" s="0" t="s">
        <v>1882</v>
      </c>
    </row>
    <row r="542" customFormat="false" ht="10.15" hidden="false" customHeight="false" outlineLevel="0" collapsed="false">
      <c r="A542" s="0" t="s">
        <v>366</v>
      </c>
      <c r="B542" s="0" t="s">
        <v>1883</v>
      </c>
    </row>
    <row r="543" customFormat="false" ht="10.15" hidden="false" customHeight="false" outlineLevel="0" collapsed="false">
      <c r="A543" s="0" t="s">
        <v>366</v>
      </c>
      <c r="B543" s="0" t="s">
        <v>1884</v>
      </c>
    </row>
    <row r="544" customFormat="false" ht="10.15" hidden="false" customHeight="false" outlineLevel="0" collapsed="false">
      <c r="A544" s="0" t="s">
        <v>366</v>
      </c>
      <c r="B544" s="0" t="s">
        <v>1899</v>
      </c>
    </row>
    <row r="545" customFormat="false" ht="10.15" hidden="false" customHeight="false" outlineLevel="0" collapsed="false">
      <c r="A545" s="0" t="s">
        <v>366</v>
      </c>
      <c r="B545" s="0" t="s">
        <v>1900</v>
      </c>
    </row>
    <row r="546" customFormat="false" ht="10.15" hidden="false" customHeight="false" outlineLevel="0" collapsed="false">
      <c r="A546" s="0" t="s">
        <v>366</v>
      </c>
      <c r="B546" s="0" t="s">
        <v>1886</v>
      </c>
    </row>
    <row r="547" customFormat="false" ht="10.15" hidden="false" customHeight="false" outlineLevel="0" collapsed="false">
      <c r="A547" s="0" t="s">
        <v>366</v>
      </c>
      <c r="B547" s="0" t="s">
        <v>1887</v>
      </c>
    </row>
    <row r="548" customFormat="false" ht="10.15" hidden="false" customHeight="false" outlineLevel="0" collapsed="false">
      <c r="A548" s="0" t="s">
        <v>366</v>
      </c>
      <c r="B548" s="0" t="s">
        <v>1888</v>
      </c>
    </row>
    <row r="549" customFormat="false" ht="10.15" hidden="false" customHeight="false" outlineLevel="0" collapsed="false">
      <c r="A549" s="0" t="s">
        <v>366</v>
      </c>
      <c r="B549" s="0" t="s">
        <v>1889</v>
      </c>
    </row>
    <row r="550" customFormat="false" ht="10.15" hidden="false" customHeight="false" outlineLevel="0" collapsed="false">
      <c r="A550" s="0" t="s">
        <v>366</v>
      </c>
      <c r="B550" s="0" t="s">
        <v>1905</v>
      </c>
    </row>
    <row r="551" customFormat="false" ht="10.15" hidden="false" customHeight="false" outlineLevel="0" collapsed="false">
      <c r="A551" s="0" t="s">
        <v>366</v>
      </c>
      <c r="B551" s="0" t="s">
        <v>1906</v>
      </c>
    </row>
    <row r="552" customFormat="false" ht="10.15" hidden="false" customHeight="false" outlineLevel="0" collapsed="false">
      <c r="A552" s="0" t="s">
        <v>366</v>
      </c>
      <c r="B552" s="0" t="s">
        <v>1903</v>
      </c>
    </row>
    <row r="553" customFormat="false" ht="10.15" hidden="false" customHeight="false" outlineLevel="0" collapsed="false">
      <c r="A553" s="0" t="s">
        <v>366</v>
      </c>
      <c r="B553" s="0" t="s">
        <v>1893</v>
      </c>
    </row>
    <row r="554" customFormat="false" ht="10.15" hidden="false" customHeight="false" outlineLevel="0" collapsed="false">
      <c r="A554" s="0" t="s">
        <v>366</v>
      </c>
      <c r="B554" s="0" t="s">
        <v>1894</v>
      </c>
    </row>
    <row r="555" customFormat="false" ht="10.15" hidden="false" customHeight="false" outlineLevel="0" collapsed="false">
      <c r="A555" s="0" t="s">
        <v>366</v>
      </c>
      <c r="B555" s="0" t="s">
        <v>1895</v>
      </c>
    </row>
    <row r="556" customFormat="false" ht="10.15" hidden="false" customHeight="false" outlineLevel="0" collapsed="false">
      <c r="A556" s="0" t="s">
        <v>366</v>
      </c>
      <c r="B556" s="0" t="s">
        <v>1896</v>
      </c>
    </row>
    <row r="557" customFormat="false" ht="10.15" hidden="false" customHeight="false" outlineLevel="0" collapsed="false">
      <c r="A557" s="0" t="s">
        <v>366</v>
      </c>
      <c r="B557" s="0" t="s">
        <v>1897</v>
      </c>
    </row>
    <row r="558" customFormat="false" ht="10.15" hidden="false" customHeight="false" outlineLevel="0" collapsed="false">
      <c r="A558" s="0" t="s">
        <v>366</v>
      </c>
      <c r="B558" s="0" t="s">
        <v>1898</v>
      </c>
    </row>
    <row r="559" customFormat="false" ht="10.15" hidden="false" customHeight="false" outlineLevel="0" collapsed="false">
      <c r="A559" s="0" t="s">
        <v>366</v>
      </c>
      <c r="B559" s="0" t="s">
        <v>1907</v>
      </c>
    </row>
    <row r="560" customFormat="false" ht="10.15" hidden="false" customHeight="false" outlineLevel="0" collapsed="false">
      <c r="A560" s="0" t="s">
        <v>367</v>
      </c>
      <c r="B560" s="0" t="s">
        <v>1880</v>
      </c>
    </row>
    <row r="561" customFormat="false" ht="10.15" hidden="false" customHeight="false" outlineLevel="0" collapsed="false">
      <c r="A561" s="0" t="s">
        <v>367</v>
      </c>
      <c r="B561" s="0" t="s">
        <v>1881</v>
      </c>
    </row>
    <row r="562" customFormat="false" ht="10.15" hidden="false" customHeight="false" outlineLevel="0" collapsed="false">
      <c r="A562" s="0" t="s">
        <v>367</v>
      </c>
      <c r="B562" s="0" t="s">
        <v>1882</v>
      </c>
    </row>
    <row r="563" customFormat="false" ht="10.15" hidden="false" customHeight="false" outlineLevel="0" collapsed="false">
      <c r="A563" s="0" t="s">
        <v>367</v>
      </c>
      <c r="B563" s="0" t="s">
        <v>1883</v>
      </c>
    </row>
    <row r="564" customFormat="false" ht="10.15" hidden="false" customHeight="false" outlineLevel="0" collapsed="false">
      <c r="A564" s="0" t="s">
        <v>367</v>
      </c>
      <c r="B564" s="0" t="s">
        <v>1884</v>
      </c>
    </row>
    <row r="565" customFormat="false" ht="10.15" hidden="false" customHeight="false" outlineLevel="0" collapsed="false">
      <c r="A565" s="0" t="s">
        <v>367</v>
      </c>
      <c r="B565" s="0" t="s">
        <v>1899</v>
      </c>
    </row>
    <row r="566" customFormat="false" ht="10.15" hidden="false" customHeight="false" outlineLevel="0" collapsed="false">
      <c r="A566" s="0" t="s">
        <v>367</v>
      </c>
      <c r="B566" s="0" t="s">
        <v>1900</v>
      </c>
    </row>
    <row r="567" customFormat="false" ht="10.15" hidden="false" customHeight="false" outlineLevel="0" collapsed="false">
      <c r="A567" s="0" t="s">
        <v>367</v>
      </c>
      <c r="B567" s="0" t="s">
        <v>1886</v>
      </c>
    </row>
    <row r="568" customFormat="false" ht="10.15" hidden="false" customHeight="false" outlineLevel="0" collapsed="false">
      <c r="A568" s="0" t="s">
        <v>367</v>
      </c>
      <c r="B568" s="0" t="s">
        <v>1887</v>
      </c>
      <c r="C568" s="0" t="s">
        <v>1912</v>
      </c>
    </row>
    <row r="569" customFormat="false" ht="10.15" hidden="false" customHeight="false" outlineLevel="0" collapsed="false">
      <c r="A569" s="0" t="s">
        <v>367</v>
      </c>
      <c r="B569" s="0" t="s">
        <v>1888</v>
      </c>
    </row>
    <row r="570" customFormat="false" ht="10.15" hidden="false" customHeight="false" outlineLevel="0" collapsed="false">
      <c r="A570" s="0" t="s">
        <v>367</v>
      </c>
      <c r="B570" s="0" t="s">
        <v>1889</v>
      </c>
    </row>
    <row r="571" customFormat="false" ht="10.15" hidden="false" customHeight="false" outlineLevel="0" collapsed="false">
      <c r="A571" s="0" t="s">
        <v>367</v>
      </c>
      <c r="B571" s="0" t="s">
        <v>1905</v>
      </c>
    </row>
    <row r="572" customFormat="false" ht="10.15" hidden="false" customHeight="false" outlineLevel="0" collapsed="false">
      <c r="A572" s="0" t="s">
        <v>367</v>
      </c>
      <c r="B572" s="0" t="s">
        <v>1906</v>
      </c>
    </row>
    <row r="573" customFormat="false" ht="10.15" hidden="false" customHeight="false" outlineLevel="0" collapsed="false">
      <c r="A573" s="0" t="s">
        <v>367</v>
      </c>
      <c r="B573" s="0" t="s">
        <v>1903</v>
      </c>
      <c r="C573" s="0" t="s">
        <v>1912</v>
      </c>
    </row>
    <row r="574" customFormat="false" ht="10.15" hidden="false" customHeight="false" outlineLevel="0" collapsed="false">
      <c r="A574" s="0" t="s">
        <v>367</v>
      </c>
      <c r="B574" s="0" t="s">
        <v>1893</v>
      </c>
    </row>
    <row r="575" customFormat="false" ht="10.15" hidden="false" customHeight="false" outlineLevel="0" collapsed="false">
      <c r="A575" s="0" t="s">
        <v>367</v>
      </c>
      <c r="B575" s="0" t="s">
        <v>1894</v>
      </c>
    </row>
    <row r="576" customFormat="false" ht="10.15" hidden="false" customHeight="false" outlineLevel="0" collapsed="false">
      <c r="A576" s="0" t="s">
        <v>367</v>
      </c>
      <c r="B576" s="0" t="s">
        <v>1895</v>
      </c>
    </row>
    <row r="577" customFormat="false" ht="10.15" hidden="false" customHeight="false" outlineLevel="0" collapsed="false">
      <c r="A577" s="0" t="s">
        <v>367</v>
      </c>
      <c r="B577" s="0" t="s">
        <v>1896</v>
      </c>
    </row>
    <row r="578" customFormat="false" ht="10.15" hidden="false" customHeight="false" outlineLevel="0" collapsed="false">
      <c r="A578" s="0" t="s">
        <v>367</v>
      </c>
      <c r="B578" s="0" t="s">
        <v>1897</v>
      </c>
    </row>
    <row r="579" customFormat="false" ht="10.15" hidden="false" customHeight="false" outlineLevel="0" collapsed="false">
      <c r="A579" s="0" t="s">
        <v>367</v>
      </c>
      <c r="B579" s="0" t="s">
        <v>1898</v>
      </c>
    </row>
    <row r="580" customFormat="false" ht="10.15" hidden="false" customHeight="false" outlineLevel="0" collapsed="false">
      <c r="A580" s="0" t="s">
        <v>367</v>
      </c>
      <c r="B580" s="0" t="s">
        <v>1907</v>
      </c>
    </row>
    <row r="581" customFormat="false" ht="10.15" hidden="false" customHeight="false" outlineLevel="0" collapsed="false">
      <c r="A581" s="0" t="s">
        <v>367</v>
      </c>
      <c r="B581" s="0" t="s">
        <v>1908</v>
      </c>
      <c r="C581" s="0" t="s">
        <v>1912</v>
      </c>
    </row>
    <row r="582" customFormat="false" ht="10.15" hidden="false" customHeight="false" outlineLevel="0" collapsed="false">
      <c r="A582" s="0" t="s">
        <v>369</v>
      </c>
      <c r="B582" s="0" t="s">
        <v>1880</v>
      </c>
    </row>
    <row r="583" customFormat="false" ht="10.15" hidden="false" customHeight="false" outlineLevel="0" collapsed="false">
      <c r="A583" s="0" t="s">
        <v>369</v>
      </c>
      <c r="B583" s="0" t="s">
        <v>1881</v>
      </c>
    </row>
    <row r="584" customFormat="false" ht="10.15" hidden="false" customHeight="false" outlineLevel="0" collapsed="false">
      <c r="A584" s="0" t="s">
        <v>369</v>
      </c>
      <c r="B584" s="0" t="s">
        <v>1882</v>
      </c>
    </row>
    <row r="585" customFormat="false" ht="10.15" hidden="false" customHeight="false" outlineLevel="0" collapsed="false">
      <c r="A585" s="0" t="s">
        <v>369</v>
      </c>
      <c r="B585" s="0" t="s">
        <v>1883</v>
      </c>
    </row>
    <row r="586" customFormat="false" ht="10.15" hidden="false" customHeight="false" outlineLevel="0" collapsed="false">
      <c r="A586" s="0" t="s">
        <v>369</v>
      </c>
      <c r="B586" s="0" t="s">
        <v>1884</v>
      </c>
    </row>
    <row r="587" customFormat="false" ht="10.15" hidden="false" customHeight="false" outlineLevel="0" collapsed="false">
      <c r="A587" s="0" t="s">
        <v>369</v>
      </c>
      <c r="B587" s="0" t="s">
        <v>1899</v>
      </c>
    </row>
    <row r="588" customFormat="false" ht="10.15" hidden="false" customHeight="false" outlineLevel="0" collapsed="false">
      <c r="A588" s="0" t="s">
        <v>369</v>
      </c>
      <c r="B588" s="0" t="s">
        <v>1900</v>
      </c>
    </row>
    <row r="589" customFormat="false" ht="10.15" hidden="false" customHeight="false" outlineLevel="0" collapsed="false">
      <c r="A589" s="0" t="s">
        <v>369</v>
      </c>
      <c r="B589" s="0" t="s">
        <v>1886</v>
      </c>
    </row>
    <row r="590" customFormat="false" ht="10.15" hidden="false" customHeight="false" outlineLevel="0" collapsed="false">
      <c r="A590" s="0" t="s">
        <v>369</v>
      </c>
      <c r="B590" s="0" t="s">
        <v>1887</v>
      </c>
    </row>
    <row r="591" customFormat="false" ht="10.15" hidden="false" customHeight="false" outlineLevel="0" collapsed="false">
      <c r="A591" s="0" t="s">
        <v>369</v>
      </c>
      <c r="B591" s="0" t="s">
        <v>1888</v>
      </c>
    </row>
    <row r="592" customFormat="false" ht="10.15" hidden="false" customHeight="false" outlineLevel="0" collapsed="false">
      <c r="A592" s="0" t="s">
        <v>369</v>
      </c>
      <c r="B592" s="0" t="s">
        <v>1889</v>
      </c>
    </row>
    <row r="593" customFormat="false" ht="10.15" hidden="false" customHeight="false" outlineLevel="0" collapsed="false">
      <c r="A593" s="0" t="s">
        <v>369</v>
      </c>
      <c r="B593" s="0" t="s">
        <v>1905</v>
      </c>
    </row>
    <row r="594" customFormat="false" ht="10.15" hidden="false" customHeight="false" outlineLevel="0" collapsed="false">
      <c r="A594" s="0" t="s">
        <v>369</v>
      </c>
      <c r="B594" s="0" t="s">
        <v>1906</v>
      </c>
    </row>
    <row r="595" customFormat="false" ht="10.15" hidden="false" customHeight="false" outlineLevel="0" collapsed="false">
      <c r="A595" s="0" t="s">
        <v>369</v>
      </c>
      <c r="B595" s="0" t="s">
        <v>1903</v>
      </c>
      <c r="C595" s="0" t="s">
        <v>1912</v>
      </c>
    </row>
    <row r="596" customFormat="false" ht="10.15" hidden="false" customHeight="false" outlineLevel="0" collapsed="false">
      <c r="A596" s="0" t="s">
        <v>369</v>
      </c>
      <c r="B596" s="0" t="s">
        <v>1893</v>
      </c>
    </row>
    <row r="597" customFormat="false" ht="10.15" hidden="false" customHeight="false" outlineLevel="0" collapsed="false">
      <c r="A597" s="0" t="s">
        <v>369</v>
      </c>
      <c r="B597" s="0" t="s">
        <v>1894</v>
      </c>
    </row>
    <row r="598" customFormat="false" ht="10.15" hidden="false" customHeight="false" outlineLevel="0" collapsed="false">
      <c r="A598" s="0" t="s">
        <v>369</v>
      </c>
      <c r="B598" s="0" t="s">
        <v>1895</v>
      </c>
    </row>
    <row r="599" customFormat="false" ht="10.15" hidden="false" customHeight="false" outlineLevel="0" collapsed="false">
      <c r="A599" s="0" t="s">
        <v>369</v>
      </c>
      <c r="B599" s="0" t="s">
        <v>1896</v>
      </c>
    </row>
    <row r="600" customFormat="false" ht="10.15" hidden="false" customHeight="false" outlineLevel="0" collapsed="false">
      <c r="A600" s="0" t="s">
        <v>369</v>
      </c>
      <c r="B600" s="0" t="s">
        <v>1897</v>
      </c>
    </row>
    <row r="601" customFormat="false" ht="10.15" hidden="false" customHeight="false" outlineLevel="0" collapsed="false">
      <c r="A601" s="0" t="s">
        <v>369</v>
      </c>
      <c r="B601" s="0" t="s">
        <v>1898</v>
      </c>
    </row>
    <row r="602" customFormat="false" ht="10.15" hidden="false" customHeight="false" outlineLevel="0" collapsed="false">
      <c r="A602" s="0" t="s">
        <v>369</v>
      </c>
      <c r="B602" s="0" t="s">
        <v>1907</v>
      </c>
      <c r="C602" s="0" t="s">
        <v>1912</v>
      </c>
    </row>
    <row r="603" customFormat="false" ht="10.15" hidden="false" customHeight="false" outlineLevel="0" collapsed="false">
      <c r="A603" s="0" t="s">
        <v>369</v>
      </c>
      <c r="B603" s="0" t="s">
        <v>1908</v>
      </c>
      <c r="C603" s="0" t="s">
        <v>1912</v>
      </c>
    </row>
    <row r="604" customFormat="false" ht="10.15" hidden="false" customHeight="false" outlineLevel="0" collapsed="false">
      <c r="A604" s="0" t="s">
        <v>371</v>
      </c>
      <c r="B604" s="0" t="s">
        <v>1880</v>
      </c>
    </row>
    <row r="605" customFormat="false" ht="10.15" hidden="false" customHeight="false" outlineLevel="0" collapsed="false">
      <c r="A605" s="0" t="s">
        <v>371</v>
      </c>
      <c r="B605" s="0" t="s">
        <v>1881</v>
      </c>
    </row>
    <row r="606" customFormat="false" ht="10.15" hidden="false" customHeight="false" outlineLevel="0" collapsed="false">
      <c r="A606" s="0" t="s">
        <v>371</v>
      </c>
      <c r="B606" s="0" t="s">
        <v>1882</v>
      </c>
    </row>
    <row r="607" customFormat="false" ht="10.15" hidden="false" customHeight="false" outlineLevel="0" collapsed="false">
      <c r="A607" s="0" t="s">
        <v>371</v>
      </c>
      <c r="B607" s="0" t="s">
        <v>1883</v>
      </c>
    </row>
    <row r="608" customFormat="false" ht="10.15" hidden="false" customHeight="false" outlineLevel="0" collapsed="false">
      <c r="A608" s="0" t="s">
        <v>371</v>
      </c>
      <c r="B608" s="0" t="s">
        <v>1884</v>
      </c>
    </row>
    <row r="609" customFormat="false" ht="10.15" hidden="false" customHeight="false" outlineLevel="0" collapsed="false">
      <c r="A609" s="0" t="s">
        <v>371</v>
      </c>
      <c r="B609" s="0" t="s">
        <v>1899</v>
      </c>
    </row>
    <row r="610" customFormat="false" ht="10.15" hidden="false" customHeight="false" outlineLevel="0" collapsed="false">
      <c r="A610" s="0" t="s">
        <v>371</v>
      </c>
      <c r="B610" s="0" t="s">
        <v>1900</v>
      </c>
    </row>
    <row r="611" customFormat="false" ht="10.15" hidden="false" customHeight="false" outlineLevel="0" collapsed="false">
      <c r="A611" s="0" t="s">
        <v>371</v>
      </c>
      <c r="B611" s="0" t="s">
        <v>1901</v>
      </c>
    </row>
    <row r="612" customFormat="false" ht="10.15" hidden="false" customHeight="false" outlineLevel="0" collapsed="false">
      <c r="A612" s="0" t="s">
        <v>371</v>
      </c>
      <c r="B612" s="0" t="s">
        <v>1886</v>
      </c>
    </row>
    <row r="613" customFormat="false" ht="10.15" hidden="false" customHeight="false" outlineLevel="0" collapsed="false">
      <c r="A613" s="0" t="s">
        <v>371</v>
      </c>
      <c r="B613" s="0" t="s">
        <v>1887</v>
      </c>
    </row>
    <row r="614" customFormat="false" ht="10.15" hidden="false" customHeight="false" outlineLevel="0" collapsed="false">
      <c r="A614" s="0" t="s">
        <v>371</v>
      </c>
      <c r="B614" s="0" t="s">
        <v>1888</v>
      </c>
    </row>
    <row r="615" customFormat="false" ht="10.15" hidden="false" customHeight="false" outlineLevel="0" collapsed="false">
      <c r="A615" s="0" t="s">
        <v>371</v>
      </c>
      <c r="B615" s="0" t="s">
        <v>1889</v>
      </c>
    </row>
    <row r="616" customFormat="false" ht="10.15" hidden="false" customHeight="false" outlineLevel="0" collapsed="false">
      <c r="A616" s="0" t="s">
        <v>371</v>
      </c>
      <c r="B616" s="0" t="s">
        <v>1905</v>
      </c>
    </row>
    <row r="617" customFormat="false" ht="10.15" hidden="false" customHeight="false" outlineLevel="0" collapsed="false">
      <c r="A617" s="0" t="s">
        <v>371</v>
      </c>
      <c r="B617" s="0" t="s">
        <v>1906</v>
      </c>
    </row>
    <row r="618" customFormat="false" ht="10.15" hidden="false" customHeight="false" outlineLevel="0" collapsed="false">
      <c r="A618" s="0" t="s">
        <v>371</v>
      </c>
      <c r="B618" s="0" t="s">
        <v>1903</v>
      </c>
    </row>
    <row r="619" customFormat="false" ht="10.15" hidden="false" customHeight="false" outlineLevel="0" collapsed="false">
      <c r="A619" s="0" t="s">
        <v>371</v>
      </c>
      <c r="B619" s="0" t="s">
        <v>1890</v>
      </c>
    </row>
    <row r="620" customFormat="false" ht="10.15" hidden="false" customHeight="false" outlineLevel="0" collapsed="false">
      <c r="A620" s="0" t="s">
        <v>371</v>
      </c>
      <c r="B620" s="0" t="s">
        <v>1893</v>
      </c>
    </row>
    <row r="621" customFormat="false" ht="10.15" hidden="false" customHeight="false" outlineLevel="0" collapsed="false">
      <c r="A621" s="0" t="s">
        <v>371</v>
      </c>
      <c r="B621" s="0" t="s">
        <v>1894</v>
      </c>
    </row>
    <row r="622" customFormat="false" ht="10.15" hidden="false" customHeight="false" outlineLevel="0" collapsed="false">
      <c r="A622" s="0" t="s">
        <v>371</v>
      </c>
      <c r="B622" s="0" t="s">
        <v>1895</v>
      </c>
    </row>
    <row r="623" customFormat="false" ht="10.15" hidden="false" customHeight="false" outlineLevel="0" collapsed="false">
      <c r="A623" s="0" t="s">
        <v>371</v>
      </c>
      <c r="B623" s="0" t="s">
        <v>1896</v>
      </c>
    </row>
    <row r="624" customFormat="false" ht="10.15" hidden="false" customHeight="false" outlineLevel="0" collapsed="false">
      <c r="A624" s="0" t="s">
        <v>371</v>
      </c>
      <c r="B624" s="0" t="s">
        <v>1897</v>
      </c>
    </row>
    <row r="625" customFormat="false" ht="10.15" hidden="false" customHeight="false" outlineLevel="0" collapsed="false">
      <c r="A625" s="0" t="s">
        <v>371</v>
      </c>
      <c r="B625" s="0" t="s">
        <v>1898</v>
      </c>
    </row>
    <row r="626" customFormat="false" ht="10.15" hidden="false" customHeight="false" outlineLevel="0" collapsed="false">
      <c r="A626" s="0" t="s">
        <v>371</v>
      </c>
      <c r="B626" s="0" t="s">
        <v>1907</v>
      </c>
    </row>
    <row r="627" customFormat="false" ht="10.15" hidden="false" customHeight="false" outlineLevel="0" collapsed="false">
      <c r="A627" s="0" t="s">
        <v>371</v>
      </c>
      <c r="B627" s="0" t="s">
        <v>1908</v>
      </c>
    </row>
    <row r="628" customFormat="false" ht="10.15" hidden="false" customHeight="false" outlineLevel="0" collapsed="false">
      <c r="A628" s="0" t="s">
        <v>371</v>
      </c>
      <c r="B628" s="0" t="s">
        <v>1909</v>
      </c>
    </row>
    <row r="629" customFormat="false" ht="10.15" hidden="false" customHeight="false" outlineLevel="0" collapsed="false">
      <c r="A629" s="0" t="s">
        <v>372</v>
      </c>
      <c r="B629" s="0" t="s">
        <v>1880</v>
      </c>
    </row>
    <row r="630" customFormat="false" ht="10.15" hidden="false" customHeight="false" outlineLevel="0" collapsed="false">
      <c r="A630" s="0" t="s">
        <v>372</v>
      </c>
      <c r="B630" s="0" t="s">
        <v>1881</v>
      </c>
    </row>
    <row r="631" customFormat="false" ht="10.15" hidden="false" customHeight="false" outlineLevel="0" collapsed="false">
      <c r="A631" s="0" t="s">
        <v>372</v>
      </c>
      <c r="B631" s="0" t="s">
        <v>1882</v>
      </c>
    </row>
    <row r="632" customFormat="false" ht="10.15" hidden="false" customHeight="false" outlineLevel="0" collapsed="false">
      <c r="A632" s="0" t="s">
        <v>372</v>
      </c>
      <c r="B632" s="0" t="s">
        <v>1883</v>
      </c>
    </row>
    <row r="633" customFormat="false" ht="10.15" hidden="false" customHeight="false" outlineLevel="0" collapsed="false">
      <c r="A633" s="0" t="s">
        <v>372</v>
      </c>
      <c r="B633" s="0" t="s">
        <v>1884</v>
      </c>
    </row>
    <row r="634" customFormat="false" ht="10.15" hidden="false" customHeight="false" outlineLevel="0" collapsed="false">
      <c r="A634" s="0" t="s">
        <v>372</v>
      </c>
      <c r="B634" s="0" t="s">
        <v>1899</v>
      </c>
    </row>
    <row r="635" customFormat="false" ht="10.15" hidden="false" customHeight="false" outlineLevel="0" collapsed="false">
      <c r="A635" s="0" t="s">
        <v>372</v>
      </c>
      <c r="B635" s="0" t="s">
        <v>1900</v>
      </c>
    </row>
    <row r="636" customFormat="false" ht="10.15" hidden="false" customHeight="false" outlineLevel="0" collapsed="false">
      <c r="A636" s="0" t="s">
        <v>372</v>
      </c>
      <c r="B636" s="0" t="s">
        <v>1901</v>
      </c>
    </row>
    <row r="637" customFormat="false" ht="10.15" hidden="false" customHeight="false" outlineLevel="0" collapsed="false">
      <c r="A637" s="0" t="s">
        <v>372</v>
      </c>
      <c r="B637" s="0" t="s">
        <v>1902</v>
      </c>
    </row>
    <row r="638" customFormat="false" ht="10.15" hidden="false" customHeight="false" outlineLevel="0" collapsed="false">
      <c r="A638" s="0" t="s">
        <v>372</v>
      </c>
      <c r="B638" s="0" t="s">
        <v>1885</v>
      </c>
    </row>
    <row r="639" customFormat="false" ht="10.15" hidden="false" customHeight="false" outlineLevel="0" collapsed="false">
      <c r="A639" s="0" t="s">
        <v>372</v>
      </c>
      <c r="B639" s="0" t="s">
        <v>1886</v>
      </c>
    </row>
    <row r="640" customFormat="false" ht="10.15" hidden="false" customHeight="false" outlineLevel="0" collapsed="false">
      <c r="A640" s="0" t="s">
        <v>372</v>
      </c>
      <c r="B640" s="0" t="s">
        <v>1887</v>
      </c>
    </row>
    <row r="641" customFormat="false" ht="10.15" hidden="false" customHeight="false" outlineLevel="0" collapsed="false">
      <c r="A641" s="0" t="s">
        <v>372</v>
      </c>
      <c r="B641" s="0" t="s">
        <v>1888</v>
      </c>
    </row>
    <row r="642" customFormat="false" ht="10.15" hidden="false" customHeight="false" outlineLevel="0" collapsed="false">
      <c r="A642" s="0" t="s">
        <v>372</v>
      </c>
      <c r="B642" s="0" t="s">
        <v>1889</v>
      </c>
    </row>
    <row r="643" customFormat="false" ht="10.15" hidden="false" customHeight="false" outlineLevel="0" collapsed="false">
      <c r="A643" s="0" t="s">
        <v>372</v>
      </c>
      <c r="B643" s="0" t="s">
        <v>1905</v>
      </c>
    </row>
    <row r="644" customFormat="false" ht="10.15" hidden="false" customHeight="false" outlineLevel="0" collapsed="false">
      <c r="A644" s="0" t="s">
        <v>372</v>
      </c>
      <c r="B644" s="0" t="s">
        <v>1906</v>
      </c>
    </row>
    <row r="645" customFormat="false" ht="10.15" hidden="false" customHeight="false" outlineLevel="0" collapsed="false">
      <c r="A645" s="0" t="s">
        <v>372</v>
      </c>
      <c r="B645" s="0" t="s">
        <v>1903</v>
      </c>
    </row>
    <row r="646" customFormat="false" ht="10.15" hidden="false" customHeight="false" outlineLevel="0" collapsed="false">
      <c r="A646" s="0" t="s">
        <v>372</v>
      </c>
      <c r="B646" s="0" t="s">
        <v>1890</v>
      </c>
    </row>
    <row r="647" customFormat="false" ht="10.15" hidden="false" customHeight="false" outlineLevel="0" collapsed="false">
      <c r="A647" s="0" t="s">
        <v>372</v>
      </c>
      <c r="B647" s="0" t="s">
        <v>1893</v>
      </c>
    </row>
    <row r="648" customFormat="false" ht="10.15" hidden="false" customHeight="false" outlineLevel="0" collapsed="false">
      <c r="A648" s="0" t="s">
        <v>372</v>
      </c>
      <c r="B648" s="0" t="s">
        <v>1894</v>
      </c>
    </row>
    <row r="649" customFormat="false" ht="10.15" hidden="false" customHeight="false" outlineLevel="0" collapsed="false">
      <c r="A649" s="0" t="s">
        <v>372</v>
      </c>
      <c r="B649" s="0" t="s">
        <v>1895</v>
      </c>
    </row>
    <row r="650" customFormat="false" ht="10.15" hidden="false" customHeight="false" outlineLevel="0" collapsed="false">
      <c r="A650" s="0" t="s">
        <v>372</v>
      </c>
      <c r="B650" s="0" t="s">
        <v>1896</v>
      </c>
    </row>
    <row r="651" customFormat="false" ht="10.15" hidden="false" customHeight="false" outlineLevel="0" collapsed="false">
      <c r="A651" s="0" t="s">
        <v>372</v>
      </c>
      <c r="B651" s="0" t="s">
        <v>1897</v>
      </c>
    </row>
    <row r="652" customFormat="false" ht="10.15" hidden="false" customHeight="false" outlineLevel="0" collapsed="false">
      <c r="A652" s="0" t="s">
        <v>372</v>
      </c>
      <c r="B652" s="0" t="s">
        <v>1898</v>
      </c>
    </row>
    <row r="653" customFormat="false" ht="10.15" hidden="false" customHeight="false" outlineLevel="0" collapsed="false">
      <c r="A653" s="0" t="s">
        <v>372</v>
      </c>
      <c r="B653" s="0" t="s">
        <v>1907</v>
      </c>
    </row>
    <row r="654" customFormat="false" ht="10.15" hidden="false" customHeight="false" outlineLevel="0" collapsed="false">
      <c r="A654" s="0" t="s">
        <v>397</v>
      </c>
      <c r="B654" s="0" t="s">
        <v>1880</v>
      </c>
    </row>
    <row r="655" customFormat="false" ht="10.15" hidden="false" customHeight="false" outlineLevel="0" collapsed="false">
      <c r="A655" s="0" t="s">
        <v>397</v>
      </c>
      <c r="B655" s="0" t="s">
        <v>1881</v>
      </c>
    </row>
    <row r="656" customFormat="false" ht="10.15" hidden="false" customHeight="false" outlineLevel="0" collapsed="false">
      <c r="A656" s="0" t="s">
        <v>397</v>
      </c>
      <c r="B656" s="0" t="s">
        <v>1882</v>
      </c>
    </row>
    <row r="657" customFormat="false" ht="10.15" hidden="false" customHeight="false" outlineLevel="0" collapsed="false">
      <c r="A657" s="0" t="s">
        <v>397</v>
      </c>
      <c r="B657" s="0" t="s">
        <v>1883</v>
      </c>
    </row>
    <row r="658" customFormat="false" ht="10.15" hidden="false" customHeight="false" outlineLevel="0" collapsed="false">
      <c r="A658" s="0" t="s">
        <v>397</v>
      </c>
      <c r="B658" s="0" t="s">
        <v>1884</v>
      </c>
    </row>
    <row r="659" customFormat="false" ht="10.15" hidden="false" customHeight="false" outlineLevel="0" collapsed="false">
      <c r="A659" s="0" t="s">
        <v>397</v>
      </c>
      <c r="B659" s="0" t="s">
        <v>1899</v>
      </c>
    </row>
    <row r="660" customFormat="false" ht="10.15" hidden="false" customHeight="false" outlineLevel="0" collapsed="false">
      <c r="A660" s="0" t="s">
        <v>398</v>
      </c>
      <c r="B660" s="0" t="s">
        <v>1880</v>
      </c>
    </row>
    <row r="661" customFormat="false" ht="10.15" hidden="false" customHeight="false" outlineLevel="0" collapsed="false">
      <c r="A661" s="0" t="s">
        <v>398</v>
      </c>
      <c r="B661" s="0" t="s">
        <v>1881</v>
      </c>
    </row>
    <row r="662" customFormat="false" ht="10.15" hidden="false" customHeight="false" outlineLevel="0" collapsed="false">
      <c r="A662" s="0" t="s">
        <v>398</v>
      </c>
      <c r="B662" s="0" t="s">
        <v>1882</v>
      </c>
    </row>
    <row r="663" customFormat="false" ht="10.15" hidden="false" customHeight="false" outlineLevel="0" collapsed="false">
      <c r="A663" s="0" t="s">
        <v>398</v>
      </c>
      <c r="B663" s="0" t="s">
        <v>1883</v>
      </c>
    </row>
    <row r="664" customFormat="false" ht="10.15" hidden="false" customHeight="false" outlineLevel="0" collapsed="false">
      <c r="A664" s="0" t="s">
        <v>398</v>
      </c>
      <c r="B664" s="0" t="s">
        <v>1884</v>
      </c>
    </row>
    <row r="665" customFormat="false" ht="10.15" hidden="false" customHeight="false" outlineLevel="0" collapsed="false">
      <c r="A665" s="0" t="s">
        <v>398</v>
      </c>
      <c r="B665" s="0" t="s">
        <v>1899</v>
      </c>
    </row>
    <row r="666" customFormat="false" ht="10.15" hidden="false" customHeight="false" outlineLevel="0" collapsed="false">
      <c r="A666" s="0" t="s">
        <v>398</v>
      </c>
      <c r="B666" s="0" t="s">
        <v>1900</v>
      </c>
    </row>
    <row r="667" customFormat="false" ht="10.15" hidden="false" customHeight="false" outlineLevel="0" collapsed="false">
      <c r="A667" s="0" t="s">
        <v>398</v>
      </c>
      <c r="B667" s="0" t="s">
        <v>1901</v>
      </c>
    </row>
    <row r="668" customFormat="false" ht="10.15" hidden="false" customHeight="false" outlineLevel="0" collapsed="false">
      <c r="A668" s="0" t="s">
        <v>398</v>
      </c>
      <c r="B668" s="0" t="s">
        <v>1901</v>
      </c>
      <c r="C668" s="0" t="s">
        <v>1904</v>
      </c>
    </row>
    <row r="669" customFormat="false" ht="10.15" hidden="false" customHeight="false" outlineLevel="0" collapsed="false">
      <c r="A669" s="0" t="s">
        <v>398</v>
      </c>
      <c r="B669" s="0" t="s">
        <v>1902</v>
      </c>
      <c r="C669" s="0" t="s">
        <v>1904</v>
      </c>
    </row>
    <row r="670" customFormat="false" ht="10.15" hidden="false" customHeight="false" outlineLevel="0" collapsed="false">
      <c r="A670" s="0" t="s">
        <v>398</v>
      </c>
      <c r="B670" s="0" t="s">
        <v>1886</v>
      </c>
      <c r="C670" s="0" t="s">
        <v>1904</v>
      </c>
    </row>
    <row r="671" customFormat="false" ht="10.15" hidden="false" customHeight="false" outlineLevel="0" collapsed="false">
      <c r="A671" s="0" t="s">
        <v>398</v>
      </c>
      <c r="B671" s="0" t="s">
        <v>1887</v>
      </c>
      <c r="C671" s="0" t="s">
        <v>1904</v>
      </c>
    </row>
    <row r="672" customFormat="false" ht="10.15" hidden="false" customHeight="false" outlineLevel="0" collapsed="false">
      <c r="A672" s="0" t="s">
        <v>401</v>
      </c>
      <c r="B672" s="0" t="s">
        <v>1880</v>
      </c>
    </row>
    <row r="673" customFormat="false" ht="10.15" hidden="false" customHeight="false" outlineLevel="0" collapsed="false">
      <c r="A673" s="0" t="s">
        <v>401</v>
      </c>
      <c r="B673" s="0" t="s">
        <v>1881</v>
      </c>
    </row>
    <row r="674" customFormat="false" ht="10.15" hidden="false" customHeight="false" outlineLevel="0" collapsed="false">
      <c r="A674" s="0" t="s">
        <v>401</v>
      </c>
      <c r="B674" s="0" t="s">
        <v>1882</v>
      </c>
    </row>
    <row r="675" customFormat="false" ht="10.15" hidden="false" customHeight="false" outlineLevel="0" collapsed="false">
      <c r="A675" s="0" t="s">
        <v>401</v>
      </c>
      <c r="B675" s="0" t="s">
        <v>1883</v>
      </c>
    </row>
    <row r="676" customFormat="false" ht="10.15" hidden="false" customHeight="false" outlineLevel="0" collapsed="false">
      <c r="A676" s="0" t="s">
        <v>401</v>
      </c>
      <c r="B676" s="0" t="s">
        <v>1884</v>
      </c>
    </row>
    <row r="677" customFormat="false" ht="10.15" hidden="false" customHeight="false" outlineLevel="0" collapsed="false">
      <c r="A677" s="0" t="s">
        <v>401</v>
      </c>
      <c r="B677" s="0" t="s">
        <v>1899</v>
      </c>
    </row>
    <row r="678" customFormat="false" ht="10.15" hidden="false" customHeight="false" outlineLevel="0" collapsed="false">
      <c r="A678" s="0" t="s">
        <v>373</v>
      </c>
      <c r="B678" s="0" t="s">
        <v>1880</v>
      </c>
    </row>
    <row r="679" customFormat="false" ht="10.15" hidden="false" customHeight="false" outlineLevel="0" collapsed="false">
      <c r="A679" s="0" t="s">
        <v>373</v>
      </c>
      <c r="B679" s="0" t="s">
        <v>1881</v>
      </c>
    </row>
    <row r="680" customFormat="false" ht="10.15" hidden="false" customHeight="false" outlineLevel="0" collapsed="false">
      <c r="A680" s="0" t="s">
        <v>373</v>
      </c>
      <c r="B680" s="0" t="s">
        <v>1882</v>
      </c>
    </row>
    <row r="681" customFormat="false" ht="10.15" hidden="false" customHeight="false" outlineLevel="0" collapsed="false">
      <c r="A681" s="0" t="s">
        <v>373</v>
      </c>
      <c r="B681" s="0" t="s">
        <v>1883</v>
      </c>
    </row>
    <row r="682" customFormat="false" ht="10.15" hidden="false" customHeight="false" outlineLevel="0" collapsed="false">
      <c r="A682" s="0" t="s">
        <v>373</v>
      </c>
      <c r="B682" s="0" t="s">
        <v>1884</v>
      </c>
    </row>
    <row r="683" customFormat="false" ht="10.15" hidden="false" customHeight="false" outlineLevel="0" collapsed="false">
      <c r="A683" s="0" t="s">
        <v>373</v>
      </c>
      <c r="B683" s="0" t="s">
        <v>1899</v>
      </c>
    </row>
    <row r="684" customFormat="false" ht="10.15" hidden="false" customHeight="false" outlineLevel="0" collapsed="false">
      <c r="A684" s="0" t="s">
        <v>373</v>
      </c>
      <c r="B684" s="0" t="s">
        <v>1900</v>
      </c>
    </row>
    <row r="685" customFormat="false" ht="10.15" hidden="false" customHeight="false" outlineLevel="0" collapsed="false">
      <c r="A685" s="0" t="s">
        <v>373</v>
      </c>
      <c r="B685" s="0" t="s">
        <v>1901</v>
      </c>
    </row>
    <row r="686" customFormat="false" ht="10.15" hidden="false" customHeight="false" outlineLevel="0" collapsed="false">
      <c r="A686" s="0" t="s">
        <v>373</v>
      </c>
      <c r="B686" s="0" t="s">
        <v>1902</v>
      </c>
    </row>
    <row r="687" customFormat="false" ht="10.15" hidden="false" customHeight="false" outlineLevel="0" collapsed="false">
      <c r="A687" s="0" t="s">
        <v>373</v>
      </c>
      <c r="B687" s="0" t="s">
        <v>1885</v>
      </c>
    </row>
    <row r="688" customFormat="false" ht="10.15" hidden="false" customHeight="false" outlineLevel="0" collapsed="false">
      <c r="A688" s="0" t="s">
        <v>373</v>
      </c>
      <c r="B688" s="0" t="s">
        <v>1886</v>
      </c>
    </row>
    <row r="689" customFormat="false" ht="10.15" hidden="false" customHeight="false" outlineLevel="0" collapsed="false">
      <c r="A689" s="0" t="s">
        <v>373</v>
      </c>
      <c r="B689" s="0" t="s">
        <v>1887</v>
      </c>
    </row>
    <row r="690" customFormat="false" ht="10.15" hidden="false" customHeight="false" outlineLevel="0" collapsed="false">
      <c r="A690" s="0" t="s">
        <v>373</v>
      </c>
      <c r="B690" s="0" t="s">
        <v>1888</v>
      </c>
    </row>
    <row r="691" customFormat="false" ht="10.15" hidden="false" customHeight="false" outlineLevel="0" collapsed="false">
      <c r="A691" s="0" t="s">
        <v>373</v>
      </c>
      <c r="B691" s="0" t="s">
        <v>1889</v>
      </c>
    </row>
    <row r="692" customFormat="false" ht="10.15" hidden="false" customHeight="false" outlineLevel="0" collapsed="false">
      <c r="A692" s="0" t="s">
        <v>373</v>
      </c>
      <c r="B692" s="0" t="s">
        <v>1905</v>
      </c>
    </row>
    <row r="693" customFormat="false" ht="10.15" hidden="false" customHeight="false" outlineLevel="0" collapsed="false">
      <c r="A693" s="0" t="s">
        <v>373</v>
      </c>
      <c r="B693" s="0" t="s">
        <v>1906</v>
      </c>
    </row>
    <row r="694" customFormat="false" ht="10.15" hidden="false" customHeight="false" outlineLevel="0" collapsed="false">
      <c r="A694" s="0" t="s">
        <v>373</v>
      </c>
      <c r="B694" s="0" t="s">
        <v>1903</v>
      </c>
    </row>
    <row r="695" customFormat="false" ht="10.15" hidden="false" customHeight="false" outlineLevel="0" collapsed="false">
      <c r="A695" s="0" t="s">
        <v>373</v>
      </c>
      <c r="B695" s="0" t="s">
        <v>1890</v>
      </c>
    </row>
    <row r="696" customFormat="false" ht="10.15" hidden="false" customHeight="false" outlineLevel="0" collapsed="false">
      <c r="A696" s="0" t="s">
        <v>373</v>
      </c>
      <c r="B696" s="0" t="s">
        <v>1891</v>
      </c>
    </row>
    <row r="697" customFormat="false" ht="10.15" hidden="false" customHeight="false" outlineLevel="0" collapsed="false">
      <c r="A697" s="0" t="s">
        <v>373</v>
      </c>
      <c r="B697" s="0" t="s">
        <v>1892</v>
      </c>
    </row>
    <row r="698" customFormat="false" ht="10.15" hidden="false" customHeight="false" outlineLevel="0" collapsed="false">
      <c r="A698" s="0" t="s">
        <v>373</v>
      </c>
      <c r="B698" s="0" t="s">
        <v>1893</v>
      </c>
    </row>
    <row r="699" customFormat="false" ht="10.15" hidden="false" customHeight="false" outlineLevel="0" collapsed="false">
      <c r="A699" s="0" t="s">
        <v>373</v>
      </c>
      <c r="B699" s="0" t="s">
        <v>1894</v>
      </c>
    </row>
    <row r="700" customFormat="false" ht="10.15" hidden="false" customHeight="false" outlineLevel="0" collapsed="false">
      <c r="A700" s="0" t="s">
        <v>373</v>
      </c>
      <c r="B700" s="0" t="s">
        <v>1895</v>
      </c>
    </row>
    <row r="701" customFormat="false" ht="10.15" hidden="false" customHeight="false" outlineLevel="0" collapsed="false">
      <c r="A701" s="0" t="s">
        <v>373</v>
      </c>
      <c r="B701" s="0" t="s">
        <v>1896</v>
      </c>
    </row>
    <row r="702" customFormat="false" ht="10.15" hidden="false" customHeight="false" outlineLevel="0" collapsed="false">
      <c r="A702" s="0" t="s">
        <v>373</v>
      </c>
      <c r="B702" s="0" t="s">
        <v>1897</v>
      </c>
    </row>
    <row r="703" customFormat="false" ht="10.15" hidden="false" customHeight="false" outlineLevel="0" collapsed="false">
      <c r="A703" s="0" t="s">
        <v>373</v>
      </c>
      <c r="B703" s="0" t="s">
        <v>1898</v>
      </c>
    </row>
    <row r="704" customFormat="false" ht="10.15" hidden="false" customHeight="false" outlineLevel="0" collapsed="false">
      <c r="A704" s="0" t="s">
        <v>376</v>
      </c>
      <c r="B704" s="0" t="s">
        <v>1880</v>
      </c>
    </row>
    <row r="705" customFormat="false" ht="10.15" hidden="false" customHeight="false" outlineLevel="0" collapsed="false">
      <c r="A705" s="0" t="s">
        <v>376</v>
      </c>
      <c r="B705" s="0" t="s">
        <v>1881</v>
      </c>
    </row>
    <row r="706" customFormat="false" ht="10.15" hidden="false" customHeight="false" outlineLevel="0" collapsed="false">
      <c r="A706" s="0" t="s">
        <v>376</v>
      </c>
      <c r="B706" s="0" t="s">
        <v>1882</v>
      </c>
    </row>
    <row r="707" customFormat="false" ht="10.15" hidden="false" customHeight="false" outlineLevel="0" collapsed="false">
      <c r="A707" s="0" t="s">
        <v>376</v>
      </c>
      <c r="B707" s="0" t="s">
        <v>1883</v>
      </c>
    </row>
    <row r="708" customFormat="false" ht="10.15" hidden="false" customHeight="false" outlineLevel="0" collapsed="false">
      <c r="A708" s="0" t="s">
        <v>376</v>
      </c>
      <c r="B708" s="0" t="s">
        <v>1884</v>
      </c>
    </row>
    <row r="709" customFormat="false" ht="10.15" hidden="false" customHeight="false" outlineLevel="0" collapsed="false">
      <c r="A709" s="0" t="s">
        <v>376</v>
      </c>
      <c r="B709" s="0" t="s">
        <v>1899</v>
      </c>
    </row>
    <row r="710" customFormat="false" ht="10.15" hidden="false" customHeight="false" outlineLevel="0" collapsed="false">
      <c r="A710" s="0" t="s">
        <v>376</v>
      </c>
      <c r="B710" s="0" t="s">
        <v>1900</v>
      </c>
    </row>
    <row r="711" customFormat="false" ht="10.15" hidden="false" customHeight="false" outlineLevel="0" collapsed="false">
      <c r="A711" s="0" t="s">
        <v>376</v>
      </c>
      <c r="B711" s="0" t="s">
        <v>1901</v>
      </c>
    </row>
    <row r="712" customFormat="false" ht="10.15" hidden="false" customHeight="false" outlineLevel="0" collapsed="false">
      <c r="A712" s="0" t="s">
        <v>376</v>
      </c>
      <c r="B712" s="0" t="s">
        <v>1902</v>
      </c>
    </row>
    <row r="713" customFormat="false" ht="10.15" hidden="false" customHeight="false" outlineLevel="0" collapsed="false">
      <c r="A713" s="0" t="s">
        <v>376</v>
      </c>
      <c r="B713" s="0" t="s">
        <v>1885</v>
      </c>
    </row>
    <row r="714" customFormat="false" ht="10.15" hidden="false" customHeight="false" outlineLevel="0" collapsed="false">
      <c r="A714" s="0" t="s">
        <v>376</v>
      </c>
      <c r="B714" s="0" t="s">
        <v>1886</v>
      </c>
    </row>
    <row r="715" customFormat="false" ht="10.15" hidden="false" customHeight="false" outlineLevel="0" collapsed="false">
      <c r="A715" s="0" t="s">
        <v>376</v>
      </c>
      <c r="B715" s="0" t="s">
        <v>1887</v>
      </c>
    </row>
    <row r="716" customFormat="false" ht="10.15" hidden="false" customHeight="false" outlineLevel="0" collapsed="false">
      <c r="A716" s="0" t="s">
        <v>376</v>
      </c>
      <c r="B716" s="0" t="s">
        <v>1888</v>
      </c>
    </row>
    <row r="717" customFormat="false" ht="10.15" hidden="false" customHeight="false" outlineLevel="0" collapsed="false">
      <c r="A717" s="0" t="s">
        <v>376</v>
      </c>
      <c r="B717" s="0" t="s">
        <v>1889</v>
      </c>
    </row>
    <row r="718" customFormat="false" ht="10.15" hidden="false" customHeight="false" outlineLevel="0" collapsed="false">
      <c r="A718" s="0" t="s">
        <v>376</v>
      </c>
      <c r="B718" s="0" t="s">
        <v>1905</v>
      </c>
    </row>
    <row r="719" customFormat="false" ht="10.15" hidden="false" customHeight="false" outlineLevel="0" collapsed="false">
      <c r="A719" s="0" t="s">
        <v>376</v>
      </c>
      <c r="B719" s="0" t="s">
        <v>1906</v>
      </c>
    </row>
    <row r="720" customFormat="false" ht="10.15" hidden="false" customHeight="false" outlineLevel="0" collapsed="false">
      <c r="A720" s="0" t="s">
        <v>376</v>
      </c>
      <c r="B720" s="0" t="s">
        <v>1903</v>
      </c>
    </row>
    <row r="721" customFormat="false" ht="10.15" hidden="false" customHeight="false" outlineLevel="0" collapsed="false">
      <c r="A721" s="0" t="s">
        <v>376</v>
      </c>
      <c r="B721" s="0" t="s">
        <v>1890</v>
      </c>
    </row>
    <row r="722" customFormat="false" ht="10.15" hidden="false" customHeight="false" outlineLevel="0" collapsed="false">
      <c r="A722" s="0" t="s">
        <v>376</v>
      </c>
      <c r="B722" s="0" t="s">
        <v>1891</v>
      </c>
    </row>
    <row r="723" customFormat="false" ht="10.15" hidden="false" customHeight="false" outlineLevel="0" collapsed="false">
      <c r="A723" s="0" t="s">
        <v>376</v>
      </c>
      <c r="B723" s="0" t="s">
        <v>1892</v>
      </c>
    </row>
    <row r="724" customFormat="false" ht="10.15" hidden="false" customHeight="false" outlineLevel="0" collapsed="false">
      <c r="A724" s="0" t="s">
        <v>376</v>
      </c>
      <c r="B724" s="0" t="s">
        <v>1893</v>
      </c>
    </row>
    <row r="725" customFormat="false" ht="10.15" hidden="false" customHeight="false" outlineLevel="0" collapsed="false">
      <c r="A725" s="0" t="s">
        <v>376</v>
      </c>
      <c r="B725" s="0" t="s">
        <v>1894</v>
      </c>
    </row>
    <row r="726" customFormat="false" ht="10.15" hidden="false" customHeight="false" outlineLevel="0" collapsed="false">
      <c r="A726" s="0" t="s">
        <v>376</v>
      </c>
      <c r="B726" s="0" t="s">
        <v>1895</v>
      </c>
    </row>
    <row r="727" customFormat="false" ht="10.15" hidden="false" customHeight="false" outlineLevel="0" collapsed="false">
      <c r="A727" s="0" t="s">
        <v>376</v>
      </c>
      <c r="B727" s="0" t="s">
        <v>1896</v>
      </c>
    </row>
    <row r="728" customFormat="false" ht="10.15" hidden="false" customHeight="false" outlineLevel="0" collapsed="false">
      <c r="A728" s="0" t="s">
        <v>376</v>
      </c>
      <c r="B728" s="0" t="s">
        <v>1897</v>
      </c>
    </row>
    <row r="729" customFormat="false" ht="10.15" hidden="false" customHeight="false" outlineLevel="0" collapsed="false">
      <c r="A729" s="0" t="s">
        <v>376</v>
      </c>
      <c r="B729" s="0" t="s">
        <v>1898</v>
      </c>
    </row>
    <row r="730" customFormat="false" ht="10.15" hidden="false" customHeight="false" outlineLevel="0" collapsed="false">
      <c r="A730" s="0" t="s">
        <v>377</v>
      </c>
      <c r="B730" s="0" t="s">
        <v>1880</v>
      </c>
    </row>
    <row r="731" customFormat="false" ht="10.15" hidden="false" customHeight="false" outlineLevel="0" collapsed="false">
      <c r="A731" s="0" t="s">
        <v>377</v>
      </c>
      <c r="B731" s="0" t="s">
        <v>1881</v>
      </c>
    </row>
    <row r="732" customFormat="false" ht="10.15" hidden="false" customHeight="false" outlineLevel="0" collapsed="false">
      <c r="A732" s="0" t="s">
        <v>377</v>
      </c>
      <c r="B732" s="0" t="s">
        <v>1882</v>
      </c>
    </row>
    <row r="733" customFormat="false" ht="10.15" hidden="false" customHeight="false" outlineLevel="0" collapsed="false">
      <c r="A733" s="0" t="s">
        <v>377</v>
      </c>
      <c r="B733" s="0" t="s">
        <v>1883</v>
      </c>
    </row>
    <row r="734" customFormat="false" ht="10.15" hidden="false" customHeight="false" outlineLevel="0" collapsed="false">
      <c r="A734" s="0" t="s">
        <v>377</v>
      </c>
      <c r="B734" s="0" t="s">
        <v>1884</v>
      </c>
    </row>
    <row r="735" customFormat="false" ht="10.15" hidden="false" customHeight="false" outlineLevel="0" collapsed="false">
      <c r="A735" s="0" t="s">
        <v>377</v>
      </c>
      <c r="B735" s="0" t="s">
        <v>1899</v>
      </c>
    </row>
    <row r="736" customFormat="false" ht="10.15" hidden="false" customHeight="false" outlineLevel="0" collapsed="false">
      <c r="A736" s="0" t="s">
        <v>377</v>
      </c>
      <c r="B736" s="0" t="s">
        <v>1901</v>
      </c>
    </row>
    <row r="737" customFormat="false" ht="10.15" hidden="false" customHeight="false" outlineLevel="0" collapsed="false">
      <c r="A737" s="0" t="s">
        <v>377</v>
      </c>
      <c r="B737" s="0" t="s">
        <v>1902</v>
      </c>
    </row>
    <row r="738" customFormat="false" ht="10.15" hidden="false" customHeight="false" outlineLevel="0" collapsed="false">
      <c r="A738" s="0" t="s">
        <v>377</v>
      </c>
      <c r="B738" s="0" t="s">
        <v>1885</v>
      </c>
    </row>
    <row r="739" customFormat="false" ht="10.15" hidden="false" customHeight="false" outlineLevel="0" collapsed="false">
      <c r="A739" s="0" t="s">
        <v>377</v>
      </c>
      <c r="B739" s="0" t="s">
        <v>1886</v>
      </c>
    </row>
    <row r="740" customFormat="false" ht="10.15" hidden="false" customHeight="false" outlineLevel="0" collapsed="false">
      <c r="A740" s="0" t="s">
        <v>377</v>
      </c>
      <c r="B740" s="0" t="s">
        <v>1887</v>
      </c>
    </row>
    <row r="741" customFormat="false" ht="10.15" hidden="false" customHeight="false" outlineLevel="0" collapsed="false">
      <c r="A741" s="0" t="s">
        <v>377</v>
      </c>
      <c r="B741" s="0" t="s">
        <v>1888</v>
      </c>
    </row>
    <row r="742" customFormat="false" ht="10.15" hidden="false" customHeight="false" outlineLevel="0" collapsed="false">
      <c r="A742" s="0" t="s">
        <v>378</v>
      </c>
      <c r="B742" s="0" t="s">
        <v>1880</v>
      </c>
    </row>
    <row r="743" customFormat="false" ht="10.15" hidden="false" customHeight="false" outlineLevel="0" collapsed="false">
      <c r="A743" s="0" t="s">
        <v>378</v>
      </c>
      <c r="B743" s="0" t="s">
        <v>1881</v>
      </c>
    </row>
    <row r="744" customFormat="false" ht="10.15" hidden="false" customHeight="false" outlineLevel="0" collapsed="false">
      <c r="A744" s="0" t="s">
        <v>378</v>
      </c>
      <c r="B744" s="0" t="s">
        <v>1882</v>
      </c>
    </row>
    <row r="745" customFormat="false" ht="10.15" hidden="false" customHeight="false" outlineLevel="0" collapsed="false">
      <c r="A745" s="0" t="s">
        <v>378</v>
      </c>
      <c r="B745" s="0" t="s">
        <v>1883</v>
      </c>
    </row>
    <row r="746" customFormat="false" ht="10.15" hidden="false" customHeight="false" outlineLevel="0" collapsed="false">
      <c r="A746" s="0" t="s">
        <v>378</v>
      </c>
      <c r="B746" s="0" t="s">
        <v>1884</v>
      </c>
    </row>
    <row r="747" customFormat="false" ht="10.15" hidden="false" customHeight="false" outlineLevel="0" collapsed="false">
      <c r="A747" s="0" t="s">
        <v>378</v>
      </c>
      <c r="B747" s="0" t="s">
        <v>1899</v>
      </c>
    </row>
    <row r="748" customFormat="false" ht="10.15" hidden="false" customHeight="false" outlineLevel="0" collapsed="false">
      <c r="A748" s="0" t="s">
        <v>378</v>
      </c>
      <c r="B748" s="0" t="s">
        <v>1901</v>
      </c>
    </row>
    <row r="749" customFormat="false" ht="10.15" hidden="false" customHeight="false" outlineLevel="0" collapsed="false">
      <c r="A749" s="0" t="s">
        <v>378</v>
      </c>
      <c r="B749" s="0" t="s">
        <v>1902</v>
      </c>
    </row>
    <row r="750" customFormat="false" ht="10.15" hidden="false" customHeight="false" outlineLevel="0" collapsed="false">
      <c r="A750" s="0" t="s">
        <v>378</v>
      </c>
      <c r="B750" s="0" t="s">
        <v>1885</v>
      </c>
    </row>
    <row r="751" customFormat="false" ht="10.15" hidden="false" customHeight="false" outlineLevel="0" collapsed="false">
      <c r="A751" s="0" t="s">
        <v>378</v>
      </c>
      <c r="B751" s="0" t="s">
        <v>1886</v>
      </c>
    </row>
    <row r="752" customFormat="false" ht="10.15" hidden="false" customHeight="false" outlineLevel="0" collapsed="false">
      <c r="A752" s="0" t="s">
        <v>378</v>
      </c>
      <c r="B752" s="0" t="s">
        <v>1887</v>
      </c>
    </row>
    <row r="753" customFormat="false" ht="10.15" hidden="false" customHeight="false" outlineLevel="0" collapsed="false">
      <c r="A753" s="0" t="s">
        <v>378</v>
      </c>
      <c r="B753" s="0" t="s">
        <v>1888</v>
      </c>
    </row>
    <row r="754" customFormat="false" ht="10.15" hidden="false" customHeight="false" outlineLevel="0" collapsed="false">
      <c r="A754" s="0" t="s">
        <v>402</v>
      </c>
      <c r="B754" s="0" t="s">
        <v>1880</v>
      </c>
    </row>
    <row r="755" customFormat="false" ht="10.15" hidden="false" customHeight="false" outlineLevel="0" collapsed="false">
      <c r="A755" s="0" t="s">
        <v>402</v>
      </c>
      <c r="B755" s="0" t="s">
        <v>1881</v>
      </c>
    </row>
    <row r="756" customFormat="false" ht="10.15" hidden="false" customHeight="false" outlineLevel="0" collapsed="false">
      <c r="A756" s="0" t="s">
        <v>402</v>
      </c>
      <c r="B756" s="0" t="s">
        <v>1882</v>
      </c>
    </row>
    <row r="757" customFormat="false" ht="10.15" hidden="false" customHeight="false" outlineLevel="0" collapsed="false">
      <c r="A757" s="0" t="s">
        <v>402</v>
      </c>
      <c r="B757" s="0" t="s">
        <v>1883</v>
      </c>
    </row>
    <row r="758" customFormat="false" ht="10.15" hidden="false" customHeight="false" outlineLevel="0" collapsed="false">
      <c r="A758" s="0" t="s">
        <v>402</v>
      </c>
      <c r="B758" s="0" t="s">
        <v>1884</v>
      </c>
    </row>
    <row r="759" customFormat="false" ht="10.15" hidden="false" customHeight="false" outlineLevel="0" collapsed="false">
      <c r="A759" s="0" t="s">
        <v>402</v>
      </c>
      <c r="B759" s="0" t="s">
        <v>1899</v>
      </c>
    </row>
    <row r="760" customFormat="false" ht="10.15" hidden="false" customHeight="false" outlineLevel="0" collapsed="false">
      <c r="A760" s="0" t="s">
        <v>379</v>
      </c>
      <c r="B760" s="0" t="s">
        <v>1880</v>
      </c>
    </row>
    <row r="761" customFormat="false" ht="10.15" hidden="false" customHeight="false" outlineLevel="0" collapsed="false">
      <c r="A761" s="0" t="s">
        <v>379</v>
      </c>
      <c r="B761" s="0" t="s">
        <v>1881</v>
      </c>
    </row>
    <row r="762" customFormat="false" ht="10.15" hidden="false" customHeight="false" outlineLevel="0" collapsed="false">
      <c r="A762" s="0" t="s">
        <v>379</v>
      </c>
      <c r="B762" s="0" t="s">
        <v>1882</v>
      </c>
    </row>
    <row r="763" customFormat="false" ht="10.15" hidden="false" customHeight="false" outlineLevel="0" collapsed="false">
      <c r="A763" s="0" t="s">
        <v>379</v>
      </c>
      <c r="B763" s="0" t="s">
        <v>1883</v>
      </c>
    </row>
    <row r="764" customFormat="false" ht="10.15" hidden="false" customHeight="false" outlineLevel="0" collapsed="false">
      <c r="A764" s="0" t="s">
        <v>379</v>
      </c>
      <c r="B764" s="0" t="s">
        <v>1884</v>
      </c>
    </row>
    <row r="765" customFormat="false" ht="10.15" hidden="false" customHeight="false" outlineLevel="0" collapsed="false">
      <c r="A765" s="0" t="s">
        <v>379</v>
      </c>
      <c r="B765" s="0" t="s">
        <v>1899</v>
      </c>
    </row>
    <row r="766" customFormat="false" ht="10.15" hidden="false" customHeight="false" outlineLevel="0" collapsed="false">
      <c r="A766" s="0" t="s">
        <v>379</v>
      </c>
      <c r="B766" s="0" t="s">
        <v>1901</v>
      </c>
    </row>
    <row r="767" customFormat="false" ht="10.15" hidden="false" customHeight="false" outlineLevel="0" collapsed="false">
      <c r="A767" s="0" t="s">
        <v>379</v>
      </c>
      <c r="B767" s="0" t="s">
        <v>1902</v>
      </c>
    </row>
    <row r="768" customFormat="false" ht="10.15" hidden="false" customHeight="false" outlineLevel="0" collapsed="false">
      <c r="A768" s="0" t="s">
        <v>379</v>
      </c>
      <c r="B768" s="0" t="s">
        <v>1885</v>
      </c>
    </row>
    <row r="769" customFormat="false" ht="10.15" hidden="false" customHeight="false" outlineLevel="0" collapsed="false">
      <c r="A769" s="0" t="s">
        <v>379</v>
      </c>
      <c r="B769" s="0" t="s">
        <v>1886</v>
      </c>
    </row>
    <row r="770" customFormat="false" ht="10.15" hidden="false" customHeight="false" outlineLevel="0" collapsed="false">
      <c r="A770" s="0" t="s">
        <v>379</v>
      </c>
      <c r="B770" s="0" t="s">
        <v>1887</v>
      </c>
    </row>
    <row r="771" customFormat="false" ht="10.15" hidden="false" customHeight="false" outlineLevel="0" collapsed="false">
      <c r="A771" s="0" t="s">
        <v>379</v>
      </c>
      <c r="B771" s="0" t="s">
        <v>1888</v>
      </c>
    </row>
    <row r="772" customFormat="false" ht="10.15" hidden="false" customHeight="false" outlineLevel="0" collapsed="false">
      <c r="A772" s="0" t="s">
        <v>380</v>
      </c>
      <c r="B772" s="0" t="s">
        <v>1880</v>
      </c>
    </row>
    <row r="773" customFormat="false" ht="10.15" hidden="false" customHeight="false" outlineLevel="0" collapsed="false">
      <c r="A773" s="0" t="s">
        <v>380</v>
      </c>
      <c r="B773" s="0" t="s">
        <v>1881</v>
      </c>
    </row>
    <row r="774" customFormat="false" ht="10.15" hidden="false" customHeight="false" outlineLevel="0" collapsed="false">
      <c r="A774" s="0" t="s">
        <v>380</v>
      </c>
      <c r="B774" s="0" t="s">
        <v>1882</v>
      </c>
    </row>
    <row r="775" customFormat="false" ht="10.15" hidden="false" customHeight="false" outlineLevel="0" collapsed="false">
      <c r="A775" s="0" t="s">
        <v>380</v>
      </c>
      <c r="B775" s="0" t="s">
        <v>1883</v>
      </c>
    </row>
    <row r="776" customFormat="false" ht="10.15" hidden="false" customHeight="false" outlineLevel="0" collapsed="false">
      <c r="A776" s="0" t="s">
        <v>380</v>
      </c>
      <c r="B776" s="0" t="s">
        <v>1884</v>
      </c>
    </row>
    <row r="777" customFormat="false" ht="10.15" hidden="false" customHeight="false" outlineLevel="0" collapsed="false">
      <c r="A777" s="0" t="s">
        <v>380</v>
      </c>
      <c r="B777" s="0" t="s">
        <v>1899</v>
      </c>
    </row>
    <row r="778" customFormat="false" ht="10.15" hidden="false" customHeight="false" outlineLevel="0" collapsed="false">
      <c r="A778" s="0" t="s">
        <v>380</v>
      </c>
      <c r="B778" s="0" t="s">
        <v>1901</v>
      </c>
    </row>
    <row r="779" customFormat="false" ht="10.15" hidden="false" customHeight="false" outlineLevel="0" collapsed="false">
      <c r="A779" s="0" t="s">
        <v>380</v>
      </c>
      <c r="B779" s="0" t="s">
        <v>1902</v>
      </c>
    </row>
    <row r="780" customFormat="false" ht="10.15" hidden="false" customHeight="false" outlineLevel="0" collapsed="false">
      <c r="A780" s="0" t="s">
        <v>380</v>
      </c>
      <c r="B780" s="0" t="s">
        <v>1885</v>
      </c>
    </row>
    <row r="781" customFormat="false" ht="10.15" hidden="false" customHeight="false" outlineLevel="0" collapsed="false">
      <c r="A781" s="0" t="s">
        <v>380</v>
      </c>
      <c r="B781" s="0" t="s">
        <v>1886</v>
      </c>
    </row>
    <row r="782" customFormat="false" ht="10.15" hidden="false" customHeight="false" outlineLevel="0" collapsed="false">
      <c r="A782" s="0" t="s">
        <v>380</v>
      </c>
      <c r="B782" s="0" t="s">
        <v>1887</v>
      </c>
    </row>
    <row r="783" customFormat="false" ht="10.15" hidden="false" customHeight="false" outlineLevel="0" collapsed="false">
      <c r="A783" s="0" t="s">
        <v>380</v>
      </c>
      <c r="B783" s="0" t="s">
        <v>1888</v>
      </c>
    </row>
    <row r="784" customFormat="false" ht="10.15" hidden="false" customHeight="false" outlineLevel="0" collapsed="false">
      <c r="A784" s="0" t="s">
        <v>381</v>
      </c>
      <c r="B784" s="0" t="s">
        <v>1880</v>
      </c>
    </row>
    <row r="785" customFormat="false" ht="10.15" hidden="false" customHeight="false" outlineLevel="0" collapsed="false">
      <c r="A785" s="0" t="s">
        <v>381</v>
      </c>
      <c r="B785" s="0" t="s">
        <v>1881</v>
      </c>
    </row>
    <row r="786" customFormat="false" ht="10.15" hidden="false" customHeight="false" outlineLevel="0" collapsed="false">
      <c r="A786" s="0" t="s">
        <v>381</v>
      </c>
      <c r="B786" s="0" t="s">
        <v>1882</v>
      </c>
    </row>
    <row r="787" customFormat="false" ht="10.15" hidden="false" customHeight="false" outlineLevel="0" collapsed="false">
      <c r="A787" s="0" t="s">
        <v>381</v>
      </c>
      <c r="B787" s="0" t="s">
        <v>1883</v>
      </c>
    </row>
    <row r="788" customFormat="false" ht="10.15" hidden="false" customHeight="false" outlineLevel="0" collapsed="false">
      <c r="A788" s="0" t="s">
        <v>381</v>
      </c>
      <c r="B788" s="0" t="s">
        <v>1884</v>
      </c>
    </row>
    <row r="789" customFormat="false" ht="10.15" hidden="false" customHeight="false" outlineLevel="0" collapsed="false">
      <c r="A789" s="0" t="s">
        <v>381</v>
      </c>
      <c r="B789" s="0" t="s">
        <v>1899</v>
      </c>
    </row>
    <row r="790" customFormat="false" ht="10.15" hidden="false" customHeight="false" outlineLevel="0" collapsed="false">
      <c r="A790" s="0" t="s">
        <v>381</v>
      </c>
      <c r="B790" s="0" t="s">
        <v>1901</v>
      </c>
    </row>
    <row r="791" customFormat="false" ht="10.15" hidden="false" customHeight="false" outlineLevel="0" collapsed="false">
      <c r="A791" s="0" t="s">
        <v>381</v>
      </c>
      <c r="B791" s="0" t="s">
        <v>1902</v>
      </c>
    </row>
    <row r="792" customFormat="false" ht="10.15" hidden="false" customHeight="false" outlineLevel="0" collapsed="false">
      <c r="A792" s="0" t="s">
        <v>381</v>
      </c>
      <c r="B792" s="0" t="s">
        <v>1885</v>
      </c>
    </row>
    <row r="793" customFormat="false" ht="10.15" hidden="false" customHeight="false" outlineLevel="0" collapsed="false">
      <c r="A793" s="0" t="s">
        <v>381</v>
      </c>
      <c r="B793" s="0" t="s">
        <v>1886</v>
      </c>
    </row>
    <row r="794" customFormat="false" ht="10.15" hidden="false" customHeight="false" outlineLevel="0" collapsed="false">
      <c r="A794" s="0" t="s">
        <v>381</v>
      </c>
      <c r="B794" s="0" t="s">
        <v>1887</v>
      </c>
    </row>
    <row r="795" customFormat="false" ht="10.15" hidden="false" customHeight="false" outlineLevel="0" collapsed="false">
      <c r="A795" s="0" t="s">
        <v>381</v>
      </c>
      <c r="B795" s="0" t="s">
        <v>1888</v>
      </c>
    </row>
    <row r="796" customFormat="false" ht="10.15" hidden="false" customHeight="false" outlineLevel="0" collapsed="false">
      <c r="A796" s="0" t="s">
        <v>382</v>
      </c>
      <c r="B796" s="0" t="s">
        <v>1880</v>
      </c>
    </row>
    <row r="797" customFormat="false" ht="10.15" hidden="false" customHeight="false" outlineLevel="0" collapsed="false">
      <c r="A797" s="0" t="s">
        <v>382</v>
      </c>
      <c r="B797" s="0" t="s">
        <v>1881</v>
      </c>
    </row>
    <row r="798" customFormat="false" ht="10.15" hidden="false" customHeight="false" outlineLevel="0" collapsed="false">
      <c r="A798" s="0" t="s">
        <v>382</v>
      </c>
      <c r="B798" s="0" t="s">
        <v>1882</v>
      </c>
    </row>
    <row r="799" customFormat="false" ht="10.15" hidden="false" customHeight="false" outlineLevel="0" collapsed="false">
      <c r="A799" s="0" t="s">
        <v>382</v>
      </c>
      <c r="B799" s="0" t="s">
        <v>1883</v>
      </c>
    </row>
    <row r="800" customFormat="false" ht="10.15" hidden="false" customHeight="false" outlineLevel="0" collapsed="false">
      <c r="A800" s="0" t="s">
        <v>382</v>
      </c>
      <c r="B800" s="0" t="s">
        <v>1884</v>
      </c>
    </row>
    <row r="801" customFormat="false" ht="10.15" hidden="false" customHeight="false" outlineLevel="0" collapsed="false">
      <c r="A801" s="0" t="s">
        <v>382</v>
      </c>
      <c r="B801" s="0" t="s">
        <v>1899</v>
      </c>
    </row>
    <row r="802" customFormat="false" ht="10.15" hidden="false" customHeight="false" outlineLevel="0" collapsed="false">
      <c r="A802" s="0" t="s">
        <v>382</v>
      </c>
      <c r="B802" s="0" t="s">
        <v>1901</v>
      </c>
    </row>
    <row r="803" customFormat="false" ht="10.15" hidden="false" customHeight="false" outlineLevel="0" collapsed="false">
      <c r="A803" s="0" t="s">
        <v>382</v>
      </c>
      <c r="B803" s="0" t="s">
        <v>1902</v>
      </c>
    </row>
    <row r="804" customFormat="false" ht="10.15" hidden="false" customHeight="false" outlineLevel="0" collapsed="false">
      <c r="A804" s="0" t="s">
        <v>382</v>
      </c>
      <c r="B804" s="0" t="s">
        <v>1885</v>
      </c>
    </row>
    <row r="805" customFormat="false" ht="10.15" hidden="false" customHeight="false" outlineLevel="0" collapsed="false">
      <c r="A805" s="0" t="s">
        <v>382</v>
      </c>
      <c r="B805" s="0" t="s">
        <v>1886</v>
      </c>
    </row>
    <row r="806" customFormat="false" ht="10.15" hidden="false" customHeight="false" outlineLevel="0" collapsed="false">
      <c r="A806" s="0" t="s">
        <v>382</v>
      </c>
      <c r="B806" s="0" t="s">
        <v>1887</v>
      </c>
    </row>
    <row r="807" customFormat="false" ht="10.15" hidden="false" customHeight="false" outlineLevel="0" collapsed="false">
      <c r="A807" s="0" t="s">
        <v>382</v>
      </c>
      <c r="B807" s="0" t="s">
        <v>1888</v>
      </c>
    </row>
    <row r="808" customFormat="false" ht="10.15" hidden="false" customHeight="false" outlineLevel="0" collapsed="false">
      <c r="A808" s="0" t="s">
        <v>395</v>
      </c>
      <c r="B808" s="0" t="s">
        <v>1880</v>
      </c>
    </row>
    <row r="809" customFormat="false" ht="10.15" hidden="false" customHeight="false" outlineLevel="0" collapsed="false">
      <c r="A809" s="0" t="s">
        <v>395</v>
      </c>
      <c r="B809" s="0" t="s">
        <v>1881</v>
      </c>
      <c r="C809" s="0" t="s">
        <v>1913</v>
      </c>
    </row>
    <row r="810" customFormat="false" ht="10.15" hidden="false" customHeight="false" outlineLevel="0" collapsed="false">
      <c r="A810" s="0" t="s">
        <v>395</v>
      </c>
      <c r="B810" s="0" t="s">
        <v>1882</v>
      </c>
      <c r="C810" s="0" t="s">
        <v>1913</v>
      </c>
    </row>
    <row r="811" customFormat="false" ht="10.15" hidden="false" customHeight="false" outlineLevel="0" collapsed="false">
      <c r="A811" s="0" t="s">
        <v>355</v>
      </c>
      <c r="B811" s="0" t="s">
        <v>1880</v>
      </c>
    </row>
    <row r="812" customFormat="false" ht="10.15" hidden="false" customHeight="false" outlineLevel="0" collapsed="false">
      <c r="A812" s="0" t="s">
        <v>355</v>
      </c>
      <c r="B812" s="0" t="s">
        <v>1881</v>
      </c>
    </row>
    <row r="813" customFormat="false" ht="10.15" hidden="false" customHeight="false" outlineLevel="0" collapsed="false">
      <c r="A813" s="0" t="s">
        <v>355</v>
      </c>
      <c r="B813" s="0" t="s">
        <v>1882</v>
      </c>
    </row>
    <row r="814" customFormat="false" ht="10.15" hidden="false" customHeight="false" outlineLevel="0" collapsed="false">
      <c r="A814" s="0" t="s">
        <v>355</v>
      </c>
      <c r="B814" s="0" t="s">
        <v>1883</v>
      </c>
    </row>
    <row r="815" customFormat="false" ht="10.15" hidden="false" customHeight="false" outlineLevel="0" collapsed="false">
      <c r="A815" s="0" t="s">
        <v>355</v>
      </c>
      <c r="B815" s="0" t="s">
        <v>1884</v>
      </c>
    </row>
    <row r="816" customFormat="false" ht="10.15" hidden="false" customHeight="false" outlineLevel="0" collapsed="false">
      <c r="A816" s="0" t="s">
        <v>355</v>
      </c>
      <c r="B816" s="0" t="s">
        <v>1899</v>
      </c>
    </row>
    <row r="817" customFormat="false" ht="10.15" hidden="false" customHeight="false" outlineLevel="0" collapsed="false">
      <c r="A817" s="0" t="s">
        <v>355</v>
      </c>
      <c r="B817" s="0" t="s">
        <v>1900</v>
      </c>
    </row>
    <row r="818" customFormat="false" ht="10.15" hidden="false" customHeight="false" outlineLevel="0" collapsed="false">
      <c r="A818" s="0" t="s">
        <v>355</v>
      </c>
      <c r="B818" s="0" t="s">
        <v>1901</v>
      </c>
    </row>
    <row r="819" customFormat="false" ht="10.15" hidden="false" customHeight="false" outlineLevel="0" collapsed="false">
      <c r="A819" s="0" t="s">
        <v>355</v>
      </c>
      <c r="B819" s="0" t="s">
        <v>1902</v>
      </c>
    </row>
    <row r="820" customFormat="false" ht="10.15" hidden="false" customHeight="false" outlineLevel="0" collapsed="false">
      <c r="A820" s="0" t="s">
        <v>355</v>
      </c>
      <c r="B820" s="0" t="s">
        <v>1885</v>
      </c>
    </row>
    <row r="821" customFormat="false" ht="10.15" hidden="false" customHeight="false" outlineLevel="0" collapsed="false">
      <c r="A821" s="0" t="s">
        <v>355</v>
      </c>
      <c r="B821" s="0" t="s">
        <v>1886</v>
      </c>
    </row>
    <row r="822" customFormat="false" ht="10.15" hidden="false" customHeight="false" outlineLevel="0" collapsed="false">
      <c r="A822" s="0" t="s">
        <v>355</v>
      </c>
      <c r="B822" s="0" t="s">
        <v>1887</v>
      </c>
    </row>
    <row r="823" customFormat="false" ht="10.15" hidden="false" customHeight="false" outlineLevel="0" collapsed="false">
      <c r="A823" s="0" t="s">
        <v>355</v>
      </c>
      <c r="B823" s="0" t="s">
        <v>1888</v>
      </c>
    </row>
    <row r="824" customFormat="false" ht="10.15" hidden="false" customHeight="false" outlineLevel="0" collapsed="false">
      <c r="A824" s="0" t="s">
        <v>355</v>
      </c>
      <c r="B824" s="0" t="s">
        <v>1889</v>
      </c>
    </row>
    <row r="825" customFormat="false" ht="10.15" hidden="false" customHeight="false" outlineLevel="0" collapsed="false">
      <c r="A825" s="0" t="s">
        <v>355</v>
      </c>
      <c r="B825" s="0" t="s">
        <v>1905</v>
      </c>
      <c r="C825" s="0" t="s">
        <v>1904</v>
      </c>
    </row>
    <row r="826" customFormat="false" ht="10.15" hidden="false" customHeight="false" outlineLevel="0" collapsed="false">
      <c r="A826" s="0" t="s">
        <v>355</v>
      </c>
      <c r="B826" s="0" t="s">
        <v>1906</v>
      </c>
      <c r="C826" s="0" t="s">
        <v>1904</v>
      </c>
    </row>
    <row r="827" customFormat="false" ht="10.15" hidden="false" customHeight="false" outlineLevel="0" collapsed="false">
      <c r="A827" s="0" t="s">
        <v>356</v>
      </c>
      <c r="B827" s="0" t="s">
        <v>1880</v>
      </c>
    </row>
    <row r="828" customFormat="false" ht="10.15" hidden="false" customHeight="false" outlineLevel="0" collapsed="false">
      <c r="A828" s="0" t="s">
        <v>356</v>
      </c>
      <c r="B828" s="0" t="s">
        <v>1881</v>
      </c>
    </row>
    <row r="829" customFormat="false" ht="10.15" hidden="false" customHeight="false" outlineLevel="0" collapsed="false">
      <c r="A829" s="0" t="s">
        <v>356</v>
      </c>
      <c r="B829" s="0" t="s">
        <v>1882</v>
      </c>
    </row>
    <row r="830" customFormat="false" ht="10.15" hidden="false" customHeight="false" outlineLevel="0" collapsed="false">
      <c r="A830" s="0" t="s">
        <v>356</v>
      </c>
      <c r="B830" s="0" t="s">
        <v>1883</v>
      </c>
    </row>
    <row r="831" customFormat="false" ht="10.15" hidden="false" customHeight="false" outlineLevel="0" collapsed="false">
      <c r="A831" s="0" t="s">
        <v>356</v>
      </c>
      <c r="B831" s="0" t="s">
        <v>1884</v>
      </c>
    </row>
    <row r="832" customFormat="false" ht="10.15" hidden="false" customHeight="false" outlineLevel="0" collapsed="false">
      <c r="A832" s="0" t="s">
        <v>356</v>
      </c>
      <c r="B832" s="0" t="s">
        <v>1899</v>
      </c>
    </row>
    <row r="833" customFormat="false" ht="10.15" hidden="false" customHeight="false" outlineLevel="0" collapsed="false">
      <c r="A833" s="0" t="s">
        <v>356</v>
      </c>
      <c r="B833" s="0" t="s">
        <v>1900</v>
      </c>
    </row>
    <row r="834" customFormat="false" ht="10.15" hidden="false" customHeight="false" outlineLevel="0" collapsed="false">
      <c r="A834" s="0" t="s">
        <v>356</v>
      </c>
      <c r="B834" s="0" t="s">
        <v>1901</v>
      </c>
    </row>
    <row r="835" customFormat="false" ht="10.15" hidden="false" customHeight="false" outlineLevel="0" collapsed="false">
      <c r="A835" s="0" t="s">
        <v>356</v>
      </c>
      <c r="B835" s="0" t="s">
        <v>1902</v>
      </c>
    </row>
    <row r="836" customFormat="false" ht="10.15" hidden="false" customHeight="false" outlineLevel="0" collapsed="false">
      <c r="A836" s="0" t="s">
        <v>356</v>
      </c>
      <c r="B836" s="0" t="s">
        <v>1885</v>
      </c>
    </row>
    <row r="837" customFormat="false" ht="10.15" hidden="false" customHeight="false" outlineLevel="0" collapsed="false">
      <c r="A837" s="0" t="s">
        <v>356</v>
      </c>
      <c r="B837" s="0" t="s">
        <v>1886</v>
      </c>
    </row>
    <row r="838" customFormat="false" ht="10.15" hidden="false" customHeight="false" outlineLevel="0" collapsed="false">
      <c r="A838" s="0" t="s">
        <v>356</v>
      </c>
      <c r="B838" s="0" t="s">
        <v>1887</v>
      </c>
    </row>
    <row r="839" customFormat="false" ht="10.15" hidden="false" customHeight="false" outlineLevel="0" collapsed="false">
      <c r="A839" s="0" t="s">
        <v>356</v>
      </c>
      <c r="B839" s="0" t="s">
        <v>1888</v>
      </c>
    </row>
    <row r="840" customFormat="false" ht="10.15" hidden="false" customHeight="false" outlineLevel="0" collapsed="false">
      <c r="A840" s="0" t="s">
        <v>356</v>
      </c>
      <c r="B840" s="0" t="s">
        <v>1889</v>
      </c>
    </row>
    <row r="841" customFormat="false" ht="10.15" hidden="false" customHeight="false" outlineLevel="0" collapsed="false">
      <c r="A841" s="0" t="s">
        <v>356</v>
      </c>
      <c r="B841" s="0" t="s">
        <v>1905</v>
      </c>
      <c r="C841" s="0" t="s">
        <v>1904</v>
      </c>
    </row>
    <row r="842" customFormat="false" ht="10.15" hidden="false" customHeight="false" outlineLevel="0" collapsed="false">
      <c r="A842" s="0" t="s">
        <v>356</v>
      </c>
      <c r="B842" s="0" t="s">
        <v>1906</v>
      </c>
      <c r="C842" s="0" t="s">
        <v>1904</v>
      </c>
    </row>
    <row r="843" customFormat="false" ht="10.15" hidden="false" customHeight="false" outlineLevel="0" collapsed="false">
      <c r="A843" s="0" t="s">
        <v>403</v>
      </c>
      <c r="B843" s="0" t="s">
        <v>1880</v>
      </c>
    </row>
    <row r="844" customFormat="false" ht="10.15" hidden="false" customHeight="false" outlineLevel="0" collapsed="false">
      <c r="A844" s="0" t="s">
        <v>403</v>
      </c>
      <c r="B844" s="0" t="s">
        <v>1881</v>
      </c>
    </row>
    <row r="845" customFormat="false" ht="10.15" hidden="false" customHeight="false" outlineLevel="0" collapsed="false">
      <c r="A845" s="0" t="s">
        <v>403</v>
      </c>
      <c r="B845" s="0" t="s">
        <v>1882</v>
      </c>
    </row>
  </sheetData>
  <autoFilter ref="A1:C845"/>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drawing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6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84765625" defaultRowHeight="11.25" zeroHeight="false" outlineLevelRow="0" outlineLevelCol="0"/>
  <cols>
    <col collapsed="false" customWidth="true" hidden="false" outlineLevel="0" max="1" min="1" style="0" width="30.34"/>
    <col collapsed="false" customWidth="true" hidden="false" outlineLevel="0" max="2" min="2" style="0" width="32.84"/>
    <col collapsed="false" customWidth="true" hidden="false" outlineLevel="0" max="5" min="3" style="0" width="30.34"/>
    <col collapsed="false" customWidth="true" hidden="false" outlineLevel="0" max="6" min="6" style="0" width="34.5"/>
    <col collapsed="false" customWidth="true" hidden="false" outlineLevel="0" max="7" min="7" style="0" width="32.66"/>
    <col collapsed="false" customWidth="true" hidden="false" outlineLevel="0" max="8" min="8" style="0" width="25.66"/>
    <col collapsed="false" customWidth="true" hidden="false" outlineLevel="0" max="9" min="9" style="0" width="26.83"/>
    <col collapsed="false" customWidth="true" hidden="false" outlineLevel="0" max="10" min="10" style="0" width="24.34"/>
    <col collapsed="false" customWidth="true" hidden="false" outlineLevel="0" max="11" min="11" style="0" width="19.66"/>
    <col collapsed="false" customWidth="true" hidden="false" outlineLevel="0" max="12" min="12" style="0" width="16.83"/>
    <col collapsed="false" customWidth="true" hidden="false" outlineLevel="0" max="16" min="13" style="0" width="19.17"/>
    <col collapsed="false" customWidth="true" hidden="false" outlineLevel="0" max="17" min="17" style="0" width="15.34"/>
    <col collapsed="false" customWidth="true" hidden="false" outlineLevel="0" max="18" min="18" style="0" width="22"/>
    <col collapsed="false" customWidth="true" hidden="false" outlineLevel="0" max="19" min="19" style="0" width="17.5"/>
    <col collapsed="false" customWidth="true" hidden="false" outlineLevel="0" max="20" min="20" style="0" width="23.5"/>
    <col collapsed="false" customWidth="true" hidden="false" outlineLevel="0" max="21" min="21" style="0" width="19.17"/>
    <col collapsed="false" customWidth="true" hidden="false" outlineLevel="0" max="22" min="22" style="0" width="14.5"/>
    <col collapsed="false" customWidth="true" hidden="false" outlineLevel="0" max="25" min="25" style="0" width="24.5"/>
    <col collapsed="false" customWidth="true" hidden="false" outlineLevel="0" max="28" min="28" style="0" width="27.5"/>
  </cols>
  <sheetData>
    <row r="1" customFormat="false" ht="18" hidden="false" customHeight="true" outlineLevel="0" collapsed="false">
      <c r="A1" s="1028" t="s">
        <v>1914</v>
      </c>
      <c r="B1" s="1028"/>
      <c r="C1" s="1028"/>
      <c r="D1" s="1028"/>
      <c r="E1" s="1028"/>
      <c r="F1" s="1028"/>
      <c r="G1" s="1028"/>
      <c r="H1" s="1028"/>
    </row>
    <row r="3" customFormat="false" ht="14.45" hidden="false" customHeight="true" outlineLevel="0" collapsed="false">
      <c r="B3" s="1029" t="s">
        <v>1915</v>
      </c>
      <c r="E3" s="1030" t="s">
        <v>1916</v>
      </c>
      <c r="F3" s="1030"/>
    </row>
    <row r="4" customFormat="false" ht="18.6" hidden="false" customHeight="false" outlineLevel="0" collapsed="false">
      <c r="A4" s="1031" t="s">
        <v>1917</v>
      </c>
      <c r="B4" s="1032" t="n">
        <v>600</v>
      </c>
      <c r="C4" s="543"/>
      <c r="D4" s="543"/>
      <c r="E4" s="543"/>
    </row>
    <row r="5" customFormat="false" ht="13.15" hidden="false" customHeight="true" outlineLevel="0" collapsed="false"/>
    <row r="6" customFormat="false" ht="30.6" hidden="false" customHeight="true" outlineLevel="0" collapsed="false">
      <c r="A6" s="1033" t="s">
        <v>1918</v>
      </c>
      <c r="B6" s="1033"/>
      <c r="C6" s="1033"/>
      <c r="D6" s="1033"/>
      <c r="E6" s="1033"/>
      <c r="F6" s="1033"/>
      <c r="G6" s="1033"/>
      <c r="H6" s="1033"/>
      <c r="I6" s="1033"/>
      <c r="J6" s="1033"/>
      <c r="K6" s="1033"/>
      <c r="L6" s="1033"/>
      <c r="M6" s="1033"/>
      <c r="N6" s="1033"/>
      <c r="O6" s="1033"/>
      <c r="P6" s="1034"/>
      <c r="Q6" s="1035" t="s">
        <v>1919</v>
      </c>
      <c r="R6" s="1035"/>
      <c r="S6" s="1034"/>
      <c r="T6" s="1036"/>
      <c r="U6" s="1035" t="s">
        <v>1919</v>
      </c>
      <c r="V6" s="1035"/>
      <c r="Y6" s="1037" t="s">
        <v>1920</v>
      </c>
      <c r="Z6" s="1038" t="s">
        <v>1921</v>
      </c>
      <c r="AB6" s="1037" t="s">
        <v>1922</v>
      </c>
      <c r="AC6" s="1038" t="s">
        <v>1921</v>
      </c>
    </row>
    <row r="7" customFormat="false" ht="14.45" hidden="false" customHeight="false" outlineLevel="0" collapsed="false">
      <c r="A7" s="1039"/>
      <c r="B7" s="1040" t="s">
        <v>1923</v>
      </c>
      <c r="C7" s="1040" t="s">
        <v>1924</v>
      </c>
      <c r="D7" s="1041" t="s">
        <v>1925</v>
      </c>
      <c r="E7" s="1041" t="s">
        <v>1926</v>
      </c>
      <c r="F7" s="1041" t="s">
        <v>1927</v>
      </c>
      <c r="G7" s="1040" t="s">
        <v>1928</v>
      </c>
      <c r="H7" s="1040" t="s">
        <v>1929</v>
      </c>
      <c r="I7" s="1040" t="s">
        <v>1930</v>
      </c>
      <c r="J7" s="1040" t="s">
        <v>1931</v>
      </c>
      <c r="K7" s="1040" t="s">
        <v>1932</v>
      </c>
      <c r="L7" s="1040" t="s">
        <v>1933</v>
      </c>
      <c r="M7" s="1040" t="s">
        <v>1934</v>
      </c>
      <c r="N7" s="1042" t="s">
        <v>1523</v>
      </c>
      <c r="O7" s="1043" t="s">
        <v>1935</v>
      </c>
      <c r="P7" s="1044"/>
      <c r="Q7" s="1045" t="s">
        <v>1936</v>
      </c>
      <c r="R7" s="1045" t="s">
        <v>1937</v>
      </c>
      <c r="U7" s="1046" t="s">
        <v>1938</v>
      </c>
      <c r="V7" s="1047" t="n">
        <v>37.8</v>
      </c>
      <c r="W7" s="538"/>
      <c r="Y7" s="1048" t="s">
        <v>1938</v>
      </c>
      <c r="Z7" s="1049" t="n">
        <v>37.8</v>
      </c>
      <c r="AB7" s="1048" t="s">
        <v>1939</v>
      </c>
      <c r="AC7" s="1049" t="n">
        <v>4.7</v>
      </c>
    </row>
    <row r="8" customFormat="false" ht="14.45" hidden="false" customHeight="true" outlineLevel="0" collapsed="false">
      <c r="A8" s="1050" t="s">
        <v>1940</v>
      </c>
      <c r="B8" s="1051" t="n">
        <f aca="false">'[7]PDU 1C'!$J$8</f>
        <v>315.72</v>
      </c>
      <c r="C8" s="1051" t="n">
        <f aca="false">'[7]PDU 1D'!$J$8</f>
        <v>315.72</v>
      </c>
      <c r="D8" s="1052" t="n">
        <f aca="false">'[7]PDU 2C '!$J$8</f>
        <v>308.52</v>
      </c>
      <c r="E8" s="1052" t="n">
        <f aca="false">'[7]PDU 2D'!$J$8</f>
        <v>308.52</v>
      </c>
      <c r="F8" s="1052" t="n">
        <f aca="false">'[7]PDU 3C'!$J$8</f>
        <v>103.9</v>
      </c>
      <c r="G8" s="1053" t="n">
        <f aca="false">'[7]PDU 3D'!$J$8</f>
        <v>104</v>
      </c>
      <c r="H8" s="1053" t="n">
        <f aca="false">'[7]PDU 4C'!$J$8</f>
        <v>0</v>
      </c>
      <c r="I8" s="1053" t="n">
        <f aca="false">'[7]PDU 4D'!$J$8</f>
        <v>0</v>
      </c>
      <c r="J8" s="1053" t="n">
        <f aca="false">'[7]PDU 6C'!$J$8</f>
        <v>0</v>
      </c>
      <c r="K8" s="1053" t="n">
        <f aca="false">'[7]PDU 6D'!$J$8</f>
        <v>0</v>
      </c>
      <c r="L8" s="1053" t="n">
        <f aca="false">'[7]PDU 8C'!$J$8</f>
        <v>0</v>
      </c>
      <c r="M8" s="1053" t="n">
        <f aca="false">'[7]PDU 8D'!$J$8</f>
        <v>0</v>
      </c>
      <c r="N8" s="1054" t="n">
        <f aca="false">SUM(B8:M8)</f>
        <v>1456.38</v>
      </c>
      <c r="O8" s="1055" t="s">
        <v>99</v>
      </c>
      <c r="P8" s="1056"/>
      <c r="Q8" s="1057" t="n">
        <v>0.7</v>
      </c>
      <c r="R8" s="1058" t="s">
        <v>99</v>
      </c>
      <c r="U8" s="1059" t="s">
        <v>1941</v>
      </c>
      <c r="V8" s="1060" t="n">
        <v>41.4</v>
      </c>
      <c r="W8" s="538"/>
      <c r="Y8" s="446" t="s">
        <v>1941</v>
      </c>
      <c r="Z8" s="1061" t="n">
        <v>41.4</v>
      </c>
      <c r="AB8" s="446" t="s">
        <v>1942</v>
      </c>
      <c r="AC8" s="1061" t="n">
        <v>4.7</v>
      </c>
    </row>
    <row r="9" customFormat="false" ht="14.45" hidden="false" customHeight="true" outlineLevel="0" collapsed="false">
      <c r="A9" s="1050" t="s">
        <v>1943</v>
      </c>
      <c r="B9" s="1062" t="n">
        <f aca="false">SUM((B8*230)/1000)</f>
        <v>72.6156</v>
      </c>
      <c r="C9" s="1062" t="n">
        <f aca="false">SUM((C8*230)/1000)</f>
        <v>72.6156</v>
      </c>
      <c r="D9" s="1062" t="n">
        <f aca="false">SUM((D8*230)/1000)</f>
        <v>70.9596</v>
      </c>
      <c r="E9" s="1062" t="n">
        <f aca="false">SUM((E8*230)/1000)</f>
        <v>70.9596</v>
      </c>
      <c r="F9" s="1062" t="n">
        <f aca="false">SUM((F8*230)/1000)</f>
        <v>23.897</v>
      </c>
      <c r="G9" s="1062" t="n">
        <f aca="false">SUM((G8*230)/1000)</f>
        <v>23.92</v>
      </c>
      <c r="H9" s="1062" t="n">
        <f aca="false">SUM((H8*230)/1000)</f>
        <v>0</v>
      </c>
      <c r="I9" s="1062" t="n">
        <f aca="false">SUM((I8*230)/1000)</f>
        <v>0</v>
      </c>
      <c r="J9" s="1062" t="n">
        <f aca="false">SUM((J8*230)/1000)</f>
        <v>0</v>
      </c>
      <c r="K9" s="1062" t="n">
        <f aca="false">SUM((K8*230)/1000)</f>
        <v>0</v>
      </c>
      <c r="L9" s="1062" t="n">
        <f aca="false">SUM((L8*230)/1000)</f>
        <v>0</v>
      </c>
      <c r="M9" s="1062" t="n">
        <f aca="false">SUM((M8*230)/1000)</f>
        <v>0</v>
      </c>
      <c r="N9" s="1051" t="n">
        <f aca="false">B9+C9+D9+E9+F9+G9+H9+I9+J9+K9+L9+M9</f>
        <v>334.9674</v>
      </c>
      <c r="O9" s="1063" t="n">
        <f aca="false">N9/B4</f>
        <v>0.558279</v>
      </c>
      <c r="P9" s="1064"/>
      <c r="Q9" s="1065" t="n">
        <v>0.7</v>
      </c>
      <c r="R9" s="1065" t="n">
        <v>0.8</v>
      </c>
      <c r="U9" s="1059" t="s">
        <v>1938</v>
      </c>
      <c r="V9" s="1060" t="n">
        <v>37.8</v>
      </c>
      <c r="W9" s="538"/>
      <c r="Y9" s="446" t="s">
        <v>1938</v>
      </c>
      <c r="Z9" s="1061" t="n">
        <v>37.8</v>
      </c>
      <c r="AB9" s="446" t="s">
        <v>1944</v>
      </c>
      <c r="AC9" s="1061" t="n">
        <v>7.9</v>
      </c>
    </row>
    <row r="10" customFormat="false" ht="14.45" hidden="false" customHeight="true" outlineLevel="0" collapsed="false">
      <c r="P10" s="449"/>
      <c r="Q10" s="1066" t="n">
        <v>0.8</v>
      </c>
      <c r="R10" s="1066" t="n">
        <v>0.9</v>
      </c>
      <c r="U10" s="1067" t="s">
        <v>1945</v>
      </c>
      <c r="V10" s="1068" t="n">
        <v>117</v>
      </c>
      <c r="W10" s="538"/>
      <c r="Y10" s="1069" t="s">
        <v>1945</v>
      </c>
      <c r="Z10" s="1070" t="n">
        <f aca="false">SUM(Z7:Z9)</f>
        <v>117</v>
      </c>
      <c r="AB10" s="446" t="s">
        <v>1946</v>
      </c>
      <c r="AC10" s="1061" t="n">
        <v>41.4</v>
      </c>
    </row>
    <row r="11" customFormat="false" ht="14.45" hidden="false" customHeight="true" outlineLevel="0" collapsed="false">
      <c r="A11" s="1050" t="s">
        <v>1947</v>
      </c>
      <c r="B11" s="1050" t="s">
        <v>1923</v>
      </c>
      <c r="C11" s="1050" t="s">
        <v>1924</v>
      </c>
      <c r="D11" s="1050" t="s">
        <v>1925</v>
      </c>
      <c r="E11" s="1050" t="s">
        <v>1926</v>
      </c>
      <c r="F11" s="1050" t="s">
        <v>1927</v>
      </c>
      <c r="G11" s="1050" t="s">
        <v>1928</v>
      </c>
      <c r="H11" s="1050" t="s">
        <v>1929</v>
      </c>
      <c r="I11" s="1050" t="s">
        <v>1930</v>
      </c>
      <c r="J11" s="1050" t="s">
        <v>1931</v>
      </c>
      <c r="K11" s="1050" t="s">
        <v>1932</v>
      </c>
      <c r="L11" s="1050" t="s">
        <v>1933</v>
      </c>
      <c r="M11" s="1050" t="s">
        <v>1934</v>
      </c>
      <c r="P11" s="1071"/>
      <c r="Q11" s="1072" t="n">
        <v>0.9</v>
      </c>
      <c r="R11" s="1072" t="n">
        <v>0.99</v>
      </c>
      <c r="U11" s="1073" t="s">
        <v>1948</v>
      </c>
      <c r="V11" s="1074" t="n">
        <v>37.8</v>
      </c>
      <c r="W11" s="538"/>
      <c r="Y11" s="1075" t="s">
        <v>1949</v>
      </c>
      <c r="Z11" s="1076" t="n">
        <v>27</v>
      </c>
      <c r="AB11" s="446" t="s">
        <v>1950</v>
      </c>
      <c r="AC11" s="1061" t="n">
        <v>41.4</v>
      </c>
    </row>
    <row r="12" customFormat="false" ht="14.45" hidden="false" customHeight="true" outlineLevel="0" collapsed="false">
      <c r="A12" s="1050" t="s">
        <v>1951</v>
      </c>
      <c r="B12" s="1077" t="n">
        <f aca="false">'[7]PDU 1C'!$J$5</f>
        <v>117.98</v>
      </c>
      <c r="C12" s="1077" t="n">
        <f aca="false">'[7]PDU 1D'!$J$5</f>
        <v>117.98</v>
      </c>
      <c r="D12" s="1077" t="n">
        <f aca="false">'[7]PDU 2C '!$J$5</f>
        <v>92.9</v>
      </c>
      <c r="E12" s="1077" t="n">
        <f aca="false">'[7]PDU 2D'!$J$5</f>
        <v>92.9</v>
      </c>
      <c r="F12" s="1077" t="n">
        <f aca="false">'[7]PDU 3C'!$J$5</f>
        <v>43.1</v>
      </c>
      <c r="G12" s="1077" t="n">
        <f aca="false">'[7]PDU 3D'!$J$5</f>
        <v>43.2</v>
      </c>
      <c r="H12" s="1077" t="n">
        <f aca="false">'[7]PDU 4C'!$J$5</f>
        <v>0</v>
      </c>
      <c r="I12" s="1077" t="n">
        <f aca="false">'[7]PDU 4D'!$J$5</f>
        <v>0</v>
      </c>
      <c r="J12" s="1077" t="n">
        <f aca="false">'[7]PDU 6C'!$J$5</f>
        <v>0</v>
      </c>
      <c r="K12" s="1077" t="n">
        <f aca="false">'[7]PDU 6D'!$J$5</f>
        <v>0</v>
      </c>
      <c r="L12" s="1077" t="n">
        <f aca="false">'[7]PDU 8C'!$J$5</f>
        <v>0</v>
      </c>
      <c r="M12" s="1077" t="n">
        <f aca="false">'[7]PDU 8D'!$J$5</f>
        <v>0</v>
      </c>
      <c r="Q12" s="1058" t="s">
        <v>99</v>
      </c>
      <c r="R12" s="1078" t="n">
        <v>1</v>
      </c>
      <c r="U12" s="1079" t="s">
        <v>1952</v>
      </c>
      <c r="V12" s="1080" t="n">
        <v>154.8</v>
      </c>
      <c r="W12" s="538"/>
      <c r="Y12" s="1081" t="s">
        <v>1952</v>
      </c>
      <c r="Z12" s="1082" t="n">
        <f aca="false">SUM(Z10:Z11)</f>
        <v>144</v>
      </c>
      <c r="AB12" s="446" t="s">
        <v>1953</v>
      </c>
      <c r="AC12" s="1061" t="n">
        <v>41.4</v>
      </c>
    </row>
    <row r="13" customFormat="false" ht="14.45" hidden="false" customHeight="true" outlineLevel="0" collapsed="false">
      <c r="A13" s="1050" t="s">
        <v>1954</v>
      </c>
      <c r="B13" s="1077" t="n">
        <f aca="false">'[7]PDU 1C'!$J$6</f>
        <v>97.8</v>
      </c>
      <c r="C13" s="1077" t="n">
        <f aca="false">'[7]PDU 1D'!$J$6</f>
        <v>97.8</v>
      </c>
      <c r="D13" s="1077" t="n">
        <f aca="false">'[7]PDU 2C '!$J$6</f>
        <v>109.74</v>
      </c>
      <c r="E13" s="1077" t="n">
        <f aca="false">'[7]PDU 2D'!$J$6</f>
        <v>109.74</v>
      </c>
      <c r="F13" s="1077" t="n">
        <f aca="false">'[7]PDU 3C'!$J$6</f>
        <v>41.2</v>
      </c>
      <c r="G13" s="1077" t="n">
        <f aca="false">'[7]PDU 3D'!$J$6</f>
        <v>41.2</v>
      </c>
      <c r="H13" s="1077" t="n">
        <f aca="false">'[7]PDU 4C'!$J$6</f>
        <v>0</v>
      </c>
      <c r="I13" s="1077" t="n">
        <f aca="false">'[7]PDU 4D'!$J$6</f>
        <v>0</v>
      </c>
      <c r="J13" s="1077" t="n">
        <f aca="false">'[7]PDU 6C'!$J$6</f>
        <v>0</v>
      </c>
      <c r="K13" s="1077" t="n">
        <f aca="false">'[7]PDU 6D'!$J$6</f>
        <v>0</v>
      </c>
      <c r="L13" s="1077" t="n">
        <f aca="false">'[7]PDU 8C'!$J$6</f>
        <v>0</v>
      </c>
      <c r="M13" s="1077" t="n">
        <f aca="false">'[7]PDU 8D'!$J$6</f>
        <v>0</v>
      </c>
      <c r="U13" s="538"/>
      <c r="V13" s="538"/>
      <c r="W13" s="538"/>
      <c r="AB13" s="1083" t="s">
        <v>1945</v>
      </c>
      <c r="AC13" s="1084" t="n">
        <f aca="false">SUM(AC7:AC12)</f>
        <v>141.5</v>
      </c>
    </row>
    <row r="14" customFormat="false" ht="14.45" hidden="false" customHeight="true" outlineLevel="0" collapsed="false">
      <c r="A14" s="1050" t="s">
        <v>1955</v>
      </c>
      <c r="B14" s="1077" t="n">
        <f aca="false">'[7]PDU 1C'!$J$7</f>
        <v>99.94</v>
      </c>
      <c r="C14" s="1077" t="n">
        <f aca="false">'[7]PDU 1D'!$J$7</f>
        <v>99.94</v>
      </c>
      <c r="D14" s="1077" t="n">
        <f aca="false">'[7]PDU 2C '!$J$7</f>
        <v>105.88</v>
      </c>
      <c r="E14" s="1077" t="n">
        <f aca="false">'[7]PDU 2D'!$J$7</f>
        <v>105.88</v>
      </c>
      <c r="F14" s="1077" t="n">
        <f aca="false">'[7]PDU 3C'!$J$7</f>
        <v>19.6</v>
      </c>
      <c r="G14" s="1077" t="n">
        <f aca="false">'[7]PDU 3D'!$J$7</f>
        <v>19.6</v>
      </c>
      <c r="H14" s="1077" t="n">
        <f aca="false">'[7]PDU 4C'!$J$7</f>
        <v>0</v>
      </c>
      <c r="I14" s="1077" t="n">
        <f aca="false">'[7]PDU 4D'!$J$7</f>
        <v>0</v>
      </c>
      <c r="J14" s="1077" t="n">
        <f aca="false">'[7]PDU 6C'!$J$7</f>
        <v>0</v>
      </c>
      <c r="K14" s="1077" t="n">
        <f aca="false">'[7]PDU 6D'!$J$7</f>
        <v>0</v>
      </c>
      <c r="L14" s="1077" t="n">
        <f aca="false">'[7]PDU 8C'!$J$7</f>
        <v>0</v>
      </c>
      <c r="M14" s="1077" t="n">
        <f aca="false">'[7]PDU 8D'!$J$7</f>
        <v>0</v>
      </c>
      <c r="U14" s="538"/>
      <c r="V14" s="538"/>
      <c r="W14" s="538"/>
      <c r="Y14" s="1085" t="s">
        <v>1956</v>
      </c>
      <c r="Z14" s="1086" t="s">
        <v>1921</v>
      </c>
    </row>
    <row r="15" customFormat="false" ht="14.45" hidden="false" customHeight="true" outlineLevel="0" collapsed="false">
      <c r="A15" s="543"/>
      <c r="U15" s="538"/>
      <c r="V15" s="538"/>
      <c r="W15" s="538"/>
      <c r="Y15" s="1085"/>
      <c r="Z15" s="1086"/>
    </row>
    <row r="16" customFormat="false" ht="14.45" hidden="false" customHeight="true" outlineLevel="0" collapsed="false">
      <c r="A16" s="1087"/>
      <c r="B16" s="1050" t="s">
        <v>1923</v>
      </c>
      <c r="C16" s="1050" t="s">
        <v>1924</v>
      </c>
      <c r="D16" s="1050" t="s">
        <v>1925</v>
      </c>
      <c r="E16" s="1050" t="s">
        <v>1926</v>
      </c>
      <c r="F16" s="1050" t="s">
        <v>1927</v>
      </c>
      <c r="G16" s="1050" t="s">
        <v>1928</v>
      </c>
      <c r="H16" s="1050" t="s">
        <v>1929</v>
      </c>
      <c r="I16" s="1050" t="s">
        <v>1930</v>
      </c>
      <c r="J16" s="1050" t="s">
        <v>1931</v>
      </c>
      <c r="K16" s="1050" t="s">
        <v>1932</v>
      </c>
      <c r="L16" s="1050" t="s">
        <v>1933</v>
      </c>
      <c r="M16" s="1050" t="s">
        <v>1934</v>
      </c>
      <c r="N16" s="1088" t="s">
        <v>1523</v>
      </c>
      <c r="O16" s="1089" t="s">
        <v>1935</v>
      </c>
      <c r="U16" s="538"/>
      <c r="V16" s="538"/>
      <c r="W16" s="538"/>
      <c r="Y16" s="1090" t="s">
        <v>1957</v>
      </c>
      <c r="Z16" s="1091" t="n">
        <v>10.8</v>
      </c>
    </row>
    <row r="17" customFormat="false" ht="14.45" hidden="false" customHeight="true" outlineLevel="0" collapsed="false">
      <c r="A17" s="1040" t="s">
        <v>1958</v>
      </c>
      <c r="B17" s="1092" t="n">
        <f aca="false">'[7]PDU 1C'!$K$8</f>
        <v>117.6</v>
      </c>
      <c r="C17" s="1092" t="n">
        <f aca="false">'[7]PDU 1D'!$K$8</f>
        <v>106</v>
      </c>
      <c r="D17" s="1053" t="n">
        <f aca="false">'[7]PDU 2C '!$K$8</f>
        <v>139.3</v>
      </c>
      <c r="E17" s="1053" t="n">
        <f aca="false">'[7]PDU 2D'!$K$8</f>
        <v>125.5</v>
      </c>
      <c r="F17" s="1053" t="n">
        <f aca="false">'[7]PDU 3C'!$K$8</f>
        <v>0</v>
      </c>
      <c r="G17" s="1053" t="n">
        <f aca="false">'[7]PDU 3D'!$K$8</f>
        <v>0</v>
      </c>
      <c r="H17" s="1053" t="n">
        <f aca="false">'[7]PDU 4C'!$K$8</f>
        <v>0</v>
      </c>
      <c r="I17" s="1053" t="n">
        <f aca="false">'[7]PDU 4D'!$K$8</f>
        <v>0</v>
      </c>
      <c r="J17" s="1053" t="n">
        <f aca="false">'[7]PDU 6C'!$K$8</f>
        <v>0</v>
      </c>
      <c r="K17" s="1053" t="n">
        <f aca="false">'[7]PDU 6D'!$K$8</f>
        <v>0</v>
      </c>
      <c r="L17" s="1053" t="n">
        <f aca="false">'[7]PDU 8C'!$K$8</f>
        <v>0</v>
      </c>
      <c r="M17" s="1053" t="n">
        <f aca="false">'[7]PDU 8D'!$K$8</f>
        <v>0</v>
      </c>
      <c r="N17" s="1054" t="n">
        <f aca="false">SUM(B17:E17)</f>
        <v>488.4</v>
      </c>
      <c r="O17" s="1055" t="s">
        <v>99</v>
      </c>
      <c r="U17" s="538"/>
      <c r="V17" s="538"/>
      <c r="Y17" s="1093" t="s">
        <v>1959</v>
      </c>
      <c r="Z17" s="1094" t="n">
        <v>37.9</v>
      </c>
    </row>
    <row r="18" customFormat="false" ht="14.45" hidden="false" customHeight="true" outlineLevel="0" collapsed="false">
      <c r="A18" s="1050" t="s">
        <v>1960</v>
      </c>
      <c r="B18" s="1095" t="n">
        <f aca="false">SUM((B17*230)/1000)</f>
        <v>27.048</v>
      </c>
      <c r="C18" s="1095" t="n">
        <f aca="false">SUM((C17*230)/1000)</f>
        <v>24.38</v>
      </c>
      <c r="D18" s="1095" t="n">
        <f aca="false">SUM((D17*230)/1000)</f>
        <v>32.039</v>
      </c>
      <c r="E18" s="1095" t="n">
        <f aca="false">SUM((E17*230)/1000)</f>
        <v>28.865</v>
      </c>
      <c r="F18" s="1095" t="n">
        <f aca="false">SUM((F17*230)/1000)</f>
        <v>0</v>
      </c>
      <c r="G18" s="1095" t="n">
        <f aca="false">SUM((G17*230)/1000)</f>
        <v>0</v>
      </c>
      <c r="H18" s="1095" t="n">
        <f aca="false">SUM((H17*230)/1000)</f>
        <v>0</v>
      </c>
      <c r="I18" s="1095" t="n">
        <f aca="false">SUM((I17*230)/1000)</f>
        <v>0</v>
      </c>
      <c r="J18" s="1095" t="n">
        <f aca="false">SUM((J17*230)/1000)</f>
        <v>0</v>
      </c>
      <c r="K18" s="1095" t="n">
        <f aca="false">SUM((K17*230)/1000)</f>
        <v>0</v>
      </c>
      <c r="L18" s="1095" t="n">
        <f aca="false">SUM((L17*230)/1000)</f>
        <v>0</v>
      </c>
      <c r="M18" s="1095" t="n">
        <f aca="false">SUM((M17*230)/1000)</f>
        <v>0</v>
      </c>
      <c r="N18" s="1095" t="n">
        <f aca="false">B18+C18+D18+E18</f>
        <v>112.332</v>
      </c>
      <c r="O18" s="1063" t="n">
        <f aca="false">N18/B4</f>
        <v>0.18722</v>
      </c>
      <c r="Y18" s="1083" t="s">
        <v>1945</v>
      </c>
      <c r="Z18" s="1096" t="n">
        <f aca="false">SUM(Z17)</f>
        <v>37.9</v>
      </c>
    </row>
    <row r="19" customFormat="false" ht="14.45" hidden="false" customHeight="true" outlineLevel="0" collapsed="false"/>
    <row r="20" customFormat="false" ht="14.45" hidden="false" customHeight="true" outlineLevel="0" collapsed="false">
      <c r="A20" s="1050" t="s">
        <v>1961</v>
      </c>
      <c r="B20" s="1050" t="s">
        <v>1923</v>
      </c>
      <c r="C20" s="1050" t="s">
        <v>1924</v>
      </c>
      <c r="D20" s="1050" t="s">
        <v>1925</v>
      </c>
      <c r="E20" s="1050" t="s">
        <v>1926</v>
      </c>
      <c r="F20" s="1050" t="s">
        <v>1927</v>
      </c>
      <c r="G20" s="1050" t="s">
        <v>1928</v>
      </c>
      <c r="H20" s="1050" t="s">
        <v>1929</v>
      </c>
      <c r="I20" s="1050" t="s">
        <v>1930</v>
      </c>
      <c r="J20" s="1050" t="s">
        <v>1931</v>
      </c>
      <c r="K20" s="1050" t="s">
        <v>1932</v>
      </c>
      <c r="L20" s="1050" t="s">
        <v>1933</v>
      </c>
      <c r="M20" s="1050" t="s">
        <v>1934</v>
      </c>
    </row>
    <row r="21" customFormat="false" ht="14.45" hidden="false" customHeight="true" outlineLevel="0" collapsed="false">
      <c r="A21" s="1050" t="s">
        <v>1951</v>
      </c>
      <c r="B21" s="1097" t="n">
        <f aca="false">'[7]PDU 1C'!$K$5</f>
        <v>46.5</v>
      </c>
      <c r="C21" s="1077" t="n">
        <f aca="false">'[7]PDU 1D'!$K$5</f>
        <v>41.7</v>
      </c>
      <c r="D21" s="1077" t="n">
        <f aca="false">'[7]PDU 2C '!$K$5</f>
        <v>42.9</v>
      </c>
      <c r="E21" s="1077" t="n">
        <f aca="false">'[7]PDU 2D'!$K$5</f>
        <v>38.9</v>
      </c>
      <c r="F21" s="1077" t="n">
        <f aca="false">'[7]PDU 3C'!$K$5</f>
        <v>0</v>
      </c>
      <c r="G21" s="1077" t="n">
        <f aca="false">'[7]PDU 3D'!$K$5</f>
        <v>0</v>
      </c>
      <c r="H21" s="1077" t="n">
        <f aca="false">'[7]PDU 4C'!$K$5</f>
        <v>0</v>
      </c>
      <c r="I21" s="1077" t="n">
        <f aca="false">'[7]PDU 4D'!$K$5</f>
        <v>0</v>
      </c>
      <c r="J21" s="1077" t="n">
        <f aca="false">'[7]PDU 6C'!$K$5</f>
        <v>0</v>
      </c>
      <c r="K21" s="1077" t="n">
        <f aca="false">'[7]PDU 6D'!$K$5</f>
        <v>0</v>
      </c>
      <c r="L21" s="1077" t="n">
        <f aca="false">'[7]PDU 8C'!$K$5</f>
        <v>0</v>
      </c>
      <c r="M21" s="1077" t="n">
        <f aca="false">'[7]PDU 8D'!$K$5</f>
        <v>0</v>
      </c>
    </row>
    <row r="22" customFormat="false" ht="14.45" hidden="false" customHeight="true" outlineLevel="0" collapsed="false">
      <c r="A22" s="1050" t="s">
        <v>1954</v>
      </c>
      <c r="B22" s="1097" t="n">
        <f aca="false">'[7]PDU 1C'!$K$6</f>
        <v>35.3</v>
      </c>
      <c r="C22" s="1077" t="n">
        <f aca="false">'[7]PDU 1D'!$K$6</f>
        <v>31.8</v>
      </c>
      <c r="D22" s="1077" t="n">
        <f aca="false">'[7]PDU 2C '!$K$6</f>
        <v>48.5</v>
      </c>
      <c r="E22" s="1077" t="n">
        <f aca="false">'[7]PDU 2D'!$K$6</f>
        <v>43.1</v>
      </c>
      <c r="F22" s="1077" t="n">
        <f aca="false">'[7]PDU 3C'!$K$6</f>
        <v>0</v>
      </c>
      <c r="G22" s="1077" t="n">
        <f aca="false">'[7]PDU 3D'!$K$6</f>
        <v>0</v>
      </c>
      <c r="H22" s="1077" t="n">
        <f aca="false">'[7]PDU 4C'!$K$6</f>
        <v>0</v>
      </c>
      <c r="I22" s="1077" t="n">
        <f aca="false">'[7]PDU 4D'!$K$6</f>
        <v>0</v>
      </c>
      <c r="J22" s="1077" t="n">
        <f aca="false">'[7]PDU 6C'!$K$6</f>
        <v>0</v>
      </c>
      <c r="K22" s="1077" t="n">
        <f aca="false">'[7]PDU 6D'!$K$6</f>
        <v>0</v>
      </c>
      <c r="L22" s="1077" t="n">
        <f aca="false">'[7]PDU 8C'!$K$6</f>
        <v>0</v>
      </c>
      <c r="M22" s="1077" t="n">
        <f aca="false">'[7]PDU 8D'!$K$6</f>
        <v>0</v>
      </c>
    </row>
    <row r="23" customFormat="false" ht="14.45" hidden="false" customHeight="true" outlineLevel="0" collapsed="false">
      <c r="A23" s="1050" t="s">
        <v>1955</v>
      </c>
      <c r="B23" s="1097" t="n">
        <f aca="false">'[7]PDU 1C'!$K$7</f>
        <v>35.8</v>
      </c>
      <c r="C23" s="1077" t="n">
        <f aca="false">'[7]PDU 1D'!$K$7</f>
        <v>32.5</v>
      </c>
      <c r="D23" s="1077" t="n">
        <f aca="false">'[7]PDU 2C '!$K$7</f>
        <v>47.9</v>
      </c>
      <c r="E23" s="1077" t="n">
        <f aca="false">'[7]PDU 2D'!$K$7</f>
        <v>43.5</v>
      </c>
      <c r="F23" s="1077" t="n">
        <f aca="false">'[7]PDU 3C'!$K$7</f>
        <v>0</v>
      </c>
      <c r="G23" s="1077" t="n">
        <f aca="false">'[7]PDU 3D'!$K$7</f>
        <v>0</v>
      </c>
      <c r="H23" s="1077" t="n">
        <f aca="false">'[7]PDU 4C'!$K$7</f>
        <v>0</v>
      </c>
      <c r="I23" s="1077" t="n">
        <f aca="false">'[7]PDU 4D'!$K$7</f>
        <v>0</v>
      </c>
      <c r="J23" s="1077" t="n">
        <f aca="false">'[7]PDU 6C'!$K$7</f>
        <v>0</v>
      </c>
      <c r="K23" s="1077" t="n">
        <f aca="false">'[7]PDU 6D'!$K$7</f>
        <v>0</v>
      </c>
      <c r="L23" s="1077" t="n">
        <f aca="false">'[7]PDU 8C'!$K$7</f>
        <v>0</v>
      </c>
      <c r="M23" s="1077" t="n">
        <f aca="false">'[7]PDU 8D'!$K$7</f>
        <v>0</v>
      </c>
    </row>
    <row r="24" customFormat="false" ht="14.45" hidden="false" customHeight="true" outlineLevel="0" collapsed="false"/>
    <row r="25" customFormat="false" ht="30.75" hidden="false" customHeight="true" outlineLevel="0" collapsed="false">
      <c r="A25" s="1098" t="s">
        <v>1962</v>
      </c>
      <c r="B25" s="1098"/>
      <c r="C25" s="1098"/>
      <c r="D25" s="1098"/>
      <c r="E25" s="1098"/>
      <c r="F25" s="1099"/>
      <c r="G25" s="1099"/>
      <c r="H25" s="1099"/>
      <c r="I25" s="1099"/>
    </row>
    <row r="26" customFormat="false" ht="14.45" hidden="false" customHeight="true" outlineLevel="0" collapsed="false">
      <c r="A26" s="1100"/>
      <c r="B26" s="1101" t="s">
        <v>1963</v>
      </c>
      <c r="C26" s="1101" t="s">
        <v>1964</v>
      </c>
      <c r="D26" s="1102" t="s">
        <v>1965</v>
      </c>
      <c r="E26" s="1103" t="s">
        <v>1966</v>
      </c>
    </row>
    <row r="27" customFormat="false" ht="14.45" hidden="false" customHeight="true" outlineLevel="0" collapsed="false">
      <c r="A27" s="1104" t="s">
        <v>1967</v>
      </c>
      <c r="B27" s="1105" t="n">
        <v>4</v>
      </c>
      <c r="C27" s="1106" t="n">
        <f aca="false">SUM(B27-1)*250</f>
        <v>750</v>
      </c>
      <c r="D27" s="1107" t="n">
        <f aca="false">SUM(C27/2)</f>
        <v>375</v>
      </c>
      <c r="E27" s="1108" t="n">
        <f aca="false">D27*0.9</f>
        <v>337.5</v>
      </c>
    </row>
    <row r="28" customFormat="false" ht="14.45" hidden="false" customHeight="true" outlineLevel="0" collapsed="false">
      <c r="A28" s="1109" t="s">
        <v>1968</v>
      </c>
      <c r="B28" s="1110" t="n">
        <v>4</v>
      </c>
      <c r="C28" s="1111" t="n">
        <f aca="false">SUM(B28-1)*250</f>
        <v>750</v>
      </c>
      <c r="D28" s="1112" t="n">
        <f aca="false">SUM(C28/2)</f>
        <v>375</v>
      </c>
      <c r="E28" s="1113" t="n">
        <f aca="false">D28*0.9</f>
        <v>337.5</v>
      </c>
    </row>
    <row r="29" customFormat="false" ht="31.15" hidden="false" customHeight="true" outlineLevel="0" collapsed="false">
      <c r="D29" s="1114" t="s">
        <v>578</v>
      </c>
      <c r="E29" s="1115" t="n">
        <f aca="false">SUM(E27:E28)</f>
        <v>675</v>
      </c>
      <c r="F29" s="1116" t="s">
        <v>1969</v>
      </c>
      <c r="G29" s="1116"/>
      <c r="H29" s="1116"/>
      <c r="I29" s="1116"/>
    </row>
    <row r="30" customFormat="false" ht="14.45" hidden="false" customHeight="true" outlineLevel="0" collapsed="false"/>
    <row r="31" customFormat="false" ht="14.45" hidden="false" customHeight="false" outlineLevel="0" collapsed="false">
      <c r="A31" s="1117" t="s">
        <v>1970</v>
      </c>
      <c r="B31" s="1117"/>
      <c r="C31" s="1117"/>
      <c r="D31" s="1117"/>
      <c r="E31" s="1117"/>
      <c r="F31" s="1117"/>
      <c r="G31" s="1117"/>
    </row>
    <row r="32" customFormat="false" ht="14.45" hidden="false" customHeight="false" outlineLevel="0" collapsed="false">
      <c r="A32" s="1118" t="s">
        <v>1971</v>
      </c>
      <c r="B32" s="1118"/>
      <c r="C32" s="1118"/>
      <c r="D32" s="1118"/>
      <c r="E32" s="1118"/>
      <c r="F32" s="1118"/>
      <c r="G32" s="1118"/>
    </row>
    <row r="33" customFormat="false" ht="15" hidden="false" customHeight="false" outlineLevel="0" collapsed="false">
      <c r="A33" s="1119" t="s">
        <v>1972</v>
      </c>
      <c r="B33" s="1119"/>
      <c r="C33" s="1119"/>
      <c r="D33" s="1119"/>
      <c r="E33" s="1119"/>
      <c r="F33" s="1119"/>
      <c r="G33" s="1119"/>
    </row>
    <row r="34" customFormat="false" ht="10.15" hidden="false" customHeight="false" outlineLevel="0" collapsed="false">
      <c r="G34" s="595"/>
    </row>
    <row r="35" s="1120" customFormat="true" ht="15" hidden="false" customHeight="false" outlineLevel="0" collapsed="false">
      <c r="G35" s="1121"/>
    </row>
    <row r="36" customFormat="false" ht="10.9" hidden="false" customHeight="false" outlineLevel="0" collapsed="false">
      <c r="G36" s="595"/>
    </row>
    <row r="37" customFormat="false" ht="18.6" hidden="false" customHeight="false" outlineLevel="0" collapsed="false">
      <c r="B37" s="1029" t="s">
        <v>1915</v>
      </c>
      <c r="C37" s="595"/>
      <c r="D37" s="1030" t="s">
        <v>1973</v>
      </c>
      <c r="E37" s="1030"/>
    </row>
    <row r="38" customFormat="false" ht="18.6" hidden="false" customHeight="false" outlineLevel="0" collapsed="false">
      <c r="A38" s="1031" t="s">
        <v>1974</v>
      </c>
      <c r="B38" s="1032" t="n">
        <v>600</v>
      </c>
      <c r="C38" s="543"/>
      <c r="D38" s="543"/>
      <c r="E38" s="543"/>
    </row>
    <row r="39" customFormat="false" ht="10.15" hidden="false" customHeight="false" outlineLevel="0" collapsed="false"/>
    <row r="40" customFormat="false" ht="28.9" hidden="false" customHeight="true" outlineLevel="0" collapsed="false">
      <c r="A40" s="1033" t="s">
        <v>1975</v>
      </c>
      <c r="B40" s="1033"/>
      <c r="C40" s="1033"/>
      <c r="D40" s="1033"/>
      <c r="E40" s="1033"/>
      <c r="F40" s="1033"/>
      <c r="G40" s="1033"/>
      <c r="H40" s="1033"/>
      <c r="I40" s="1033"/>
      <c r="J40" s="1033"/>
      <c r="K40" s="1033"/>
      <c r="L40" s="1033"/>
      <c r="M40" s="1033"/>
      <c r="N40" s="1033"/>
      <c r="O40" s="1033"/>
      <c r="Q40" s="1035" t="s">
        <v>1919</v>
      </c>
      <c r="R40" s="1035"/>
      <c r="T40" s="1122" t="s">
        <v>1976</v>
      </c>
      <c r="U40" s="1123" t="s">
        <v>1921</v>
      </c>
    </row>
    <row r="41" customFormat="false" ht="14.45" hidden="false" customHeight="false" outlineLevel="0" collapsed="false">
      <c r="A41" s="1039"/>
      <c r="B41" s="1124" t="s">
        <v>1923</v>
      </c>
      <c r="C41" s="1124" t="s">
        <v>1924</v>
      </c>
      <c r="D41" s="1124" t="s">
        <v>1977</v>
      </c>
      <c r="E41" s="1124" t="s">
        <v>1978</v>
      </c>
      <c r="F41" s="1124" t="s">
        <v>1979</v>
      </c>
      <c r="G41" s="1124" t="s">
        <v>1980</v>
      </c>
      <c r="H41" s="1040" t="s">
        <v>1981</v>
      </c>
      <c r="I41" s="1040" t="s">
        <v>1982</v>
      </c>
      <c r="J41" s="1040" t="s">
        <v>1983</v>
      </c>
      <c r="K41" s="1040" t="s">
        <v>1984</v>
      </c>
      <c r="L41" s="1040" t="s">
        <v>1985</v>
      </c>
      <c r="M41" s="1040" t="s">
        <v>1934</v>
      </c>
      <c r="N41" s="1043" t="s">
        <v>1986</v>
      </c>
      <c r="O41" s="1043" t="s">
        <v>1935</v>
      </c>
      <c r="P41" s="1044"/>
      <c r="Q41" s="1125" t="s">
        <v>1936</v>
      </c>
      <c r="R41" s="1125" t="s">
        <v>1937</v>
      </c>
      <c r="T41" s="1046" t="s">
        <v>1987</v>
      </c>
      <c r="U41" s="1047" t="n">
        <v>37.9</v>
      </c>
    </row>
    <row r="42" customFormat="false" ht="14.45" hidden="false" customHeight="false" outlineLevel="0" collapsed="false">
      <c r="A42" s="1050" t="s">
        <v>1940</v>
      </c>
      <c r="B42" s="1050" t="n">
        <f aca="false">'[8]PDU 1C '!$J$8</f>
        <v>0</v>
      </c>
      <c r="C42" s="1050" t="n">
        <f aca="false">'[8]PDU 1D '!$J$8</f>
        <v>0</v>
      </c>
      <c r="D42" s="1050" t="n">
        <f aca="false">'[8]PDU 4C  '!$J$8</f>
        <v>0</v>
      </c>
      <c r="E42" s="1050" t="n">
        <f aca="false">'[8]PDU 4D '!$J$8</f>
        <v>0</v>
      </c>
      <c r="F42" s="1050" t="n">
        <f aca="false">'[8]PDU 5C '!$J$8</f>
        <v>0</v>
      </c>
      <c r="G42" s="1050" t="n">
        <f aca="false">'[8]PDU 5D'!$J$8</f>
        <v>0</v>
      </c>
      <c r="H42" s="1126" t="n">
        <f aca="false">'[8]PDU 6C'!$J$8</f>
        <v>257.6</v>
      </c>
      <c r="I42" s="1126" t="n">
        <f aca="false">'[8]PDU 6D'!$J$8</f>
        <v>257.6</v>
      </c>
      <c r="J42" s="1126" t="n">
        <f aca="false">'[9]PDU 7C '!$J$8</f>
        <v>275</v>
      </c>
      <c r="K42" s="1126" t="n">
        <f aca="false">'[9]PDU 7D'!$J$8</f>
        <v>275</v>
      </c>
      <c r="L42" s="1126" t="n">
        <f aca="false">'[8]PDU 8C'!$J$8</f>
        <v>0</v>
      </c>
      <c r="M42" s="1126" t="n">
        <f aca="false">'[8]PDU 8D '!$J$8</f>
        <v>0</v>
      </c>
      <c r="N42" s="1127" t="n">
        <f aca="false">SUM(H42+I42+J42+M42)</f>
        <v>790.2</v>
      </c>
      <c r="O42" s="1128" t="s">
        <v>99</v>
      </c>
      <c r="P42" s="1056"/>
      <c r="Q42" s="1057" t="n">
        <v>0.7</v>
      </c>
      <c r="R42" s="1058" t="s">
        <v>99</v>
      </c>
      <c r="T42" s="1059" t="s">
        <v>1988</v>
      </c>
      <c r="U42" s="1060" t="n">
        <v>37.9</v>
      </c>
    </row>
    <row r="43" customFormat="false" ht="14.45" hidden="false" customHeight="false" outlineLevel="0" collapsed="false">
      <c r="A43" s="1050" t="s">
        <v>1943</v>
      </c>
      <c r="B43" s="1051" t="n">
        <f aca="false">SUM((B42*230)/1000)</f>
        <v>0</v>
      </c>
      <c r="C43" s="1051" t="n">
        <f aca="false">SUM((C42*230)/1000)</f>
        <v>0</v>
      </c>
      <c r="D43" s="1051" t="n">
        <f aca="false">SUM((D42*230)/1000)</f>
        <v>0</v>
      </c>
      <c r="E43" s="1051" t="n">
        <f aca="false">SUM((E42*230)/1000)</f>
        <v>0</v>
      </c>
      <c r="F43" s="1051" t="n">
        <f aca="false">SUM((F42*230)/1000)</f>
        <v>0</v>
      </c>
      <c r="G43" s="1051" t="n">
        <f aca="false">SUM((G42*230)/1000)</f>
        <v>0</v>
      </c>
      <c r="H43" s="1126" t="n">
        <f aca="false">SUM((H42*230)/1000)</f>
        <v>59.248</v>
      </c>
      <c r="I43" s="1126" t="n">
        <f aca="false">SUM((I42*230)/1000)</f>
        <v>59.248</v>
      </c>
      <c r="J43" s="1126" t="n">
        <f aca="false">SUM((J42*230)/1000)</f>
        <v>63.25</v>
      </c>
      <c r="K43" s="1126" t="n">
        <f aca="false">SUM((K42*230)/1000)</f>
        <v>63.25</v>
      </c>
      <c r="L43" s="1126" t="n">
        <f aca="false">SUM((L42*230)/1000)</f>
        <v>0</v>
      </c>
      <c r="M43" s="1126" t="n">
        <f aca="false">SUM((M42*230)/1000)</f>
        <v>0</v>
      </c>
      <c r="N43" s="1126" t="n">
        <f aca="false">B43+C43+D43+E43+F43+G43+H43+I43+J43+M43+K43</f>
        <v>244.996</v>
      </c>
      <c r="O43" s="1129" t="n">
        <f aca="false">N43/B38</f>
        <v>0.408326666666667</v>
      </c>
      <c r="P43" s="1064"/>
      <c r="Q43" s="1065" t="n">
        <v>0.7</v>
      </c>
      <c r="R43" s="1065" t="n">
        <v>0.8</v>
      </c>
      <c r="T43" s="1059" t="s">
        <v>1989</v>
      </c>
      <c r="U43" s="1060" t="n">
        <v>37.8</v>
      </c>
    </row>
    <row r="44" customFormat="false" ht="14.45" hidden="false" customHeight="false" outlineLevel="0" collapsed="false">
      <c r="P44" s="449"/>
      <c r="Q44" s="1066" t="n">
        <v>0.8</v>
      </c>
      <c r="R44" s="1066" t="n">
        <v>0.9</v>
      </c>
      <c r="T44" s="1059" t="s">
        <v>1938</v>
      </c>
      <c r="U44" s="1060" t="n">
        <v>37.9</v>
      </c>
    </row>
    <row r="45" customFormat="false" ht="14.45" hidden="false" customHeight="false" outlineLevel="0" collapsed="false">
      <c r="A45" s="1050" t="s">
        <v>1947</v>
      </c>
      <c r="B45" s="1130" t="s">
        <v>1923</v>
      </c>
      <c r="C45" s="1130" t="s">
        <v>1924</v>
      </c>
      <c r="D45" s="1130" t="s">
        <v>1977</v>
      </c>
      <c r="E45" s="1130" t="s">
        <v>1978</v>
      </c>
      <c r="F45" s="1130" t="s">
        <v>1979</v>
      </c>
      <c r="G45" s="1130" t="s">
        <v>1980</v>
      </c>
      <c r="H45" s="1050" t="s">
        <v>1981</v>
      </c>
      <c r="I45" s="1050" t="s">
        <v>1982</v>
      </c>
      <c r="J45" s="1050" t="s">
        <v>1983</v>
      </c>
      <c r="K45" s="1050" t="s">
        <v>1984</v>
      </c>
      <c r="L45" s="1050" t="s">
        <v>1985</v>
      </c>
      <c r="M45" s="1050" t="s">
        <v>1934</v>
      </c>
      <c r="P45" s="1071"/>
      <c r="Q45" s="1072" t="n">
        <v>0.9</v>
      </c>
      <c r="R45" s="1072" t="n">
        <v>0.99</v>
      </c>
      <c r="T45" s="1059" t="s">
        <v>1939</v>
      </c>
      <c r="U45" s="1060" t="n">
        <v>4.7</v>
      </c>
    </row>
    <row r="46" customFormat="false" ht="14.45" hidden="false" customHeight="false" outlineLevel="0" collapsed="false">
      <c r="A46" s="1050" t="s">
        <v>1951</v>
      </c>
      <c r="B46" s="1050" t="n">
        <f aca="false">'[8]PDU 1C '!$J$5</f>
        <v>0</v>
      </c>
      <c r="C46" s="1050" t="n">
        <f aca="false">'[8]PDU 1D '!$J$5</f>
        <v>0</v>
      </c>
      <c r="D46" s="1050" t="n">
        <f aca="false">'[8]PDU 4C  '!$J$5</f>
        <v>0</v>
      </c>
      <c r="E46" s="1050" t="n">
        <f aca="false">'[8]PDU 4D '!$J$5</f>
        <v>0</v>
      </c>
      <c r="F46" s="1050" t="n">
        <f aca="false">'[8]PDU 5C '!$J$5</f>
        <v>0</v>
      </c>
      <c r="G46" s="1050" t="n">
        <f aca="false">'[8]PDU 5D'!$J$5</f>
        <v>0</v>
      </c>
      <c r="H46" s="1131" t="n">
        <f aca="false">'[9]PDU 6C'!$J$5</f>
        <v>41.2</v>
      </c>
      <c r="I46" s="1131" t="n">
        <f aca="false">'[9]PDU 6D'!$J$5</f>
        <v>41.2</v>
      </c>
      <c r="J46" s="1131" t="n">
        <f aca="false">'[9]PDU 7C '!$J$5</f>
        <v>84.4</v>
      </c>
      <c r="K46" s="1131" t="n">
        <f aca="false">'[9]PDU 7D'!$J$5</f>
        <v>84.4</v>
      </c>
      <c r="L46" s="1131" t="n">
        <f aca="false">'[8]PDU 8C'!$J$5</f>
        <v>0</v>
      </c>
      <c r="M46" s="1131" t="n">
        <f aca="false">'[8]PDU 8D '!$J$5</f>
        <v>0</v>
      </c>
      <c r="Q46" s="1058" t="s">
        <v>99</v>
      </c>
      <c r="R46" s="1078" t="n">
        <v>1</v>
      </c>
      <c r="T46" s="1059" t="s">
        <v>1942</v>
      </c>
      <c r="U46" s="1060" t="n">
        <v>4.7</v>
      </c>
    </row>
    <row r="47" customFormat="false" ht="14.45" hidden="false" customHeight="false" outlineLevel="0" collapsed="false">
      <c r="A47" s="1050" t="s">
        <v>1954</v>
      </c>
      <c r="B47" s="1050" t="n">
        <f aca="false">'[8]PDU 1C '!$J$6</f>
        <v>0</v>
      </c>
      <c r="C47" s="1050" t="n">
        <f aca="false">'[8]PDU 1D '!$J$6</f>
        <v>0</v>
      </c>
      <c r="D47" s="1050" t="n">
        <f aca="false">'[8]PDU 4C  '!$J$6</f>
        <v>0</v>
      </c>
      <c r="E47" s="1050" t="n">
        <f aca="false">'[8]PDU 4D '!$J$6</f>
        <v>0</v>
      </c>
      <c r="F47" s="1050" t="n">
        <f aca="false">'[8]PDU 5C '!$J$6</f>
        <v>0</v>
      </c>
      <c r="G47" s="1050" t="n">
        <f aca="false">'[8]PDU 5D'!$J$6</f>
        <v>0</v>
      </c>
      <c r="H47" s="1131" t="n">
        <f aca="false">'[9]PDU 6C'!$J$6</f>
        <v>32</v>
      </c>
      <c r="I47" s="1131" t="n">
        <f aca="false">'[9]PDU 6D'!$J$6</f>
        <v>32</v>
      </c>
      <c r="J47" s="1131" t="n">
        <f aca="false">'[9]PDU 7C '!$J$6</f>
        <v>97.8</v>
      </c>
      <c r="K47" s="1131" t="n">
        <f aca="false">'[9]PDU 7D'!$J$6</f>
        <v>97.8</v>
      </c>
      <c r="L47" s="1131" t="n">
        <f aca="false">'[8]PDU 8C'!$J$6</f>
        <v>0</v>
      </c>
      <c r="M47" s="1131" t="n">
        <f aca="false">'[8]PDU 8D '!$J$6</f>
        <v>0</v>
      </c>
      <c r="T47" s="1059" t="s">
        <v>1944</v>
      </c>
      <c r="U47" s="1060" t="n">
        <v>8</v>
      </c>
    </row>
    <row r="48" customFormat="false" ht="14.45" hidden="false" customHeight="false" outlineLevel="0" collapsed="false">
      <c r="A48" s="1050" t="s">
        <v>1955</v>
      </c>
      <c r="B48" s="1050" t="n">
        <f aca="false">'[8]PDU 1C '!$J$7</f>
        <v>0</v>
      </c>
      <c r="C48" s="1050" t="n">
        <f aca="false">'[8]PDU 1D '!$J$7</f>
        <v>0</v>
      </c>
      <c r="D48" s="1050" t="n">
        <f aca="false">'[8]PDU 4C  '!$J$7</f>
        <v>0</v>
      </c>
      <c r="E48" s="1050" t="n">
        <f aca="false">'[8]PDU 4D '!$J$7</f>
        <v>0</v>
      </c>
      <c r="F48" s="1050" t="n">
        <f aca="false">'[8]PDU 5C '!$J$7</f>
        <v>0</v>
      </c>
      <c r="G48" s="1050" t="n">
        <f aca="false">'[8]PDU 5D'!$J$7</f>
        <v>0</v>
      </c>
      <c r="H48" s="1131" t="n">
        <f aca="false">'[9]PDU 6C'!$J$7</f>
        <v>19.6</v>
      </c>
      <c r="I48" s="1131" t="n">
        <f aca="false">'[9]PDU 6D'!$J$7</f>
        <v>19.6</v>
      </c>
      <c r="J48" s="1131" t="n">
        <f aca="false">'[9]PDU 7C '!$J$7</f>
        <v>92.8</v>
      </c>
      <c r="K48" s="1131" t="n">
        <f aca="false">'[9]PDU 7D'!$J$7</f>
        <v>92.8</v>
      </c>
      <c r="L48" s="1131" t="n">
        <f aca="false">'[8]PDU 8C'!$J$7</f>
        <v>0</v>
      </c>
      <c r="M48" s="1131" t="n">
        <f aca="false">'[8]PDU 8D '!$J$7</f>
        <v>0</v>
      </c>
      <c r="T48" s="1132" t="s">
        <v>1990</v>
      </c>
      <c r="U48" s="1133" t="n">
        <v>168.9</v>
      </c>
    </row>
    <row r="49" customFormat="false" ht="14.45" hidden="false" customHeight="false" outlineLevel="0" collapsed="false">
      <c r="T49" s="1134" t="s">
        <v>1948</v>
      </c>
      <c r="U49" s="1135" t="n">
        <v>37.8</v>
      </c>
    </row>
    <row r="50" customFormat="false" ht="14.45" hidden="false" customHeight="false" outlineLevel="0" collapsed="false">
      <c r="A50" s="1050"/>
      <c r="B50" s="1130" t="s">
        <v>1923</v>
      </c>
      <c r="C50" s="1130" t="s">
        <v>1924</v>
      </c>
      <c r="D50" s="1130" t="s">
        <v>1977</v>
      </c>
      <c r="E50" s="1130" t="s">
        <v>1978</v>
      </c>
      <c r="F50" s="1130" t="s">
        <v>1979</v>
      </c>
      <c r="G50" s="1130" t="s">
        <v>1980</v>
      </c>
      <c r="H50" s="1050" t="s">
        <v>1981</v>
      </c>
      <c r="I50" s="1050" t="s">
        <v>1982</v>
      </c>
      <c r="J50" s="1050" t="s">
        <v>1983</v>
      </c>
      <c r="K50" s="1050" t="s">
        <v>1984</v>
      </c>
      <c r="L50" s="1050" t="s">
        <v>1985</v>
      </c>
      <c r="M50" s="1050" t="s">
        <v>1934</v>
      </c>
      <c r="N50" s="1050" t="s">
        <v>1523</v>
      </c>
      <c r="O50" s="1050" t="s">
        <v>1935</v>
      </c>
      <c r="T50" s="1134" t="s">
        <v>1959</v>
      </c>
      <c r="U50" s="1135" t="n">
        <v>37.9</v>
      </c>
    </row>
    <row r="51" customFormat="false" ht="15" hidden="false" customHeight="false" outlineLevel="0" collapsed="false">
      <c r="A51" s="1050" t="s">
        <v>1991</v>
      </c>
      <c r="B51" s="1050" t="n">
        <f aca="false">'[8]PDU 1C '!$K$8</f>
        <v>0</v>
      </c>
      <c r="C51" s="1050" t="n">
        <f aca="false">'[8]PDU 1D '!$K$8</f>
        <v>0</v>
      </c>
      <c r="D51" s="1050" t="n">
        <f aca="false">'[8]PDU 4C  '!$K$8</f>
        <v>0</v>
      </c>
      <c r="E51" s="1050" t="n">
        <f aca="false">'[8]PDU 4D '!$K$8</f>
        <v>0</v>
      </c>
      <c r="F51" s="1050" t="n">
        <f aca="false">'[8]PDU 5C '!$K$8</f>
        <v>0</v>
      </c>
      <c r="G51" s="1050" t="n">
        <f aca="false">'[8]PDU 5D'!$K$8</f>
        <v>0</v>
      </c>
      <c r="H51" s="1126" t="n">
        <f aca="false">'[9]PDU 6C'!$K$8</f>
        <v>24.2</v>
      </c>
      <c r="I51" s="1126" t="n">
        <f aca="false">'[9]PDU 6D'!$K$8</f>
        <v>17.4</v>
      </c>
      <c r="J51" s="1136" t="n">
        <f aca="false">'[9]PDU 7C '!$K$8</f>
        <v>100</v>
      </c>
      <c r="K51" s="1136" t="n">
        <f aca="false">'[9]PDU 7D'!$K$8</f>
        <v>85</v>
      </c>
      <c r="L51" s="1136" t="n">
        <f aca="false">'[8]PDU 8C'!$K$8</f>
        <v>0</v>
      </c>
      <c r="M51" s="1136" t="n">
        <f aca="false">'[8]PDU 8D '!$K$8</f>
        <v>0</v>
      </c>
      <c r="N51" s="1127" t="n">
        <f aca="false">SUM(H51+I51+J51+M51)</f>
        <v>141.6</v>
      </c>
      <c r="O51" s="1128" t="s">
        <v>99</v>
      </c>
      <c r="T51" s="1079" t="s">
        <v>1952</v>
      </c>
      <c r="U51" s="1080" t="n">
        <v>244.6</v>
      </c>
    </row>
    <row r="52" customFormat="false" ht="14.45" hidden="false" customHeight="false" outlineLevel="0" collapsed="false">
      <c r="A52" s="1050" t="s">
        <v>1960</v>
      </c>
      <c r="B52" s="1126" t="n">
        <f aca="false">SUM((B51*230)/1000)</f>
        <v>0</v>
      </c>
      <c r="C52" s="1126" t="n">
        <f aca="false">SUM((C51*230)/1000)</f>
        <v>0</v>
      </c>
      <c r="D52" s="1126" t="n">
        <f aca="false">SUM((D51*230)/1000)</f>
        <v>0</v>
      </c>
      <c r="E52" s="1126" t="n">
        <f aca="false">SUM((E51*230)/1000)</f>
        <v>0</v>
      </c>
      <c r="F52" s="1126" t="n">
        <f aca="false">SUM((F51*230)/1000)</f>
        <v>0</v>
      </c>
      <c r="G52" s="1126" t="n">
        <f aca="false">SUM((G51*230)/1000)</f>
        <v>0</v>
      </c>
      <c r="H52" s="1126" t="n">
        <f aca="false">SUM((H51*230)/1000)</f>
        <v>5.566</v>
      </c>
      <c r="I52" s="1126" t="n">
        <f aca="false">SUM((I51*230)/1000)</f>
        <v>4.002</v>
      </c>
      <c r="J52" s="1126" t="n">
        <f aca="false">SUM((J51*230)/1000)</f>
        <v>23</v>
      </c>
      <c r="K52" s="1126" t="n">
        <f aca="false">SUM((K51*230)/1000)</f>
        <v>19.55</v>
      </c>
      <c r="L52" s="1126" t="n">
        <f aca="false">SUM((L51*230)/1000)</f>
        <v>0</v>
      </c>
      <c r="M52" s="1126" t="n">
        <f aca="false">SUM((M51*230)/1000)</f>
        <v>0</v>
      </c>
      <c r="N52" s="1126" t="n">
        <f aca="false">H52+I52+J52+M52</f>
        <v>32.568</v>
      </c>
      <c r="O52" s="1129" t="n">
        <f aca="false">N52/B38</f>
        <v>0.05428</v>
      </c>
      <c r="T52" s="538"/>
      <c r="U52" s="538"/>
    </row>
    <row r="53" customFormat="false" ht="15" hidden="false" customHeight="false" outlineLevel="0" collapsed="false">
      <c r="T53" s="538"/>
      <c r="U53" s="538"/>
    </row>
    <row r="54" customFormat="false" ht="21" hidden="false" customHeight="true" outlineLevel="0" collapsed="false">
      <c r="A54" s="1050" t="s">
        <v>1961</v>
      </c>
      <c r="B54" s="1130" t="s">
        <v>1923</v>
      </c>
      <c r="C54" s="1130" t="s">
        <v>1924</v>
      </c>
      <c r="D54" s="1130" t="s">
        <v>1977</v>
      </c>
      <c r="E54" s="1130" t="s">
        <v>1978</v>
      </c>
      <c r="F54" s="1130" t="s">
        <v>1979</v>
      </c>
      <c r="G54" s="1130" t="s">
        <v>1980</v>
      </c>
      <c r="H54" s="1050" t="s">
        <v>1981</v>
      </c>
      <c r="I54" s="1050" t="s">
        <v>1982</v>
      </c>
      <c r="J54" s="1050" t="s">
        <v>1983</v>
      </c>
      <c r="K54" s="1050" t="s">
        <v>1984</v>
      </c>
      <c r="L54" s="1050" t="s">
        <v>1985</v>
      </c>
      <c r="M54" s="1050" t="s">
        <v>1934</v>
      </c>
      <c r="T54" s="1137" t="s">
        <v>1992</v>
      </c>
      <c r="U54" s="1138" t="s">
        <v>1921</v>
      </c>
    </row>
    <row r="55" customFormat="false" ht="15" hidden="false" customHeight="false" outlineLevel="0" collapsed="false">
      <c r="A55" s="1050" t="s">
        <v>1951</v>
      </c>
      <c r="B55" s="1050" t="n">
        <f aca="false">'[8]PDU 1C '!$K$5</f>
        <v>0</v>
      </c>
      <c r="C55" s="1050" t="n">
        <f aca="false">'[8]PDU 1D '!$K$5</f>
        <v>0</v>
      </c>
      <c r="D55" s="1050" t="n">
        <f aca="false">'[8]PDU 4C  '!$K$5</f>
        <v>0</v>
      </c>
      <c r="E55" s="1050" t="n">
        <f aca="false">'[8]PDU 4D '!$K$5</f>
        <v>0</v>
      </c>
      <c r="F55" s="1050" t="n">
        <f aca="false">'[8]PDU 5C '!$K$5</f>
        <v>0</v>
      </c>
      <c r="G55" s="1050" t="n">
        <f aca="false">'[8]PDU 5D'!$K$5</f>
        <v>0</v>
      </c>
      <c r="H55" s="1131" t="n">
        <f aca="false">'[9]PDU 6C'!$K$5</f>
        <v>11.2</v>
      </c>
      <c r="I55" s="1131" t="n">
        <f aca="false">'[9]PDU 6D'!$K$5</f>
        <v>6.6</v>
      </c>
      <c r="J55" s="1131" t="n">
        <f aca="false">'[9]PDU 7C '!$K$5</f>
        <v>33</v>
      </c>
      <c r="K55" s="1131" t="n">
        <f aca="false">'[9]PDU 7D'!$K$5</f>
        <v>27</v>
      </c>
      <c r="L55" s="1131" t="n">
        <f aca="false">'[8]PDU 8C'!$K$5</f>
        <v>0</v>
      </c>
      <c r="M55" s="1131" t="n">
        <f aca="false">'[8]PDU 8D '!$K$5</f>
        <v>0</v>
      </c>
      <c r="T55" s="1137"/>
      <c r="U55" s="1138"/>
    </row>
    <row r="56" customFormat="false" ht="14.45" hidden="false" customHeight="false" outlineLevel="0" collapsed="false">
      <c r="A56" s="1050" t="s">
        <v>1954</v>
      </c>
      <c r="B56" s="1050" t="n">
        <f aca="false">'[8]PDU 1C '!$K$6</f>
        <v>0</v>
      </c>
      <c r="C56" s="1050" t="n">
        <f aca="false">'[8]PDU 1D '!$K$6</f>
        <v>0</v>
      </c>
      <c r="D56" s="1050" t="n">
        <f aca="false">'[8]PDU 4C  '!$K$6</f>
        <v>0</v>
      </c>
      <c r="E56" s="1050" t="n">
        <f aca="false">'[8]PDU 4D '!$K$6</f>
        <v>0</v>
      </c>
      <c r="F56" s="1050" t="n">
        <f aca="false">'[8]PDU 5C '!$K$6</f>
        <v>0</v>
      </c>
      <c r="G56" s="1050" t="n">
        <f aca="false">'[8]PDU 5D'!$K$6</f>
        <v>0</v>
      </c>
      <c r="H56" s="1131" t="n">
        <f aca="false">'[9]PDU 6C'!$K$6</f>
        <v>9.4</v>
      </c>
      <c r="I56" s="1131" t="n">
        <f aca="false">'[9]PDU 6D'!$K$6</f>
        <v>7</v>
      </c>
      <c r="J56" s="1131" t="n">
        <f aca="false">'[9]PDU 7C '!$K$6</f>
        <v>26</v>
      </c>
      <c r="K56" s="1131" t="n">
        <f aca="false">'[9]PDU 7D'!$K$6</f>
        <v>25</v>
      </c>
      <c r="L56" s="1131" t="n">
        <f aca="false">'[8]PDU 8C'!$K$6</f>
        <v>0</v>
      </c>
      <c r="M56" s="1131" t="n">
        <f aca="false">'[8]PDU 8D '!$K$6</f>
        <v>0</v>
      </c>
    </row>
    <row r="57" customFormat="false" ht="14.45" hidden="false" customHeight="false" outlineLevel="0" collapsed="false">
      <c r="A57" s="1050" t="s">
        <v>1955</v>
      </c>
      <c r="B57" s="1050" t="n">
        <f aca="false">'[8]PDU 1C '!$K$7</f>
        <v>0</v>
      </c>
      <c r="C57" s="1050" t="n">
        <f aca="false">'[8]PDU 1D '!$K$7</f>
        <v>0</v>
      </c>
      <c r="D57" s="1050" t="n">
        <f aca="false">'[8]PDU 4C  '!$K$7</f>
        <v>0</v>
      </c>
      <c r="E57" s="1050" t="n">
        <f aca="false">'[8]PDU 4D '!$K$7</f>
        <v>0</v>
      </c>
      <c r="F57" s="1050" t="n">
        <f aca="false">'[8]PDU 5C '!$K$7</f>
        <v>0</v>
      </c>
      <c r="G57" s="1050" t="n">
        <f aca="false">'[8]PDU 5D'!$K$7</f>
        <v>0</v>
      </c>
      <c r="H57" s="1131" t="n">
        <f aca="false">'[9]PDU 6C'!$K$7</f>
        <v>3.6</v>
      </c>
      <c r="I57" s="1131" t="n">
        <f aca="false">'[9]PDU 6D'!$K$7</f>
        <v>3.8</v>
      </c>
      <c r="J57" s="1131" t="n">
        <f aca="false">'[9]PDU 7C '!$K$7</f>
        <v>41</v>
      </c>
      <c r="K57" s="1131" t="n">
        <f aca="false">'[9]PDU 7D'!$K$7</f>
        <v>33</v>
      </c>
      <c r="L57" s="1131" t="n">
        <f aca="false">'[8]PDU 8C'!$K$7</f>
        <v>0</v>
      </c>
      <c r="M57" s="1131" t="n">
        <f aca="false">'[8]PDU 8D '!$K$7</f>
        <v>0</v>
      </c>
    </row>
    <row r="58" customFormat="false" ht="15" hidden="false" customHeight="false" outlineLevel="0" collapsed="false">
      <c r="H58" s="1139"/>
      <c r="I58" s="1139"/>
    </row>
    <row r="59" customFormat="false" ht="29.25" hidden="false" customHeight="true" outlineLevel="0" collapsed="false">
      <c r="A59" s="1140" t="s">
        <v>1993</v>
      </c>
      <c r="B59" s="1140"/>
      <c r="C59" s="1140"/>
      <c r="D59" s="1140"/>
      <c r="E59" s="1140"/>
      <c r="F59" s="1139"/>
      <c r="G59" s="1139"/>
    </row>
    <row r="60" customFormat="false" ht="10.15" hidden="false" customHeight="false" outlineLevel="0" collapsed="false">
      <c r="A60" s="1100"/>
      <c r="B60" s="1141" t="s">
        <v>1963</v>
      </c>
      <c r="C60" s="1141" t="s">
        <v>1964</v>
      </c>
      <c r="D60" s="1142" t="s">
        <v>1965</v>
      </c>
      <c r="E60" s="1143" t="s">
        <v>1966</v>
      </c>
    </row>
    <row r="61" customFormat="false" ht="10.15" hidden="false" customHeight="false" outlineLevel="0" collapsed="false">
      <c r="A61" s="1144" t="s">
        <v>1967</v>
      </c>
      <c r="B61" s="1105" t="n">
        <v>4</v>
      </c>
      <c r="C61" s="1106" t="n">
        <f aca="false">SUM(B61-1)*250</f>
        <v>750</v>
      </c>
      <c r="D61" s="1107" t="n">
        <f aca="false">SUM(C61/2)</f>
        <v>375</v>
      </c>
      <c r="E61" s="1108" t="n">
        <f aca="false">D61*0.9</f>
        <v>337.5</v>
      </c>
    </row>
    <row r="62" customFormat="false" ht="10.9" hidden="false" customHeight="false" outlineLevel="0" collapsed="false">
      <c r="A62" s="1145" t="s">
        <v>1968</v>
      </c>
      <c r="B62" s="1110" t="n">
        <v>4</v>
      </c>
      <c r="C62" s="1111" t="n">
        <f aca="false">SUM(B62-1)*250</f>
        <v>750</v>
      </c>
      <c r="D62" s="1112" t="n">
        <f aca="false">SUM(C62/2)</f>
        <v>375</v>
      </c>
      <c r="E62" s="1113" t="n">
        <f aca="false">D62*0.9</f>
        <v>337.5</v>
      </c>
    </row>
    <row r="63" customFormat="false" ht="15" hidden="false" customHeight="true" outlineLevel="0" collapsed="false">
      <c r="D63" s="1146" t="s">
        <v>578</v>
      </c>
      <c r="E63" s="1115" t="n">
        <v>675</v>
      </c>
      <c r="F63" s="1147" t="s">
        <v>1994</v>
      </c>
      <c r="G63" s="1147"/>
      <c r="H63" s="1147"/>
      <c r="I63" s="1147"/>
    </row>
    <row r="65" customFormat="false" ht="14.45" hidden="false" customHeight="false" outlineLevel="0" collapsed="false">
      <c r="A65" s="1148" t="s">
        <v>1970</v>
      </c>
      <c r="B65" s="1148"/>
      <c r="C65" s="1148"/>
      <c r="D65" s="1148"/>
      <c r="E65" s="1148"/>
      <c r="F65" s="1148"/>
      <c r="G65" s="1148"/>
    </row>
    <row r="66" customFormat="false" ht="14.45" hidden="false" customHeight="false" outlineLevel="0" collapsed="false">
      <c r="A66" s="1148" t="s">
        <v>1971</v>
      </c>
      <c r="B66" s="1148"/>
      <c r="C66" s="1148"/>
      <c r="D66" s="1148"/>
      <c r="E66" s="1148"/>
      <c r="F66" s="1148"/>
      <c r="G66" s="1148"/>
    </row>
    <row r="67" customFormat="false" ht="14.45" hidden="false" customHeight="false" outlineLevel="0" collapsed="false">
      <c r="A67" s="1149" t="s">
        <v>1972</v>
      </c>
      <c r="B67" s="1149"/>
      <c r="C67" s="1149"/>
      <c r="D67" s="1149"/>
      <c r="E67" s="1149"/>
      <c r="F67" s="1149"/>
      <c r="G67" s="1149"/>
    </row>
  </sheetData>
  <mergeCells count="22">
    <mergeCell ref="A1:H1"/>
    <mergeCell ref="E3:F3"/>
    <mergeCell ref="A6:O6"/>
    <mergeCell ref="Q6:R6"/>
    <mergeCell ref="U6:V6"/>
    <mergeCell ref="Y14:Y15"/>
    <mergeCell ref="Z14:Z15"/>
    <mergeCell ref="A25:E25"/>
    <mergeCell ref="F29:I29"/>
    <mergeCell ref="A31:G31"/>
    <mergeCell ref="A32:G32"/>
    <mergeCell ref="A33:G33"/>
    <mergeCell ref="D37:E37"/>
    <mergeCell ref="A40:O40"/>
    <mergeCell ref="Q40:R40"/>
    <mergeCell ref="T54:T55"/>
    <mergeCell ref="U54:U55"/>
    <mergeCell ref="A59:E59"/>
    <mergeCell ref="F63:I63"/>
    <mergeCell ref="A65:G65"/>
    <mergeCell ref="A66:G66"/>
    <mergeCell ref="A67:G67"/>
  </mergeCells>
  <conditionalFormatting sqref="B9:M9">
    <cfRule type="cellIs" priority="2" operator="greaterThan" aboveAverage="0" equalAverage="0" bottom="0" percent="0" rank="0" text="" dxfId="91">
      <formula>75</formula>
    </cfRule>
    <cfRule type="cellIs" priority="3" operator="between" aboveAverage="0" equalAverage="0" bottom="0" percent="0" rank="0" text="" dxfId="92">
      <formula>67.5</formula>
      <formula>74.9</formula>
    </cfRule>
    <cfRule type="cellIs" priority="4" operator="between" aboveAverage="0" equalAverage="0" bottom="0" percent="0" rank="0" text="" dxfId="93">
      <formula>60</formula>
      <formula>67.4</formula>
    </cfRule>
    <cfRule type="cellIs" priority="5" operator="between" aboveAverage="0" equalAverage="0" bottom="0" percent="0" rank="0" text="" dxfId="94">
      <formula>52.5</formula>
      <formula>59.9</formula>
    </cfRule>
    <cfRule type="cellIs" priority="6" operator="lessThan" aboveAverage="0" equalAverage="0" bottom="0" percent="0" rank="0" text="" dxfId="95">
      <formula>52.4</formula>
    </cfRule>
  </conditionalFormatting>
  <conditionalFormatting sqref="B18:M18">
    <cfRule type="cellIs" priority="7" operator="greaterThan" aboveAverage="0" equalAverage="0" bottom="0" percent="0" rank="0" text="" dxfId="96">
      <formula>75</formula>
    </cfRule>
    <cfRule type="cellIs" priority="8" operator="between" aboveAverage="0" equalAverage="0" bottom="0" percent="0" rank="0" text="" dxfId="97">
      <formula>67.5</formula>
      <formula>74.9</formula>
    </cfRule>
    <cfRule type="cellIs" priority="9" operator="between" aboveAverage="0" equalAverage="0" bottom="0" percent="0" rank="0" text="" dxfId="98">
      <formula>60</formula>
      <formula>67.4</formula>
    </cfRule>
    <cfRule type="cellIs" priority="10" operator="between" aboveAverage="0" equalAverage="0" bottom="0" percent="0" rank="0" text="" dxfId="99">
      <formula>52.5</formula>
      <formula>59.9</formula>
    </cfRule>
    <cfRule type="cellIs" priority="11" operator="lessThan" aboveAverage="0" equalAverage="0" bottom="0" percent="0" rank="0" text="" dxfId="100">
      <formula>52.4</formula>
    </cfRule>
  </conditionalFormatting>
  <conditionalFormatting sqref="B43:M43">
    <cfRule type="cellIs" priority="12" operator="greaterThan" aboveAverage="0" equalAverage="0" bottom="0" percent="0" rank="0" text="" dxfId="101">
      <formula>75</formula>
    </cfRule>
    <cfRule type="cellIs" priority="13" operator="between" aboveAverage="0" equalAverage="0" bottom="0" percent="0" rank="0" text="" dxfId="102">
      <formula>67.5</formula>
      <formula>74.9</formula>
    </cfRule>
    <cfRule type="cellIs" priority="14" operator="between" aboveAverage="0" equalAverage="0" bottom="0" percent="0" rank="0" text="" dxfId="103">
      <formula>60</formula>
      <formula>67.4</formula>
    </cfRule>
    <cfRule type="cellIs" priority="15" operator="between" aboveAverage="0" equalAverage="0" bottom="0" percent="0" rank="0" text="" dxfId="104">
      <formula>52.5</formula>
      <formula>59.9</formula>
    </cfRule>
    <cfRule type="cellIs" priority="16" operator="lessThan" aboveAverage="0" equalAverage="0" bottom="0" percent="0" rank="0" text="" dxfId="105">
      <formula>52.4</formula>
    </cfRule>
  </conditionalFormatting>
  <conditionalFormatting sqref="B52:M52">
    <cfRule type="cellIs" priority="17" operator="greaterThan" aboveAverage="0" equalAverage="0" bottom="0" percent="0" rank="0" text="" dxfId="106">
      <formula>75</formula>
    </cfRule>
    <cfRule type="cellIs" priority="18" operator="between" aboveAverage="0" equalAverage="0" bottom="0" percent="0" rank="0" text="" dxfId="107">
      <formula>67.5</formula>
      <formula>74.9</formula>
    </cfRule>
    <cfRule type="cellIs" priority="19" operator="between" aboveAverage="0" equalAverage="0" bottom="0" percent="0" rank="0" text="" dxfId="108">
      <formula>60</formula>
      <formula>67.4</formula>
    </cfRule>
    <cfRule type="cellIs" priority="20" operator="between" aboveAverage="0" equalAverage="0" bottom="0" percent="0" rank="0" text="" dxfId="109">
      <formula>52.5</formula>
      <formula>59.9</formula>
    </cfRule>
    <cfRule type="cellIs" priority="21" operator="lessThan" aboveAverage="0" equalAverage="0" bottom="0" percent="0" rank="0" text="" dxfId="110">
      <formula>52.4</formula>
    </cfRule>
  </conditionalFormatting>
  <conditionalFormatting sqref="N9">
    <cfRule type="cellIs" priority="22" operator="greaterThan" aboveAverage="0" equalAverage="0" bottom="0" percent="0" rank="0" text="" dxfId="111">
      <formula>600</formula>
    </cfRule>
    <cfRule type="cellIs" priority="23" operator="between" aboveAverage="0" equalAverage="0" bottom="0" percent="0" rank="0" text="" dxfId="112">
      <formula>540</formula>
      <formula>594</formula>
    </cfRule>
    <cfRule type="cellIs" priority="24" operator="between" aboveAverage="0" equalAverage="0" bottom="0" percent="0" rank="0" text="" dxfId="113">
      <formula>480</formula>
      <formula>540</formula>
    </cfRule>
    <cfRule type="cellIs" priority="25" operator="between" aboveAverage="0" equalAverage="0" bottom="0" percent="0" rank="0" text="" dxfId="114">
      <formula>420</formula>
      <formula>480</formula>
    </cfRule>
    <cfRule type="cellIs" priority="26" operator="lessThan" aboveAverage="0" equalAverage="0" bottom="0" percent="0" rank="0" text="" dxfId="115">
      <formula>419.9</formula>
    </cfRule>
  </conditionalFormatting>
  <conditionalFormatting sqref="N18">
    <cfRule type="cellIs" priority="27" operator="greaterThan" aboveAverage="0" equalAverage="0" bottom="0" percent="0" rank="0" text="" dxfId="116">
      <formula>279</formula>
    </cfRule>
    <cfRule type="cellIs" priority="28" operator="between" aboveAverage="0" equalAverage="0" bottom="0" percent="0" rank="0" text="" dxfId="117">
      <formula>251</formula>
      <formula>278.9</formula>
    </cfRule>
    <cfRule type="cellIs" priority="29" operator="between" aboveAverage="0" equalAverage="0" bottom="0" percent="0" rank="0" text="" dxfId="118">
      <formula>220</formula>
      <formula>250.9</formula>
    </cfRule>
    <cfRule type="cellIs" priority="30" operator="lessThan" aboveAverage="0" equalAverage="0" bottom="0" percent="0" rank="0" text="" dxfId="119">
      <formula>219.9</formula>
    </cfRule>
  </conditionalFormatting>
  <conditionalFormatting sqref="N43">
    <cfRule type="cellIs" priority="31" operator="greaterThan" aboveAverage="0" equalAverage="0" bottom="0" percent="0" rank="0" text="" dxfId="120">
      <formula>279</formula>
    </cfRule>
    <cfRule type="cellIs" priority="32" operator="between" aboveAverage="0" equalAverage="0" bottom="0" percent="0" rank="0" text="" dxfId="121">
      <formula>251</formula>
      <formula>278.9</formula>
    </cfRule>
    <cfRule type="cellIs" priority="33" operator="between" aboveAverage="0" equalAverage="0" bottom="0" percent="0" rank="0" text="" dxfId="122">
      <formula>220</formula>
      <formula>250.9</formula>
    </cfRule>
    <cfRule type="cellIs" priority="34" operator="lessThan" aboveAverage="0" equalAverage="0" bottom="0" percent="0" rank="0" text="" dxfId="123">
      <formula>219.9</formula>
    </cfRule>
  </conditionalFormatting>
  <conditionalFormatting sqref="N52">
    <cfRule type="cellIs" priority="35" operator="greaterThan" aboveAverage="0" equalAverage="0" bottom="0" percent="0" rank="0" text="" dxfId="124">
      <formula>279</formula>
    </cfRule>
    <cfRule type="cellIs" priority="36" operator="between" aboveAverage="0" equalAverage="0" bottom="0" percent="0" rank="0" text="" dxfId="125">
      <formula>251</formula>
      <formula>278.9</formula>
    </cfRule>
    <cfRule type="cellIs" priority="37" operator="between" aboveAverage="0" equalAverage="0" bottom="0" percent="0" rank="0" text="" dxfId="126">
      <formula>220</formula>
      <formula>250.9</formula>
    </cfRule>
    <cfRule type="cellIs" priority="38" operator="lessThan" aboveAverage="0" equalAverage="0" bottom="0" percent="0" rank="0" text="" dxfId="127">
      <formula>219.9</formula>
    </cfRule>
  </conditionalFormatting>
  <conditionalFormatting sqref="O9">
    <cfRule type="cellIs" priority="39" operator="greaterThan" aboveAverage="0" equalAverage="0" bottom="0" percent="0" rank="0" text="" dxfId="128">
      <formula>$R$12</formula>
    </cfRule>
    <cfRule type="cellIs" priority="40" operator="between" aboveAverage="0" equalAverage="0" bottom="0" percent="0" rank="0" text="" dxfId="129">
      <formula>$Q$11</formula>
      <formula>$R$11</formula>
    </cfRule>
    <cfRule type="cellIs" priority="41" operator="between" aboveAverage="0" equalAverage="0" bottom="0" percent="0" rank="0" text="" dxfId="130">
      <formula>$Q$10</formula>
      <formula>$R$10</formula>
    </cfRule>
    <cfRule type="cellIs" priority="42" operator="between" aboveAverage="0" equalAverage="0" bottom="0" percent="0" rank="0" text="" dxfId="131">
      <formula>$Q$9</formula>
      <formula>$R$9</formula>
    </cfRule>
    <cfRule type="cellIs" priority="43" operator="lessThan" aboveAverage="0" equalAverage="0" bottom="0" percent="0" rank="0" text="" dxfId="132">
      <formula>$Q$8</formula>
    </cfRule>
  </conditionalFormatting>
  <conditionalFormatting sqref="O18">
    <cfRule type="cellIs" priority="44" operator="greaterThan" aboveAverage="0" equalAverage="0" bottom="0" percent="0" rank="0" text="" dxfId="133">
      <formula>$R$12</formula>
    </cfRule>
    <cfRule type="cellIs" priority="45" operator="between" aboveAverage="0" equalAverage="0" bottom="0" percent="0" rank="0" text="" dxfId="134">
      <formula>$Q$11</formula>
      <formula>$R$11</formula>
    </cfRule>
    <cfRule type="cellIs" priority="46" operator="between" aboveAverage="0" equalAverage="0" bottom="0" percent="0" rank="0" text="" dxfId="135">
      <formula>$Q$10</formula>
      <formula>$R$10</formula>
    </cfRule>
    <cfRule type="cellIs" priority="47" operator="between" aboveAverage="0" equalAverage="0" bottom="0" percent="0" rank="0" text="" dxfId="136">
      <formula>$Q$9</formula>
      <formula>$R$9</formula>
    </cfRule>
    <cfRule type="cellIs" priority="48" operator="lessThan" aboveAverage="0" equalAverage="0" bottom="0" percent="0" rank="0" text="" dxfId="137">
      <formula>$Q$8</formula>
    </cfRule>
  </conditionalFormatting>
  <conditionalFormatting sqref="O43">
    <cfRule type="cellIs" priority="49" operator="greaterThan" aboveAverage="0" equalAverage="0" bottom="0" percent="0" rank="0" text="" dxfId="138">
      <formula>$R$12</formula>
    </cfRule>
    <cfRule type="cellIs" priority="50" operator="between" aboveAverage="0" equalAverage="0" bottom="0" percent="0" rank="0" text="" dxfId="139">
      <formula>$Q$11</formula>
      <formula>$R$11</formula>
    </cfRule>
    <cfRule type="cellIs" priority="51" operator="between" aboveAverage="0" equalAverage="0" bottom="0" percent="0" rank="0" text="" dxfId="140">
      <formula>$Q$10</formula>
      <formula>$R$10</formula>
    </cfRule>
    <cfRule type="cellIs" priority="52" operator="between" aboveAverage="0" equalAverage="0" bottom="0" percent="0" rank="0" text="" dxfId="141">
      <formula>$Q$9</formula>
      <formula>$R$9</formula>
    </cfRule>
    <cfRule type="cellIs" priority="53" operator="lessThan" aboveAverage="0" equalAverage="0" bottom="0" percent="0" rank="0" text="" dxfId="142">
      <formula>$Q$8</formula>
    </cfRule>
  </conditionalFormatting>
  <conditionalFormatting sqref="O52">
    <cfRule type="cellIs" priority="54" operator="greaterThan" aboveAverage="0" equalAverage="0" bottom="0" percent="0" rank="0" text="" dxfId="143">
      <formula>$R$12</formula>
    </cfRule>
    <cfRule type="cellIs" priority="55" operator="between" aboveAverage="0" equalAverage="0" bottom="0" percent="0" rank="0" text="" dxfId="144">
      <formula>$Q$11</formula>
      <formula>$R$11</formula>
    </cfRule>
    <cfRule type="cellIs" priority="56" operator="between" aboveAverage="0" equalAverage="0" bottom="0" percent="0" rank="0" text="" dxfId="145">
      <formula>$Q$10</formula>
      <formula>$R$10</formula>
    </cfRule>
    <cfRule type="cellIs" priority="57" operator="between" aboveAverage="0" equalAverage="0" bottom="0" percent="0" rank="0" text="" dxfId="146">
      <formula>$Q$9</formula>
      <formula>$R$9</formula>
    </cfRule>
    <cfRule type="cellIs" priority="58" operator="lessThan" aboveAverage="0" equalAverage="0" bottom="0" percent="0" rank="0" text="" dxfId="147">
      <formula>$Q$8</formula>
    </cfRule>
  </conditionalFormatting>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&amp;L&amp;"Calibri,Regular"&amp;7C2 General</oddFooter>
  </headerFooter>
  <legacyDrawing r:id="rId2"/>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1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4.38671875" defaultRowHeight="12.8" zeroHeight="false" outlineLevelRow="0" outlineLevelCol="0"/>
  <sheetData>
    <row r="1" customFormat="false" ht="12.8" hidden="false" customHeight="false" outlineLevel="0" collapsed="false">
      <c r="A1" s="0" t="s">
        <v>8</v>
      </c>
      <c r="B1" s="0" t="s">
        <v>9</v>
      </c>
      <c r="C1" s="0" t="s">
        <v>10</v>
      </c>
      <c r="D1" s="0" t="s">
        <v>1995</v>
      </c>
      <c r="E1" s="0" t="s">
        <v>1996</v>
      </c>
      <c r="F1" s="0" t="s">
        <v>13</v>
      </c>
      <c r="G1" s="0" t="s">
        <v>14</v>
      </c>
      <c r="H1" s="0" t="s">
        <v>15</v>
      </c>
      <c r="I1" s="0" t="s">
        <v>16</v>
      </c>
      <c r="J1" s="0" t="s">
        <v>17</v>
      </c>
      <c r="K1" s="0" t="s">
        <v>18</v>
      </c>
      <c r="L1" s="0" t="s">
        <v>19</v>
      </c>
      <c r="M1" s="0" t="s">
        <v>20</v>
      </c>
      <c r="N1" s="0" t="s">
        <v>21</v>
      </c>
      <c r="O1" s="0" t="s">
        <v>22</v>
      </c>
      <c r="P1" s="0" t="s">
        <v>23</v>
      </c>
      <c r="Q1" s="0" t="s">
        <v>1997</v>
      </c>
      <c r="R1" s="0" t="s">
        <v>1998</v>
      </c>
      <c r="S1" s="0" t="s">
        <v>26</v>
      </c>
      <c r="T1" s="0" t="s">
        <v>28</v>
      </c>
      <c r="U1" s="1150" t="s">
        <v>30</v>
      </c>
      <c r="V1" s="0" t="s">
        <v>32</v>
      </c>
      <c r="W1" s="0" t="s">
        <v>33</v>
      </c>
    </row>
    <row r="3" customFormat="false" ht="12.8" hidden="false" customHeight="false" outlineLevel="0" collapsed="false">
      <c r="A3" s="0" t="s">
        <v>37</v>
      </c>
      <c r="B3" s="0" t="s">
        <v>38</v>
      </c>
      <c r="C3" s="0" t="s">
        <v>39</v>
      </c>
      <c r="D3" s="0" t="n">
        <v>764</v>
      </c>
      <c r="E3" s="0" t="n">
        <v>760</v>
      </c>
      <c r="F3" s="0" t="n">
        <v>0.658008658008658</v>
      </c>
      <c r="G3" s="0" t="n">
        <v>198.489</v>
      </c>
      <c r="H3" s="0" t="n">
        <v>36</v>
      </c>
      <c r="I3" s="0" t="n">
        <v>3.5</v>
      </c>
      <c r="J3" s="0" t="n">
        <v>126</v>
      </c>
      <c r="K3" s="0" t="n">
        <v>18</v>
      </c>
      <c r="L3" s="0" t="n">
        <v>63</v>
      </c>
      <c r="M3" s="0" t="n">
        <v>1155</v>
      </c>
      <c r="N3" s="0" t="n">
        <v>61</v>
      </c>
      <c r="O3" s="0" t="n">
        <v>0.710822510822511</v>
      </c>
      <c r="P3" s="0" t="n">
        <v>16.8405</v>
      </c>
      <c r="Q3" s="0" t="n">
        <v>0</v>
      </c>
      <c r="R3" s="0" t="n">
        <v>0</v>
      </c>
      <c r="S3" s="0" t="n">
        <v>821</v>
      </c>
      <c r="T3" s="0" t="n">
        <v>334</v>
      </c>
      <c r="U3" s="0" t="n">
        <v>0.710822510822511</v>
      </c>
      <c r="V3" s="0" t="n">
        <v>0.710822510822511</v>
      </c>
      <c r="W3" s="0" t="n">
        <v>0.683585714285714</v>
      </c>
    </row>
    <row r="4" customFormat="false" ht="12.8" hidden="false" customHeight="false" outlineLevel="0" collapsed="false">
      <c r="A4" s="0" t="s">
        <v>37</v>
      </c>
      <c r="B4" s="0" t="s">
        <v>42</v>
      </c>
      <c r="C4" s="0" t="s">
        <v>39</v>
      </c>
      <c r="D4" s="0" t="n">
        <v>733</v>
      </c>
      <c r="E4" s="0" t="n">
        <v>741</v>
      </c>
      <c r="F4" s="0" t="n">
        <v>0.641558441558442</v>
      </c>
      <c r="H4" s="0" t="n">
        <v>36</v>
      </c>
      <c r="I4" s="0" t="n">
        <v>3.5</v>
      </c>
      <c r="J4" s="0" t="n">
        <v>126</v>
      </c>
      <c r="K4" s="0" t="n">
        <v>18</v>
      </c>
      <c r="L4" s="0" t="n">
        <v>63</v>
      </c>
      <c r="M4" s="0" t="n">
        <v>1155</v>
      </c>
      <c r="N4" s="0" t="n">
        <v>61</v>
      </c>
      <c r="O4" s="0" t="n">
        <v>0.694372294372294</v>
      </c>
      <c r="Q4" s="0" t="n">
        <v>0</v>
      </c>
      <c r="S4" s="0" t="n">
        <v>802</v>
      </c>
      <c r="T4" s="0" t="n">
        <v>353</v>
      </c>
      <c r="U4" s="0" t="n">
        <v>0.694372294372294</v>
      </c>
      <c r="V4" s="0" t="n">
        <v>0.694372294372294</v>
      </c>
    </row>
    <row r="5" customFormat="false" ht="12.8" hidden="false" customHeight="false" outlineLevel="0" collapsed="false">
      <c r="A5" s="0" t="s">
        <v>37</v>
      </c>
      <c r="B5" s="0" t="s">
        <v>45</v>
      </c>
      <c r="C5" s="0" t="s">
        <v>39</v>
      </c>
      <c r="D5" s="0" t="n">
        <v>655</v>
      </c>
      <c r="E5" s="0" t="n">
        <v>653</v>
      </c>
      <c r="F5" s="0" t="n">
        <v>0.565367965367966</v>
      </c>
      <c r="H5" s="0" t="n">
        <v>36</v>
      </c>
      <c r="I5" s="0" t="n">
        <v>3.5</v>
      </c>
      <c r="J5" s="0" t="n">
        <v>126</v>
      </c>
      <c r="K5" s="0" t="n">
        <v>18</v>
      </c>
      <c r="L5" s="0" t="n">
        <v>63</v>
      </c>
      <c r="M5" s="0" t="n">
        <v>1155</v>
      </c>
      <c r="N5" s="0" t="n">
        <v>61</v>
      </c>
      <c r="O5" s="0" t="n">
        <v>0.618181818181818</v>
      </c>
      <c r="Q5" s="0" t="n">
        <v>0</v>
      </c>
      <c r="S5" s="0" t="n">
        <v>714</v>
      </c>
      <c r="T5" s="0" t="n">
        <v>441</v>
      </c>
      <c r="U5" s="0" t="n">
        <v>0.618181818181818</v>
      </c>
      <c r="V5" s="0" t="n">
        <v>0.618181818181818</v>
      </c>
    </row>
    <row r="6" customFormat="false" ht="12.8" hidden="false" customHeight="false" outlineLevel="0" collapsed="false">
      <c r="A6" s="0" t="s">
        <v>37</v>
      </c>
      <c r="B6" s="0" t="s">
        <v>47</v>
      </c>
      <c r="C6" s="0" t="s">
        <v>39</v>
      </c>
      <c r="D6" s="0" t="n">
        <v>752</v>
      </c>
      <c r="E6" s="0" t="n">
        <v>753</v>
      </c>
      <c r="F6" s="0" t="n">
        <v>0.651948051948052</v>
      </c>
      <c r="G6" s="0" t="n">
        <v>0.63012380952381</v>
      </c>
      <c r="H6" s="0" t="n">
        <v>36</v>
      </c>
      <c r="I6" s="0" t="n">
        <v>3.5</v>
      </c>
      <c r="J6" s="0" t="n">
        <v>126</v>
      </c>
      <c r="K6" s="0" t="n">
        <v>18</v>
      </c>
      <c r="L6" s="0" t="n">
        <v>63</v>
      </c>
      <c r="M6" s="0" t="n">
        <v>1155</v>
      </c>
      <c r="N6" s="0" t="n">
        <v>63</v>
      </c>
      <c r="O6" s="0" t="n">
        <v>0.706493506493506</v>
      </c>
      <c r="P6" s="0" t="n">
        <v>0.0534619047619048</v>
      </c>
      <c r="Q6" s="0" t="n">
        <v>0</v>
      </c>
      <c r="R6" s="0" t="n">
        <v>0</v>
      </c>
      <c r="S6" s="0" t="n">
        <v>816</v>
      </c>
      <c r="T6" s="0" t="n">
        <v>339</v>
      </c>
      <c r="U6" s="0" t="n">
        <v>0.706493506493506</v>
      </c>
      <c r="V6" s="0" t="n">
        <v>0.706493506493506</v>
      </c>
    </row>
    <row r="7" customFormat="false" ht="12.8" hidden="false" customHeight="false" outlineLevel="0" collapsed="false">
      <c r="A7" s="0" t="s">
        <v>37</v>
      </c>
      <c r="B7" s="0" t="s">
        <v>49</v>
      </c>
      <c r="C7" s="0" t="s">
        <v>39</v>
      </c>
      <c r="D7" s="0" t="n">
        <v>736</v>
      </c>
      <c r="E7" s="0" t="n">
        <v>735</v>
      </c>
      <c r="F7" s="0" t="n">
        <v>0.636363636363636</v>
      </c>
      <c r="H7" s="0" t="n">
        <v>36</v>
      </c>
      <c r="I7" s="0" t="n">
        <v>3.5</v>
      </c>
      <c r="J7" s="0" t="n">
        <v>126</v>
      </c>
      <c r="K7" s="0" t="n">
        <v>18</v>
      </c>
      <c r="L7" s="0" t="n">
        <v>63</v>
      </c>
      <c r="M7" s="0" t="n">
        <v>1155</v>
      </c>
      <c r="N7" s="0" t="n">
        <v>63</v>
      </c>
      <c r="O7" s="0" t="n">
        <v>0.690909090909091</v>
      </c>
      <c r="Q7" s="0" t="n">
        <v>0</v>
      </c>
      <c r="S7" s="0" t="n">
        <v>798</v>
      </c>
      <c r="T7" s="0" t="n">
        <v>357</v>
      </c>
      <c r="U7" s="0" t="n">
        <v>0.690909090909091</v>
      </c>
      <c r="V7" s="0" t="n">
        <v>0.690909090909091</v>
      </c>
    </row>
    <row r="8" customFormat="false" ht="12.8" hidden="false" customHeight="false" outlineLevel="0" collapsed="false">
      <c r="A8" s="0" t="s">
        <v>51</v>
      </c>
      <c r="B8" s="0" t="s">
        <v>52</v>
      </c>
      <c r="C8" s="0" t="s">
        <v>39</v>
      </c>
      <c r="D8" s="0" t="n">
        <v>910</v>
      </c>
      <c r="E8" s="0" t="n">
        <v>881</v>
      </c>
      <c r="F8" s="0" t="n">
        <v>0.762770562770563</v>
      </c>
      <c r="G8" s="0" t="n">
        <v>405.698</v>
      </c>
      <c r="H8" s="0" t="n">
        <v>36</v>
      </c>
      <c r="I8" s="0" t="n">
        <v>3.5</v>
      </c>
      <c r="J8" s="0" t="n">
        <v>126</v>
      </c>
      <c r="K8" s="0" t="n">
        <v>18</v>
      </c>
      <c r="L8" s="0" t="n">
        <v>63</v>
      </c>
      <c r="M8" s="0" t="n">
        <v>1155</v>
      </c>
      <c r="N8" s="0" t="n">
        <v>34</v>
      </c>
      <c r="O8" s="0" t="n">
        <v>0.792207792207792</v>
      </c>
      <c r="P8" s="0" t="n">
        <v>61.3125</v>
      </c>
      <c r="Q8" s="0" t="n">
        <v>76</v>
      </c>
      <c r="R8" s="0" t="n">
        <v>41.529</v>
      </c>
      <c r="S8" s="0" t="n">
        <v>991</v>
      </c>
      <c r="T8" s="0" t="n">
        <v>164</v>
      </c>
      <c r="U8" s="0" t="n">
        <v>0.858008658008658</v>
      </c>
      <c r="V8" s="0" t="n">
        <v>0.858008658008658</v>
      </c>
      <c r="W8" s="0" t="n">
        <v>1.00900694444444</v>
      </c>
    </row>
    <row r="9" customFormat="false" ht="12.8" hidden="false" customHeight="false" outlineLevel="0" collapsed="false">
      <c r="A9" s="0" t="s">
        <v>51</v>
      </c>
      <c r="B9" s="0" t="s">
        <v>60</v>
      </c>
      <c r="C9" s="0" t="s">
        <v>39</v>
      </c>
      <c r="D9" s="0" t="n">
        <v>874</v>
      </c>
      <c r="E9" s="0" t="n">
        <v>871</v>
      </c>
      <c r="F9" s="0" t="n">
        <v>0.754112554112554</v>
      </c>
      <c r="H9" s="0" t="n">
        <v>36</v>
      </c>
      <c r="I9" s="0" t="n">
        <v>3.5</v>
      </c>
      <c r="J9" s="0" t="n">
        <v>126</v>
      </c>
      <c r="K9" s="0" t="n">
        <v>18</v>
      </c>
      <c r="L9" s="0" t="n">
        <v>63</v>
      </c>
      <c r="M9" s="0" t="n">
        <v>1155</v>
      </c>
      <c r="N9" s="0" t="n">
        <v>156</v>
      </c>
      <c r="O9" s="0" t="n">
        <v>0.889177489177489</v>
      </c>
      <c r="Q9" s="0" t="n">
        <v>119</v>
      </c>
      <c r="S9" s="0" t="n">
        <v>1146</v>
      </c>
      <c r="T9" s="0" t="n">
        <v>9</v>
      </c>
      <c r="U9" s="0" t="n">
        <v>0.992207792207792</v>
      </c>
      <c r="V9" s="0" t="n">
        <v>0.992207792207792</v>
      </c>
    </row>
    <row r="10" customFormat="false" ht="12.8" hidden="false" customHeight="false" outlineLevel="0" collapsed="false">
      <c r="A10" s="0" t="s">
        <v>51</v>
      </c>
      <c r="B10" s="0" t="s">
        <v>62</v>
      </c>
      <c r="C10" s="0" t="s">
        <v>39</v>
      </c>
      <c r="D10" s="0" t="n">
        <v>875</v>
      </c>
      <c r="E10" s="0" t="n">
        <v>870</v>
      </c>
      <c r="F10" s="0" t="n">
        <v>0.753246753246753</v>
      </c>
      <c r="H10" s="0" t="n">
        <v>36</v>
      </c>
      <c r="I10" s="0" t="n">
        <v>3.5</v>
      </c>
      <c r="J10" s="0" t="n">
        <v>126</v>
      </c>
      <c r="K10" s="0" t="n">
        <v>18</v>
      </c>
      <c r="L10" s="0" t="n">
        <v>63</v>
      </c>
      <c r="M10" s="0" t="n">
        <v>1155</v>
      </c>
      <c r="N10" s="0" t="n">
        <v>178</v>
      </c>
      <c r="O10" s="0" t="n">
        <v>0.907359307359307</v>
      </c>
      <c r="Q10" s="0" t="n">
        <v>42</v>
      </c>
      <c r="S10" s="0" t="n">
        <v>1090</v>
      </c>
      <c r="T10" s="0" t="n">
        <v>65</v>
      </c>
      <c r="U10" s="0" t="n">
        <v>0.943722943722944</v>
      </c>
      <c r="V10" s="0" t="n">
        <v>0.943722943722944</v>
      </c>
    </row>
    <row r="11" customFormat="false" ht="12.8" hidden="false" customHeight="false" outlineLevel="0" collapsed="false">
      <c r="A11" s="0" t="s">
        <v>51</v>
      </c>
      <c r="B11" s="0" t="s">
        <v>64</v>
      </c>
      <c r="C11" s="0" t="s">
        <v>39</v>
      </c>
      <c r="D11" s="0" t="n">
        <v>985</v>
      </c>
      <c r="E11" s="0" t="n">
        <v>992</v>
      </c>
      <c r="F11" s="0" t="n">
        <v>0.858874458874459</v>
      </c>
      <c r="H11" s="0" t="n">
        <v>36</v>
      </c>
      <c r="I11" s="0" t="n">
        <v>3.5</v>
      </c>
      <c r="J11" s="0" t="n">
        <v>126</v>
      </c>
      <c r="K11" s="0" t="n">
        <v>18</v>
      </c>
      <c r="L11" s="0" t="n">
        <v>63</v>
      </c>
      <c r="M11" s="0" t="n">
        <v>1155</v>
      </c>
      <c r="N11" s="0" t="n">
        <v>149</v>
      </c>
      <c r="O11" s="0" t="n">
        <v>0.987878787878788</v>
      </c>
      <c r="Q11" s="0" t="n">
        <v>90</v>
      </c>
      <c r="S11" s="0" t="n">
        <v>1231</v>
      </c>
      <c r="T11" s="0" t="n">
        <v>-76</v>
      </c>
      <c r="U11" s="0" t="n">
        <v>1.06580086580087</v>
      </c>
      <c r="V11" s="0" t="n">
        <v>1.06580086580087</v>
      </c>
    </row>
    <row r="12" customFormat="false" ht="12.8" hidden="false" customHeight="false" outlineLevel="0" collapsed="false">
      <c r="A12" s="0" t="s">
        <v>51</v>
      </c>
      <c r="B12" s="0" t="s">
        <v>65</v>
      </c>
      <c r="C12" s="0" t="s">
        <v>39</v>
      </c>
      <c r="D12" s="0" t="n">
        <v>1023</v>
      </c>
      <c r="E12" s="0" t="n">
        <v>1028</v>
      </c>
      <c r="F12" s="0" t="n">
        <v>0.89004329004329</v>
      </c>
      <c r="G12" s="0" t="n">
        <v>0.804956349206349</v>
      </c>
      <c r="H12" s="0" t="n">
        <v>36</v>
      </c>
      <c r="I12" s="0" t="n">
        <v>3.5</v>
      </c>
      <c r="J12" s="0" t="n">
        <v>126</v>
      </c>
      <c r="K12" s="0" t="n">
        <v>18</v>
      </c>
      <c r="L12" s="0" t="n">
        <v>63</v>
      </c>
      <c r="M12" s="0" t="n">
        <v>1155</v>
      </c>
      <c r="N12" s="0" t="n">
        <v>100</v>
      </c>
      <c r="O12" s="0" t="n">
        <v>0.976623376623377</v>
      </c>
      <c r="P12" s="0" t="n">
        <v>0.121651785714286</v>
      </c>
      <c r="Q12" s="0" t="n">
        <v>94</v>
      </c>
      <c r="R12" s="0" t="n">
        <v>0.0823988095238095</v>
      </c>
      <c r="S12" s="0" t="n">
        <v>1222</v>
      </c>
      <c r="T12" s="0" t="n">
        <v>-67</v>
      </c>
      <c r="U12" s="0" t="n">
        <v>1.05800865800866</v>
      </c>
      <c r="V12" s="0" t="n">
        <v>1.05800865800866</v>
      </c>
    </row>
    <row r="13" customFormat="false" ht="12.8" hidden="false" customHeight="false" outlineLevel="0" collapsed="false">
      <c r="A13" s="0" t="s">
        <v>51</v>
      </c>
      <c r="B13" s="0" t="s">
        <v>66</v>
      </c>
      <c r="C13" s="0" t="s">
        <v>39</v>
      </c>
      <c r="D13" s="0" t="n">
        <v>948</v>
      </c>
      <c r="E13" s="0" t="n">
        <v>925</v>
      </c>
      <c r="F13" s="0" t="n">
        <v>0.800865800865801</v>
      </c>
      <c r="H13" s="0" t="n">
        <v>36</v>
      </c>
      <c r="I13" s="0" t="n">
        <v>3.5</v>
      </c>
      <c r="J13" s="0" t="n">
        <v>126</v>
      </c>
      <c r="K13" s="0" t="n">
        <v>18</v>
      </c>
      <c r="L13" s="0" t="n">
        <v>63</v>
      </c>
      <c r="M13" s="0" t="n">
        <v>1155</v>
      </c>
      <c r="N13" s="0" t="n">
        <v>133</v>
      </c>
      <c r="O13" s="0" t="n">
        <v>0.916017316017316</v>
      </c>
      <c r="Q13" s="0" t="n">
        <v>141</v>
      </c>
      <c r="S13" s="0" t="n">
        <v>1199</v>
      </c>
      <c r="T13" s="0" t="n">
        <v>-44</v>
      </c>
      <c r="U13" s="0" t="n">
        <v>1.03809523809524</v>
      </c>
    </row>
    <row r="14" customFormat="false" ht="12.8" hidden="false" customHeight="false" outlineLevel="0" collapsed="false">
      <c r="A14" s="0" t="s">
        <v>51</v>
      </c>
      <c r="B14" s="0" t="s">
        <v>67</v>
      </c>
      <c r="C14" s="0" t="s">
        <v>39</v>
      </c>
      <c r="D14" s="0" t="n">
        <v>907</v>
      </c>
      <c r="E14" s="0" t="n">
        <v>905</v>
      </c>
      <c r="F14" s="0" t="n">
        <v>0.783549783549784</v>
      </c>
      <c r="H14" s="0" t="n">
        <v>36</v>
      </c>
      <c r="I14" s="0" t="n">
        <v>3.5</v>
      </c>
      <c r="J14" s="0" t="n">
        <v>126</v>
      </c>
      <c r="K14" s="0" t="n">
        <v>18</v>
      </c>
      <c r="L14" s="0" t="n">
        <v>63</v>
      </c>
      <c r="M14" s="0" t="n">
        <v>1155</v>
      </c>
      <c r="N14" s="0" t="n">
        <v>163</v>
      </c>
      <c r="O14" s="0" t="n">
        <v>0.924675324675325</v>
      </c>
      <c r="Q14" s="0" t="n">
        <v>114</v>
      </c>
      <c r="S14" s="0" t="n">
        <v>1182</v>
      </c>
      <c r="T14" s="0" t="n">
        <v>-27</v>
      </c>
      <c r="U14" s="0" t="n">
        <v>1.02337662337662</v>
      </c>
      <c r="V14" s="0" t="n">
        <v>1.02337662337662</v>
      </c>
    </row>
    <row r="15" customFormat="false" ht="12.8" hidden="false" customHeight="false" outlineLevel="0" collapsed="false">
      <c r="A15" s="0" t="s">
        <v>51</v>
      </c>
      <c r="B15" s="0" t="s">
        <v>68</v>
      </c>
      <c r="C15" s="0" t="s">
        <v>39</v>
      </c>
      <c r="D15" s="0" t="n">
        <v>1001</v>
      </c>
      <c r="E15" s="0" t="n">
        <v>972</v>
      </c>
      <c r="F15" s="0" t="n">
        <v>0.841558441558441</v>
      </c>
      <c r="H15" s="0" t="n">
        <v>36</v>
      </c>
      <c r="I15" s="0" t="n">
        <v>3.5</v>
      </c>
      <c r="J15" s="0" t="n">
        <v>126</v>
      </c>
      <c r="K15" s="0" t="n">
        <v>18</v>
      </c>
      <c r="L15" s="0" t="n">
        <v>63</v>
      </c>
      <c r="M15" s="0" t="n">
        <v>1155</v>
      </c>
      <c r="N15" s="0" t="n">
        <v>212</v>
      </c>
      <c r="O15" s="0" t="n">
        <v>1.02510822510823</v>
      </c>
      <c r="Q15" s="0" t="n">
        <v>86</v>
      </c>
      <c r="S15" s="0" t="n">
        <v>1270</v>
      </c>
      <c r="T15" s="0" t="n">
        <v>-115</v>
      </c>
      <c r="U15" s="0" t="n">
        <v>1.0995670995671</v>
      </c>
      <c r="V15" s="0" t="n">
        <v>1.0995670995671</v>
      </c>
    </row>
    <row r="16" customFormat="false" ht="12.8" hidden="false" customHeight="false" outlineLevel="0" collapsed="false">
      <c r="A16" s="0" t="s">
        <v>69</v>
      </c>
      <c r="B16" s="0" t="s">
        <v>70</v>
      </c>
      <c r="C16" s="0" t="s">
        <v>39</v>
      </c>
      <c r="D16" s="0" t="n">
        <v>448</v>
      </c>
      <c r="E16" s="0" t="n">
        <v>445</v>
      </c>
      <c r="F16" s="0" t="n">
        <v>0.385281385281385</v>
      </c>
      <c r="G16" s="0" t="n">
        <v>149.7115</v>
      </c>
      <c r="H16" s="0" t="n">
        <v>36</v>
      </c>
      <c r="I16" s="0" t="n">
        <v>3.5</v>
      </c>
      <c r="J16" s="0" t="n">
        <v>126</v>
      </c>
      <c r="K16" s="0" t="n">
        <v>18</v>
      </c>
      <c r="L16" s="0" t="n">
        <v>63</v>
      </c>
      <c r="M16" s="0" t="n">
        <v>1155</v>
      </c>
      <c r="N16" s="0" t="n">
        <v>0</v>
      </c>
      <c r="O16" s="0" t="n">
        <v>0.385281385281385</v>
      </c>
      <c r="P16" s="0" t="n">
        <v>0</v>
      </c>
      <c r="Q16" s="0" t="n">
        <v>27</v>
      </c>
      <c r="R16" s="0" t="n">
        <v>10.028</v>
      </c>
      <c r="S16" s="0" t="n">
        <v>472</v>
      </c>
      <c r="T16" s="0" t="n">
        <v>683</v>
      </c>
      <c r="U16" s="0" t="n">
        <v>0.408658008658009</v>
      </c>
      <c r="V16" s="0" t="n">
        <v>0.408658008658009</v>
      </c>
      <c r="W16" s="0" t="n">
        <v>0.507109523809524</v>
      </c>
    </row>
    <row r="17" customFormat="false" ht="12.8" hidden="false" customHeight="false" outlineLevel="0" collapsed="false">
      <c r="A17" s="0" t="s">
        <v>69</v>
      </c>
      <c r="B17" s="0" t="s">
        <v>71</v>
      </c>
      <c r="C17" s="0" t="s">
        <v>39</v>
      </c>
      <c r="D17" s="0" t="n">
        <v>641</v>
      </c>
      <c r="E17" s="0" t="n">
        <v>639</v>
      </c>
      <c r="F17" s="0" t="n">
        <v>0.553246753246753</v>
      </c>
      <c r="H17" s="0" t="n">
        <v>36</v>
      </c>
      <c r="I17" s="0" t="n">
        <v>3.5</v>
      </c>
      <c r="J17" s="0" t="n">
        <v>126</v>
      </c>
      <c r="K17" s="0" t="n">
        <v>18</v>
      </c>
      <c r="L17" s="0" t="n">
        <v>63</v>
      </c>
      <c r="M17" s="0" t="n">
        <v>1155</v>
      </c>
      <c r="N17" s="0" t="n">
        <v>0</v>
      </c>
      <c r="O17" s="0" t="n">
        <v>0.553246753246753</v>
      </c>
      <c r="Q17" s="0" t="n">
        <v>14</v>
      </c>
      <c r="S17" s="0" t="n">
        <v>653</v>
      </c>
      <c r="T17" s="0" t="n">
        <v>502</v>
      </c>
      <c r="U17" s="0" t="n">
        <v>0.565367965367966</v>
      </c>
      <c r="V17" s="0" t="n">
        <v>0.565367965367966</v>
      </c>
    </row>
    <row r="18" customFormat="false" ht="12.8" hidden="false" customHeight="false" outlineLevel="0" collapsed="false">
      <c r="A18" s="0" t="s">
        <v>69</v>
      </c>
      <c r="B18" s="0" t="s">
        <v>73</v>
      </c>
      <c r="C18" s="0" t="s">
        <v>39</v>
      </c>
      <c r="D18" s="0" t="n">
        <v>613</v>
      </c>
      <c r="E18" s="0" t="n">
        <v>608</v>
      </c>
      <c r="F18" s="0" t="n">
        <v>0.526406926406926</v>
      </c>
      <c r="H18" s="0" t="n">
        <v>36</v>
      </c>
      <c r="I18" s="0" t="n">
        <v>3.5</v>
      </c>
      <c r="J18" s="0" t="n">
        <v>126</v>
      </c>
      <c r="K18" s="0" t="n">
        <v>18</v>
      </c>
      <c r="L18" s="0" t="n">
        <v>63</v>
      </c>
      <c r="M18" s="0" t="n">
        <v>1155</v>
      </c>
      <c r="N18" s="0" t="n">
        <v>0</v>
      </c>
      <c r="O18" s="0" t="n">
        <v>0.526406926406926</v>
      </c>
      <c r="Q18" s="0" t="n">
        <v>27</v>
      </c>
      <c r="S18" s="0" t="n">
        <v>635</v>
      </c>
      <c r="T18" s="0" t="n">
        <v>520</v>
      </c>
      <c r="U18" s="0" t="n">
        <v>0.54978354978355</v>
      </c>
      <c r="V18" s="0" t="n">
        <v>0.54978354978355</v>
      </c>
    </row>
    <row r="19" customFormat="false" ht="12.8" hidden="false" customHeight="false" outlineLevel="0" collapsed="false">
      <c r="A19" s="0" t="s">
        <v>69</v>
      </c>
      <c r="B19" s="0" t="s">
        <v>74</v>
      </c>
      <c r="C19" s="0" t="s">
        <v>39</v>
      </c>
      <c r="D19" s="0" t="n">
        <v>498</v>
      </c>
      <c r="E19" s="0" t="n">
        <v>504</v>
      </c>
      <c r="F19" s="0" t="n">
        <v>0.436363636363636</v>
      </c>
      <c r="G19" s="0" t="n">
        <v>0.475274603174603</v>
      </c>
      <c r="H19" s="0" t="n">
        <v>36</v>
      </c>
      <c r="I19" s="0" t="n">
        <v>3.5</v>
      </c>
      <c r="J19" s="0" t="n">
        <v>126</v>
      </c>
      <c r="K19" s="0" t="n">
        <v>18</v>
      </c>
      <c r="L19" s="0" t="n">
        <v>63</v>
      </c>
      <c r="M19" s="0" t="n">
        <v>1155</v>
      </c>
      <c r="N19" s="0" t="n">
        <v>0</v>
      </c>
      <c r="O19" s="0" t="n">
        <v>0.436363636363636</v>
      </c>
      <c r="P19" s="0" t="n">
        <v>0</v>
      </c>
      <c r="Q19" s="0" t="n">
        <v>58</v>
      </c>
      <c r="R19" s="0" t="n">
        <v>0.0318349206349206</v>
      </c>
      <c r="S19" s="0" t="n">
        <v>562</v>
      </c>
      <c r="T19" s="0" t="n">
        <v>593</v>
      </c>
      <c r="U19" s="0" t="n">
        <v>0.486580086580087</v>
      </c>
      <c r="V19" s="0" t="n">
        <v>0.486580086580087</v>
      </c>
    </row>
    <row r="20" customFormat="false" ht="12.8" hidden="false" customHeight="false" outlineLevel="0" collapsed="false">
      <c r="A20" s="0" t="s">
        <v>69</v>
      </c>
      <c r="B20" s="0" t="s">
        <v>76</v>
      </c>
      <c r="C20" s="0" t="s">
        <v>39</v>
      </c>
      <c r="D20" s="0" t="n">
        <v>557</v>
      </c>
      <c r="E20" s="0" t="n">
        <v>551</v>
      </c>
      <c r="F20" s="0" t="n">
        <v>0.477056277056277</v>
      </c>
      <c r="H20" s="0" t="n">
        <v>36</v>
      </c>
      <c r="I20" s="0" t="n">
        <v>3.5</v>
      </c>
      <c r="J20" s="0" t="n">
        <v>126</v>
      </c>
      <c r="K20" s="0" t="n">
        <v>18</v>
      </c>
      <c r="L20" s="0" t="n">
        <v>63</v>
      </c>
      <c r="M20" s="0" t="n">
        <v>1155</v>
      </c>
      <c r="N20" s="0" t="n">
        <v>0</v>
      </c>
      <c r="O20" s="0" t="n">
        <v>0.477056277056277</v>
      </c>
      <c r="Q20" s="0" t="n">
        <v>58</v>
      </c>
      <c r="S20" s="0" t="n">
        <v>609</v>
      </c>
      <c r="T20" s="0" t="n">
        <v>546</v>
      </c>
      <c r="U20" s="0" t="n">
        <v>0.527272727272727</v>
      </c>
      <c r="V20" s="0" t="n">
        <v>0.527272727272727</v>
      </c>
    </row>
    <row r="21" customFormat="false" ht="12.8" hidden="false" customHeight="false" outlineLevel="0" collapsed="false">
      <c r="A21" s="0" t="s">
        <v>77</v>
      </c>
      <c r="B21" s="0" t="s">
        <v>78</v>
      </c>
      <c r="C21" s="0" t="s">
        <v>39</v>
      </c>
      <c r="D21" s="0" t="n">
        <v>979</v>
      </c>
      <c r="E21" s="0" t="n">
        <v>716</v>
      </c>
      <c r="F21" s="0" t="n">
        <v>0.61991341991342</v>
      </c>
      <c r="G21" s="0" t="n">
        <v>245.5225</v>
      </c>
      <c r="H21" s="0" t="n">
        <v>36</v>
      </c>
      <c r="I21" s="0" t="n">
        <v>3.5</v>
      </c>
      <c r="J21" s="0" t="n">
        <v>126</v>
      </c>
      <c r="K21" s="0" t="n">
        <v>18</v>
      </c>
      <c r="L21" s="0" t="n">
        <v>63</v>
      </c>
      <c r="M21" s="0" t="n">
        <v>1155</v>
      </c>
      <c r="N21" s="0" t="n">
        <v>195</v>
      </c>
      <c r="O21" s="0" t="n">
        <v>0.788744588744589</v>
      </c>
      <c r="P21" s="0" t="n">
        <v>65.3455</v>
      </c>
      <c r="Q21" s="0" t="n">
        <v>283</v>
      </c>
      <c r="R21" s="0" t="n">
        <v>85.0745</v>
      </c>
      <c r="S21" s="0" t="n">
        <v>1194</v>
      </c>
      <c r="T21" s="0" t="n">
        <v>-39</v>
      </c>
      <c r="U21" s="0" t="n">
        <v>1.03376623376623</v>
      </c>
      <c r="V21" s="0" t="n">
        <v>1.03376623376623</v>
      </c>
      <c r="W21" s="0" t="n">
        <v>1.04746693121693</v>
      </c>
    </row>
    <row r="22" customFormat="false" ht="12.8" hidden="false" customHeight="false" outlineLevel="0" collapsed="false">
      <c r="A22" s="0" t="s">
        <v>77</v>
      </c>
      <c r="B22" s="0" t="s">
        <v>81</v>
      </c>
      <c r="C22" s="0" t="s">
        <v>39</v>
      </c>
      <c r="D22" s="0" t="n">
        <v>777</v>
      </c>
      <c r="E22" s="0" t="n">
        <v>819</v>
      </c>
      <c r="F22" s="0" t="n">
        <v>0.709090909090909</v>
      </c>
      <c r="H22" s="0" t="n">
        <v>36</v>
      </c>
      <c r="I22" s="0" t="n">
        <v>3.5</v>
      </c>
      <c r="J22" s="0" t="n">
        <v>126</v>
      </c>
      <c r="K22" s="0" t="n">
        <v>18</v>
      </c>
      <c r="L22" s="0" t="n">
        <v>63</v>
      </c>
      <c r="M22" s="0" t="n">
        <v>1155</v>
      </c>
      <c r="N22" s="0" t="n">
        <v>183</v>
      </c>
      <c r="O22" s="0" t="n">
        <v>0.867532467532468</v>
      </c>
      <c r="Q22" s="0" t="n">
        <v>211</v>
      </c>
      <c r="S22" s="0" t="n">
        <v>1213</v>
      </c>
      <c r="T22" s="0" t="n">
        <v>-58</v>
      </c>
      <c r="U22" s="0" t="n">
        <v>1.05021645021645</v>
      </c>
      <c r="V22" s="0" t="n">
        <v>1.05021645021645</v>
      </c>
    </row>
    <row r="23" customFormat="false" ht="12.8" hidden="false" customHeight="false" outlineLevel="0" collapsed="false">
      <c r="A23" s="0" t="s">
        <v>77</v>
      </c>
      <c r="B23" s="0" t="s">
        <v>82</v>
      </c>
      <c r="C23" s="0" t="s">
        <v>39</v>
      </c>
      <c r="D23" s="0" t="n">
        <v>738</v>
      </c>
      <c r="E23" s="0" t="n">
        <v>762</v>
      </c>
      <c r="F23" s="0" t="n">
        <v>0.65974025974026</v>
      </c>
      <c r="H23" s="0" t="n">
        <v>36</v>
      </c>
      <c r="I23" s="0" t="n">
        <v>3.5</v>
      </c>
      <c r="J23" s="0" t="n">
        <v>126</v>
      </c>
      <c r="K23" s="0" t="n">
        <v>18</v>
      </c>
      <c r="L23" s="0" t="n">
        <v>63</v>
      </c>
      <c r="M23" s="0" t="n">
        <v>1155</v>
      </c>
      <c r="N23" s="0" t="n">
        <v>202</v>
      </c>
      <c r="O23" s="0" t="n">
        <v>0.834632034632035</v>
      </c>
      <c r="Q23" s="0" t="n">
        <v>250</v>
      </c>
      <c r="S23" s="0" t="n">
        <v>1214</v>
      </c>
      <c r="T23" s="0" t="n">
        <v>-59</v>
      </c>
      <c r="U23" s="0" t="n">
        <v>1.05108225108225</v>
      </c>
      <c r="V23" s="0" t="n">
        <v>1.05108225108225</v>
      </c>
    </row>
    <row r="24" customFormat="false" ht="12.8" hidden="false" customHeight="false" outlineLevel="0" collapsed="false">
      <c r="A24" s="0" t="s">
        <v>77</v>
      </c>
      <c r="B24" s="0" t="s">
        <v>83</v>
      </c>
      <c r="C24" s="0" t="s">
        <v>39</v>
      </c>
      <c r="D24" s="0" t="n">
        <v>939</v>
      </c>
      <c r="E24" s="0" t="n">
        <v>770</v>
      </c>
      <c r="F24" s="0" t="n">
        <v>0.666666666666667</v>
      </c>
      <c r="G24" s="0" t="n">
        <v>0.649530423280423</v>
      </c>
      <c r="H24" s="0" t="n">
        <v>36</v>
      </c>
      <c r="I24" s="0" t="n">
        <v>3.5</v>
      </c>
      <c r="J24" s="0" t="n">
        <v>126</v>
      </c>
      <c r="K24" s="0" t="n">
        <v>18</v>
      </c>
      <c r="L24" s="0" t="n">
        <v>63</v>
      </c>
      <c r="M24" s="0" t="n">
        <v>1155</v>
      </c>
      <c r="N24" s="0" t="n">
        <v>205</v>
      </c>
      <c r="O24" s="0" t="n">
        <v>0.844155844155844</v>
      </c>
      <c r="P24" s="0" t="n">
        <v>0.172871693121693</v>
      </c>
      <c r="Q24" s="0" t="n">
        <v>235</v>
      </c>
      <c r="R24" s="0" t="n">
        <v>0.225064814814815</v>
      </c>
      <c r="S24" s="0" t="n">
        <v>1210</v>
      </c>
      <c r="T24" s="0" t="n">
        <v>-55</v>
      </c>
      <c r="U24" s="0" t="n">
        <v>1.04761904761905</v>
      </c>
      <c r="V24" s="0" t="n">
        <v>1.04761904761905</v>
      </c>
    </row>
    <row r="25" customFormat="false" ht="12.8" hidden="false" customHeight="false" outlineLevel="0" collapsed="false">
      <c r="A25" s="0" t="s">
        <v>77</v>
      </c>
      <c r="B25" s="0" t="s">
        <v>84</v>
      </c>
      <c r="C25" s="0" t="s">
        <v>39</v>
      </c>
      <c r="D25" s="0" t="n">
        <v>731</v>
      </c>
      <c r="E25" s="0" t="n">
        <v>792</v>
      </c>
      <c r="F25" s="0" t="n">
        <v>0.685714285714286</v>
      </c>
      <c r="H25" s="0" t="n">
        <v>36</v>
      </c>
      <c r="I25" s="0" t="n">
        <v>3.5</v>
      </c>
      <c r="J25" s="0" t="n">
        <v>126</v>
      </c>
      <c r="K25" s="0" t="n">
        <v>18</v>
      </c>
      <c r="L25" s="0" t="n">
        <v>63</v>
      </c>
      <c r="M25" s="0" t="n">
        <v>1155</v>
      </c>
      <c r="N25" s="0" t="n">
        <v>207</v>
      </c>
      <c r="O25" s="0" t="n">
        <v>0.864935064935065</v>
      </c>
      <c r="Q25" s="0" t="n">
        <v>217</v>
      </c>
      <c r="S25" s="0" t="n">
        <v>1216</v>
      </c>
      <c r="T25" s="0" t="n">
        <v>-61</v>
      </c>
      <c r="U25" s="0" t="n">
        <v>1.05281385281385</v>
      </c>
    </row>
    <row r="26" customFormat="false" ht="12.8" hidden="false" customHeight="false" outlineLevel="0" collapsed="false">
      <c r="A26" s="0" t="s">
        <v>77</v>
      </c>
      <c r="B26" s="0" t="s">
        <v>85</v>
      </c>
      <c r="C26" s="0" t="s">
        <v>39</v>
      </c>
      <c r="D26" s="0" t="n">
        <v>480</v>
      </c>
      <c r="E26" s="0" t="n">
        <v>646</v>
      </c>
      <c r="F26" s="0" t="n">
        <v>0.559307359307359</v>
      </c>
      <c r="H26" s="0" t="n">
        <v>36</v>
      </c>
      <c r="I26" s="0" t="n">
        <v>3.5</v>
      </c>
      <c r="J26" s="0" t="n">
        <v>126</v>
      </c>
      <c r="K26" s="0" t="n">
        <v>18</v>
      </c>
      <c r="L26" s="0" t="n">
        <v>63</v>
      </c>
      <c r="M26" s="0" t="n">
        <v>1155</v>
      </c>
      <c r="N26" s="0" t="n">
        <v>207</v>
      </c>
      <c r="O26" s="0" t="n">
        <v>0.738528138528139</v>
      </c>
      <c r="Q26" s="0" t="n">
        <v>365</v>
      </c>
      <c r="S26" s="0" t="n">
        <v>1218</v>
      </c>
      <c r="T26" s="0" t="n">
        <v>-63</v>
      </c>
      <c r="U26" s="0" t="n">
        <v>1.05454545454545</v>
      </c>
    </row>
    <row r="27" customFormat="false" ht="12.8" hidden="false" customHeight="false" outlineLevel="0" collapsed="false">
      <c r="A27" s="0" t="s">
        <v>86</v>
      </c>
      <c r="B27" s="0" t="s">
        <v>87</v>
      </c>
      <c r="C27" s="0" t="s">
        <v>39</v>
      </c>
      <c r="D27" s="0" t="n">
        <v>526</v>
      </c>
      <c r="E27" s="0" t="n">
        <v>528</v>
      </c>
      <c r="F27" s="0" t="n">
        <v>0.457142857142857</v>
      </c>
      <c r="G27" s="0" t="n">
        <v>114.0685</v>
      </c>
      <c r="H27" s="0" t="n">
        <v>36</v>
      </c>
      <c r="I27" s="0" t="n">
        <v>3.5</v>
      </c>
      <c r="J27" s="0" t="n">
        <v>126</v>
      </c>
      <c r="K27" s="0" t="n">
        <v>18</v>
      </c>
      <c r="L27" s="0" t="n">
        <v>63</v>
      </c>
      <c r="M27" s="0" t="n">
        <v>1155</v>
      </c>
      <c r="N27" s="0" t="n">
        <v>0</v>
      </c>
      <c r="O27" s="0" t="n">
        <v>0.457142857142857</v>
      </c>
      <c r="P27" s="0" t="n">
        <v>0</v>
      </c>
      <c r="Q27" s="0" t="n">
        <v>7</v>
      </c>
      <c r="R27" s="0" t="n">
        <v>2.6656</v>
      </c>
      <c r="S27" s="0" t="n">
        <v>535</v>
      </c>
      <c r="T27" s="0" t="n">
        <v>620</v>
      </c>
      <c r="U27" s="0" t="n">
        <v>0.463203463203463</v>
      </c>
      <c r="V27" s="0" t="n">
        <v>0.463203463203463</v>
      </c>
      <c r="W27" s="0" t="n">
        <v>0.389113666666667</v>
      </c>
    </row>
    <row r="28" customFormat="false" ht="12.8" hidden="false" customHeight="false" outlineLevel="0" collapsed="false">
      <c r="A28" s="0" t="s">
        <v>86</v>
      </c>
      <c r="B28" s="0" t="s">
        <v>88</v>
      </c>
      <c r="C28" s="0" t="s">
        <v>39</v>
      </c>
      <c r="D28" s="0" t="n">
        <v>601</v>
      </c>
      <c r="E28" s="0" t="n">
        <v>598</v>
      </c>
      <c r="F28" s="0" t="n">
        <v>0.517748917748918</v>
      </c>
      <c r="H28" s="0" t="n">
        <v>36</v>
      </c>
      <c r="I28" s="0" t="n">
        <v>3.5</v>
      </c>
      <c r="J28" s="0" t="n">
        <v>126</v>
      </c>
      <c r="K28" s="0" t="n">
        <v>18</v>
      </c>
      <c r="L28" s="0" t="n">
        <v>63</v>
      </c>
      <c r="M28" s="0" t="n">
        <v>1155</v>
      </c>
      <c r="N28" s="0" t="n">
        <v>0</v>
      </c>
      <c r="O28" s="0" t="n">
        <v>0.517748917748918</v>
      </c>
      <c r="Q28" s="0" t="n">
        <v>21</v>
      </c>
      <c r="S28" s="0" t="n">
        <v>619</v>
      </c>
      <c r="T28" s="0" t="n">
        <v>536</v>
      </c>
      <c r="U28" s="0" t="n">
        <v>0.535930735930736</v>
      </c>
      <c r="V28" s="0" t="n">
        <v>0.535930735930736</v>
      </c>
    </row>
    <row r="29" customFormat="false" ht="12.8" hidden="false" customHeight="false" outlineLevel="0" collapsed="false">
      <c r="A29" s="0" t="s">
        <v>86</v>
      </c>
      <c r="B29" s="0" t="s">
        <v>90</v>
      </c>
      <c r="C29" s="0" t="s">
        <v>39</v>
      </c>
      <c r="D29" s="0" t="n">
        <v>535</v>
      </c>
      <c r="E29" s="0" t="n">
        <v>532</v>
      </c>
      <c r="F29" s="0" t="n">
        <v>0.460606060606061</v>
      </c>
      <c r="G29" s="0" t="n">
        <v>0.380228333333333</v>
      </c>
      <c r="H29" s="0" t="n">
        <v>36</v>
      </c>
      <c r="I29" s="0" t="n">
        <v>3.5</v>
      </c>
      <c r="J29" s="0" t="n">
        <v>126</v>
      </c>
      <c r="K29" s="0" t="n">
        <v>18</v>
      </c>
      <c r="L29" s="0" t="n">
        <v>63</v>
      </c>
      <c r="M29" s="0" t="n">
        <v>1155</v>
      </c>
      <c r="N29" s="0" t="n">
        <v>0</v>
      </c>
      <c r="O29" s="0" t="n">
        <v>0.460606060606061</v>
      </c>
      <c r="P29" s="0" t="n">
        <v>0</v>
      </c>
      <c r="Q29" s="0" t="n">
        <v>7</v>
      </c>
      <c r="R29" s="0" t="n">
        <v>0</v>
      </c>
      <c r="S29" s="0" t="n">
        <v>539</v>
      </c>
      <c r="T29" s="0" t="n">
        <v>616</v>
      </c>
      <c r="U29" s="0" t="n">
        <v>0.466666666666667</v>
      </c>
      <c r="V29" s="0" t="n">
        <v>0.466666666666667</v>
      </c>
    </row>
    <row r="30" customFormat="false" ht="12.8" hidden="false" customHeight="false" outlineLevel="0" collapsed="false">
      <c r="A30" s="0" t="s">
        <v>86</v>
      </c>
      <c r="B30" s="0" t="s">
        <v>92</v>
      </c>
      <c r="C30" s="0" t="s">
        <v>39</v>
      </c>
      <c r="D30" s="0" t="n">
        <v>410</v>
      </c>
      <c r="E30" s="0" t="n">
        <v>435</v>
      </c>
      <c r="F30" s="0" t="n">
        <v>0.376623376623377</v>
      </c>
      <c r="H30" s="0" t="n">
        <v>36</v>
      </c>
      <c r="I30" s="0" t="n">
        <v>3.5</v>
      </c>
      <c r="J30" s="0" t="n">
        <v>126</v>
      </c>
      <c r="K30" s="0" t="n">
        <v>18</v>
      </c>
      <c r="L30" s="0" t="n">
        <v>63</v>
      </c>
      <c r="M30" s="0" t="n">
        <v>1155</v>
      </c>
      <c r="N30" s="0" t="n">
        <v>0</v>
      </c>
      <c r="O30" s="0" t="n">
        <v>0.376623376623377</v>
      </c>
      <c r="Q30" s="0" t="n">
        <v>14</v>
      </c>
      <c r="S30" s="0" t="n">
        <v>449</v>
      </c>
      <c r="T30" s="0" t="n">
        <v>706</v>
      </c>
      <c r="U30" s="0" t="n">
        <v>0.388744588744589</v>
      </c>
      <c r="V30" s="0" t="n">
        <v>0.388744588744589</v>
      </c>
    </row>
    <row r="31" customFormat="false" ht="12.8" hidden="false" customHeight="false" outlineLevel="0" collapsed="false">
      <c r="A31" s="0" t="s">
        <v>93</v>
      </c>
      <c r="B31" s="0" t="s">
        <v>94</v>
      </c>
      <c r="C31" s="0" t="s">
        <v>39</v>
      </c>
      <c r="D31" s="0" t="n">
        <v>617</v>
      </c>
      <c r="E31" s="0" t="n">
        <v>671</v>
      </c>
      <c r="F31" s="0" t="n">
        <v>0.580952380952381</v>
      </c>
      <c r="G31" s="0" t="n">
        <v>156.524</v>
      </c>
      <c r="H31" s="0" t="n">
        <v>36</v>
      </c>
      <c r="I31" s="0" t="n">
        <v>3.5</v>
      </c>
      <c r="J31" s="0" t="n">
        <v>126</v>
      </c>
      <c r="K31" s="0" t="n">
        <v>18</v>
      </c>
      <c r="L31" s="0" t="n">
        <v>63</v>
      </c>
      <c r="M31" s="0" t="n">
        <v>1155</v>
      </c>
      <c r="N31" s="0" t="n">
        <v>33</v>
      </c>
      <c r="O31" s="0" t="n">
        <v>0.60952380952381</v>
      </c>
      <c r="P31" s="0" t="n">
        <v>6.7035</v>
      </c>
      <c r="Q31" s="0" t="n">
        <v>86</v>
      </c>
      <c r="R31" s="0" t="n">
        <v>25.4515</v>
      </c>
      <c r="S31" s="0" t="n">
        <v>790</v>
      </c>
      <c r="T31" s="0" t="n">
        <v>365</v>
      </c>
      <c r="U31" s="0" t="n">
        <v>0.683982683982684</v>
      </c>
      <c r="V31" s="0" t="n">
        <v>0.683982683982684</v>
      </c>
      <c r="W31" s="0" t="n">
        <v>0.62893</v>
      </c>
    </row>
    <row r="32" customFormat="false" ht="12.8" hidden="false" customHeight="false" outlineLevel="0" collapsed="false">
      <c r="A32" s="0" t="s">
        <v>93</v>
      </c>
      <c r="B32" s="0" t="s">
        <v>98</v>
      </c>
      <c r="C32" s="0" t="s">
        <v>39</v>
      </c>
      <c r="D32" s="0" t="n">
        <v>694</v>
      </c>
      <c r="E32" s="0" t="n">
        <v>730</v>
      </c>
      <c r="F32" s="0" t="n">
        <v>0.632034632034632</v>
      </c>
      <c r="H32" s="0" t="n">
        <v>36</v>
      </c>
      <c r="I32" s="0" t="n">
        <v>3.5</v>
      </c>
      <c r="J32" s="0" t="n">
        <v>126</v>
      </c>
      <c r="K32" s="0" t="n">
        <v>18</v>
      </c>
      <c r="L32" s="0" t="n">
        <v>63</v>
      </c>
      <c r="M32" s="0" t="n">
        <v>1155</v>
      </c>
      <c r="N32" s="0" t="n">
        <v>0</v>
      </c>
      <c r="O32" s="0" t="n">
        <v>0.632034632034632</v>
      </c>
      <c r="Q32" s="0" t="n">
        <v>72</v>
      </c>
      <c r="S32" s="0" t="n">
        <v>802</v>
      </c>
      <c r="T32" s="0" t="n">
        <v>353</v>
      </c>
      <c r="U32" s="0" t="n">
        <v>0.694372294372294</v>
      </c>
      <c r="V32" s="0" t="n">
        <v>0.694372294372294</v>
      </c>
    </row>
    <row r="33" customFormat="false" ht="12.8" hidden="false" customHeight="false" outlineLevel="0" collapsed="false">
      <c r="A33" s="0" t="s">
        <v>93</v>
      </c>
      <c r="B33" s="0" t="s">
        <v>100</v>
      </c>
      <c r="C33" s="0" t="s">
        <v>39</v>
      </c>
      <c r="D33" s="0" t="n">
        <v>661</v>
      </c>
      <c r="E33" s="0" t="n">
        <v>677</v>
      </c>
      <c r="F33" s="0" t="n">
        <v>0.586147186147186</v>
      </c>
      <c r="H33" s="0" t="n">
        <v>36</v>
      </c>
      <c r="I33" s="0" t="n">
        <v>3.5</v>
      </c>
      <c r="J33" s="0" t="n">
        <v>126</v>
      </c>
      <c r="K33" s="0" t="n">
        <v>18</v>
      </c>
      <c r="L33" s="0" t="n">
        <v>63</v>
      </c>
      <c r="M33" s="0" t="n">
        <v>1155</v>
      </c>
      <c r="N33" s="0" t="n">
        <v>0</v>
      </c>
      <c r="O33" s="0" t="n">
        <v>0.586147186147186</v>
      </c>
      <c r="Q33" s="0" t="n">
        <v>146</v>
      </c>
      <c r="S33" s="0" t="n">
        <v>823</v>
      </c>
      <c r="T33" s="0" t="n">
        <v>332</v>
      </c>
      <c r="U33" s="0" t="n">
        <v>0.712554112554113</v>
      </c>
      <c r="V33" s="0" t="n">
        <v>0.712554112554113</v>
      </c>
    </row>
    <row r="34" customFormat="false" ht="12.8" hidden="false" customHeight="false" outlineLevel="0" collapsed="false">
      <c r="A34" s="0" t="s">
        <v>93</v>
      </c>
      <c r="B34" s="0" t="s">
        <v>102</v>
      </c>
      <c r="C34" s="0" t="s">
        <v>39</v>
      </c>
      <c r="D34" s="0" t="n">
        <v>347</v>
      </c>
      <c r="E34" s="0" t="n">
        <v>394</v>
      </c>
      <c r="F34" s="0" t="n">
        <v>0.341125541125541</v>
      </c>
      <c r="G34" s="0" t="n">
        <v>0.521746666666667</v>
      </c>
      <c r="H34" s="0" t="n">
        <v>36</v>
      </c>
      <c r="I34" s="0" t="n">
        <v>3.5</v>
      </c>
      <c r="J34" s="0" t="n">
        <v>126</v>
      </c>
      <c r="K34" s="0" t="n">
        <v>18</v>
      </c>
      <c r="L34" s="0" t="n">
        <v>63</v>
      </c>
      <c r="M34" s="0" t="n">
        <v>1155</v>
      </c>
      <c r="N34" s="0" t="n">
        <v>45</v>
      </c>
      <c r="O34" s="0" t="n">
        <v>0.38008658008658</v>
      </c>
      <c r="P34" s="0" t="n">
        <v>0.022345</v>
      </c>
      <c r="Q34" s="0" t="n">
        <v>140</v>
      </c>
      <c r="R34" s="0" t="n">
        <v>0.0848383333333333</v>
      </c>
      <c r="S34" s="0" t="n">
        <v>579</v>
      </c>
      <c r="T34" s="0" t="n">
        <v>576</v>
      </c>
      <c r="U34" s="0" t="n">
        <v>0.501298701298701</v>
      </c>
    </row>
    <row r="35" customFormat="false" ht="12.8" hidden="false" customHeight="false" outlineLevel="0" collapsed="false">
      <c r="A35" s="0" t="s">
        <v>93</v>
      </c>
      <c r="B35" s="0" t="s">
        <v>103</v>
      </c>
      <c r="C35" s="0" t="s">
        <v>39</v>
      </c>
      <c r="D35" s="0" t="n">
        <v>357</v>
      </c>
      <c r="E35" s="0" t="n">
        <v>400</v>
      </c>
      <c r="F35" s="0" t="n">
        <v>0.346320346320346</v>
      </c>
      <c r="H35" s="0" t="n">
        <v>36</v>
      </c>
      <c r="I35" s="0" t="n">
        <v>3.5</v>
      </c>
      <c r="J35" s="0" t="n">
        <v>126</v>
      </c>
      <c r="K35" s="0" t="n">
        <v>18</v>
      </c>
      <c r="L35" s="0" t="n">
        <v>63</v>
      </c>
      <c r="M35" s="0" t="n">
        <v>1155</v>
      </c>
      <c r="N35" s="0" t="n">
        <v>45</v>
      </c>
      <c r="O35" s="0" t="n">
        <v>0.385281385281385</v>
      </c>
      <c r="Q35" s="0" t="n">
        <v>23</v>
      </c>
      <c r="S35" s="0" t="n">
        <v>468</v>
      </c>
      <c r="T35" s="0" t="n">
        <v>687</v>
      </c>
      <c r="U35" s="0" t="n">
        <v>0.405194805194805</v>
      </c>
      <c r="V35" s="0" t="n">
        <v>0.405194805194805</v>
      </c>
    </row>
    <row r="36" customFormat="false" ht="12.8" hidden="false" customHeight="false" outlineLevel="0" collapsed="false">
      <c r="A36" s="0" t="s">
        <v>107</v>
      </c>
      <c r="B36" s="0" t="s">
        <v>1555</v>
      </c>
      <c r="C36" s="0" t="s">
        <v>39</v>
      </c>
      <c r="D36" s="0" t="n">
        <v>697</v>
      </c>
      <c r="E36" s="0" t="n">
        <v>770</v>
      </c>
      <c r="F36" s="0" t="n">
        <v>0.666666666666667</v>
      </c>
      <c r="G36" s="0" t="n">
        <v>239.364</v>
      </c>
      <c r="H36" s="0" t="n">
        <v>36</v>
      </c>
      <c r="I36" s="0" t="n">
        <v>3.5</v>
      </c>
      <c r="J36" s="0" t="n">
        <v>126</v>
      </c>
      <c r="K36" s="0" t="n">
        <v>18</v>
      </c>
      <c r="L36" s="0" t="n">
        <v>63</v>
      </c>
      <c r="M36" s="0" t="n">
        <v>1155</v>
      </c>
      <c r="N36" s="0" t="n">
        <v>45</v>
      </c>
      <c r="O36" s="0" t="n">
        <v>0.705627705627706</v>
      </c>
      <c r="P36" s="0" t="n">
        <v>6.7035</v>
      </c>
      <c r="Q36" s="0" t="n">
        <v>145</v>
      </c>
      <c r="R36" s="0" t="n">
        <v>43.491</v>
      </c>
      <c r="S36" s="0" t="n">
        <v>960</v>
      </c>
      <c r="T36" s="0" t="n">
        <v>195</v>
      </c>
      <c r="U36" s="0" t="n">
        <v>0.831168831168831</v>
      </c>
      <c r="V36" s="0" t="n">
        <v>0.831168831168831</v>
      </c>
      <c r="W36" s="0" t="n">
        <v>0.77013</v>
      </c>
    </row>
    <row r="37" customFormat="false" ht="12.8" hidden="false" customHeight="false" outlineLevel="0" collapsed="false">
      <c r="A37" s="0" t="s">
        <v>107</v>
      </c>
      <c r="B37" s="0" t="s">
        <v>1556</v>
      </c>
      <c r="C37" s="0" t="s">
        <v>39</v>
      </c>
      <c r="D37" s="0" t="n">
        <v>728</v>
      </c>
      <c r="E37" s="0" t="n">
        <v>814</v>
      </c>
      <c r="F37" s="0" t="n">
        <v>0.704761904761905</v>
      </c>
      <c r="H37" s="0" t="n">
        <v>36</v>
      </c>
      <c r="I37" s="0" t="n">
        <v>3.5</v>
      </c>
      <c r="J37" s="0" t="n">
        <v>126</v>
      </c>
      <c r="K37" s="0" t="n">
        <v>18</v>
      </c>
      <c r="L37" s="0" t="n">
        <v>63</v>
      </c>
      <c r="M37" s="0" t="n">
        <v>1155</v>
      </c>
      <c r="N37" s="0" t="n">
        <v>0</v>
      </c>
      <c r="O37" s="0" t="n">
        <v>0.704761904761905</v>
      </c>
      <c r="Q37" s="0" t="n">
        <v>189</v>
      </c>
      <c r="S37" s="0" t="n">
        <v>1003</v>
      </c>
      <c r="T37" s="0" t="n">
        <v>152</v>
      </c>
      <c r="U37" s="0" t="n">
        <v>0.868398268398268</v>
      </c>
      <c r="V37" s="0" t="n">
        <v>0.868398268398268</v>
      </c>
    </row>
    <row r="38" customFormat="false" ht="12.8" hidden="false" customHeight="false" outlineLevel="0" collapsed="false">
      <c r="A38" s="0" t="s">
        <v>107</v>
      </c>
      <c r="B38" s="0" t="s">
        <v>1557</v>
      </c>
      <c r="C38" s="0" t="s">
        <v>39</v>
      </c>
      <c r="D38" s="0" t="n">
        <v>702</v>
      </c>
      <c r="E38" s="0" t="n">
        <v>709</v>
      </c>
      <c r="F38" s="0" t="n">
        <v>0.613852813852814</v>
      </c>
      <c r="H38" s="0" t="n">
        <v>36</v>
      </c>
      <c r="I38" s="0" t="n">
        <v>3.5</v>
      </c>
      <c r="J38" s="0" t="n">
        <v>126</v>
      </c>
      <c r="K38" s="0" t="n">
        <v>18</v>
      </c>
      <c r="L38" s="0" t="n">
        <v>63</v>
      </c>
      <c r="M38" s="0" t="n">
        <v>1155</v>
      </c>
      <c r="N38" s="0" t="n">
        <v>0</v>
      </c>
      <c r="O38" s="0" t="n">
        <v>0.613852813852814</v>
      </c>
      <c r="Q38" s="0" t="n">
        <v>175</v>
      </c>
      <c r="S38" s="0" t="n">
        <v>884</v>
      </c>
      <c r="T38" s="0" t="n">
        <v>271</v>
      </c>
      <c r="U38" s="0" t="n">
        <v>0.765367965367965</v>
      </c>
      <c r="V38" s="0" t="n">
        <v>0.765367965367965</v>
      </c>
    </row>
    <row r="39" customFormat="false" ht="12.8" hidden="false" customHeight="false" outlineLevel="0" collapsed="false">
      <c r="A39" s="0" t="s">
        <v>107</v>
      </c>
      <c r="B39" s="0" t="s">
        <v>1558</v>
      </c>
      <c r="C39" s="0" t="s">
        <v>39</v>
      </c>
      <c r="D39" s="0" t="n">
        <v>694</v>
      </c>
      <c r="E39" s="0" t="n">
        <v>693</v>
      </c>
      <c r="F39" s="0" t="n">
        <v>0.6</v>
      </c>
      <c r="G39" s="0" t="n">
        <v>0.53192</v>
      </c>
      <c r="H39" s="0" t="n">
        <v>36</v>
      </c>
      <c r="I39" s="0" t="n">
        <v>3.5</v>
      </c>
      <c r="J39" s="0" t="n">
        <v>126</v>
      </c>
      <c r="K39" s="0" t="n">
        <v>18</v>
      </c>
      <c r="L39" s="0" t="n">
        <v>63</v>
      </c>
      <c r="M39" s="0" t="n">
        <v>1155</v>
      </c>
      <c r="N39" s="0" t="n">
        <v>0</v>
      </c>
      <c r="O39" s="0" t="n">
        <v>0.6</v>
      </c>
      <c r="P39" s="0" t="n">
        <v>0.0148966666666667</v>
      </c>
      <c r="Q39" s="0" t="n">
        <v>175</v>
      </c>
      <c r="R39" s="0" t="n">
        <v>0.0966466666666667</v>
      </c>
      <c r="S39" s="0" t="n">
        <v>868</v>
      </c>
      <c r="T39" s="0" t="n">
        <v>287</v>
      </c>
      <c r="U39" s="0" t="n">
        <v>0.751515151515151</v>
      </c>
      <c r="V39" s="0" t="n">
        <v>0.751515151515151</v>
      </c>
    </row>
    <row r="40" customFormat="false" ht="12.8" hidden="false" customHeight="false" outlineLevel="0" collapsed="false">
      <c r="A40" s="0" t="s">
        <v>107</v>
      </c>
      <c r="B40" s="0" t="s">
        <v>1559</v>
      </c>
      <c r="C40" s="0" t="s">
        <v>39</v>
      </c>
      <c r="D40" s="0" t="n">
        <v>754</v>
      </c>
      <c r="E40" s="0" t="n">
        <v>733</v>
      </c>
      <c r="F40" s="0" t="n">
        <v>0.634632034632035</v>
      </c>
      <c r="H40" s="0" t="n">
        <v>36</v>
      </c>
      <c r="I40" s="0" t="n">
        <v>3.5</v>
      </c>
      <c r="J40" s="0" t="n">
        <v>126</v>
      </c>
      <c r="K40" s="0" t="n">
        <v>18</v>
      </c>
      <c r="L40" s="0" t="n">
        <v>63</v>
      </c>
      <c r="M40" s="0" t="n">
        <v>1155</v>
      </c>
      <c r="N40" s="0" t="n">
        <v>45</v>
      </c>
      <c r="O40" s="0" t="n">
        <v>0.673593073593074</v>
      </c>
      <c r="Q40" s="0" t="n">
        <v>6</v>
      </c>
      <c r="S40" s="0" t="n">
        <v>784</v>
      </c>
      <c r="T40" s="0" t="n">
        <v>371</v>
      </c>
      <c r="U40" s="0" t="n">
        <v>0.678787878787879</v>
      </c>
      <c r="V40" s="0" t="n">
        <v>0.678787878787879</v>
      </c>
    </row>
    <row r="41" customFormat="false" ht="12.8" hidden="false" customHeight="false" outlineLevel="0" collapsed="false">
      <c r="A41" s="0" t="s">
        <v>107</v>
      </c>
      <c r="B41" s="0" t="s">
        <v>1560</v>
      </c>
      <c r="C41" s="0" t="s">
        <v>39</v>
      </c>
      <c r="D41" s="0" t="n">
        <v>659</v>
      </c>
      <c r="E41" s="0" t="n">
        <v>673</v>
      </c>
      <c r="F41" s="0" t="n">
        <v>0.582683982683983</v>
      </c>
      <c r="H41" s="0" t="n">
        <v>36</v>
      </c>
      <c r="I41" s="0" t="n">
        <v>3.5</v>
      </c>
      <c r="J41" s="0" t="n">
        <v>126</v>
      </c>
      <c r="K41" s="0" t="n">
        <v>18</v>
      </c>
      <c r="L41" s="0" t="n">
        <v>63</v>
      </c>
      <c r="M41" s="0" t="n">
        <v>1155</v>
      </c>
      <c r="N41" s="0" t="n">
        <v>33</v>
      </c>
      <c r="O41" s="0" t="n">
        <v>0.611255411255411</v>
      </c>
      <c r="Q41" s="0" t="n">
        <v>108</v>
      </c>
      <c r="S41" s="0" t="n">
        <v>814</v>
      </c>
      <c r="T41" s="0" t="n">
        <v>341</v>
      </c>
      <c r="U41" s="0" t="n">
        <v>0.704761904761905</v>
      </c>
      <c r="V41" s="0" t="n">
        <v>0.704761904761905</v>
      </c>
    </row>
    <row r="42" customFormat="false" ht="12.8" hidden="false" customHeight="false" outlineLevel="0" collapsed="false">
      <c r="A42" s="0" t="s">
        <v>122</v>
      </c>
      <c r="B42" s="0" t="s">
        <v>123</v>
      </c>
      <c r="C42" s="0" t="s">
        <v>39</v>
      </c>
      <c r="D42" s="0" t="n">
        <v>319</v>
      </c>
      <c r="E42" s="0" t="n">
        <v>323</v>
      </c>
      <c r="F42" s="0" t="n">
        <v>0.419480519480519</v>
      </c>
      <c r="G42" s="0" t="n">
        <v>182.9565</v>
      </c>
      <c r="H42" s="0" t="n">
        <v>24</v>
      </c>
      <c r="I42" s="0" t="n">
        <v>3.5</v>
      </c>
      <c r="J42" s="0" t="n">
        <v>84</v>
      </c>
      <c r="K42" s="0" t="n">
        <v>12</v>
      </c>
      <c r="L42" s="0" t="n">
        <v>42</v>
      </c>
      <c r="M42" s="0" t="n">
        <v>770</v>
      </c>
      <c r="N42" s="0" t="n">
        <v>0</v>
      </c>
      <c r="O42" s="0" t="n">
        <v>0.419480519480519</v>
      </c>
      <c r="P42" s="0" t="n">
        <v>0</v>
      </c>
      <c r="Q42" s="0" t="n">
        <v>0</v>
      </c>
      <c r="R42" s="0" t="n">
        <v>9.919</v>
      </c>
      <c r="S42" s="0" t="n">
        <v>323</v>
      </c>
      <c r="T42" s="0" t="n">
        <v>447</v>
      </c>
      <c r="U42" s="0" t="n">
        <v>0.419480519480519</v>
      </c>
      <c r="V42" s="0" t="n">
        <v>0.419480519480519</v>
      </c>
      <c r="W42" s="0" t="n">
        <v>0.399328157349896</v>
      </c>
    </row>
    <row r="43" customFormat="false" ht="12.8" hidden="false" customHeight="false" outlineLevel="0" collapsed="false">
      <c r="A43" s="0" t="s">
        <v>122</v>
      </c>
      <c r="B43" s="0" t="s">
        <v>124</v>
      </c>
      <c r="C43" s="0" t="s">
        <v>39</v>
      </c>
      <c r="D43" s="0" t="n">
        <v>452</v>
      </c>
      <c r="E43" s="0" t="n">
        <v>450</v>
      </c>
      <c r="F43" s="0" t="n">
        <v>0.471698113207547</v>
      </c>
      <c r="H43" s="0" t="n">
        <v>30</v>
      </c>
      <c r="I43" s="0" t="n">
        <v>3.5</v>
      </c>
      <c r="J43" s="0" t="n">
        <v>105</v>
      </c>
      <c r="K43" s="0" t="n">
        <v>15</v>
      </c>
      <c r="L43" s="0" t="n">
        <v>52</v>
      </c>
      <c r="M43" s="0" t="n">
        <v>954</v>
      </c>
      <c r="N43" s="0" t="n">
        <v>0</v>
      </c>
      <c r="O43" s="0" t="n">
        <v>0.471698113207547</v>
      </c>
      <c r="Q43" s="0" t="n">
        <v>40</v>
      </c>
      <c r="S43" s="0" t="n">
        <v>490</v>
      </c>
      <c r="T43" s="0" t="n">
        <v>464</v>
      </c>
      <c r="U43" s="0" t="n">
        <v>0.513626834381551</v>
      </c>
      <c r="V43" s="0" t="n">
        <v>0.513626834381551</v>
      </c>
    </row>
    <row r="44" customFormat="false" ht="12.8" hidden="false" customHeight="false" outlineLevel="0" collapsed="false">
      <c r="A44" s="0" t="s">
        <v>122</v>
      </c>
      <c r="B44" s="0" t="s">
        <v>125</v>
      </c>
      <c r="C44" s="0" t="s">
        <v>39</v>
      </c>
      <c r="D44" s="0" t="n">
        <v>129</v>
      </c>
      <c r="E44" s="0" t="n">
        <v>129</v>
      </c>
      <c r="F44" s="0" t="n">
        <v>0.335064935064935</v>
      </c>
      <c r="H44" s="0" t="n">
        <v>12</v>
      </c>
      <c r="I44" s="0" t="n">
        <v>3.5</v>
      </c>
      <c r="J44" s="0" t="n">
        <v>42</v>
      </c>
      <c r="K44" s="0" t="n">
        <v>6</v>
      </c>
      <c r="L44" s="0" t="n">
        <v>21</v>
      </c>
      <c r="M44" s="0" t="n">
        <v>385</v>
      </c>
      <c r="N44" s="0" t="n">
        <v>0</v>
      </c>
      <c r="O44" s="0" t="n">
        <v>0.335064935064935</v>
      </c>
      <c r="Q44" s="0" t="n">
        <v>40</v>
      </c>
      <c r="S44" s="0" t="n">
        <v>169</v>
      </c>
      <c r="T44" s="0" t="n">
        <v>216</v>
      </c>
      <c r="U44" s="0" t="n">
        <v>0.438961038961039</v>
      </c>
      <c r="V44" s="0" t="n">
        <v>0.438961038961039</v>
      </c>
    </row>
    <row r="45" customFormat="false" ht="12.8" hidden="false" customHeight="false" outlineLevel="0" collapsed="false">
      <c r="A45" s="0" t="s">
        <v>122</v>
      </c>
      <c r="B45" s="0" t="s">
        <v>126</v>
      </c>
      <c r="C45" s="0" t="s">
        <v>39</v>
      </c>
      <c r="D45" s="0" t="n">
        <v>731</v>
      </c>
      <c r="E45" s="0" t="n">
        <v>737</v>
      </c>
      <c r="F45" s="0" t="n">
        <v>0.638095238095238</v>
      </c>
      <c r="H45" s="0" t="n">
        <v>36</v>
      </c>
      <c r="I45" s="0" t="n">
        <v>3.5</v>
      </c>
      <c r="J45" s="0" t="n">
        <v>126</v>
      </c>
      <c r="K45" s="0" t="n">
        <v>18</v>
      </c>
      <c r="L45" s="0" t="n">
        <v>63</v>
      </c>
      <c r="M45" s="0" t="n">
        <v>1155</v>
      </c>
      <c r="N45" s="0" t="n">
        <v>0</v>
      </c>
      <c r="O45" s="0" t="n">
        <v>0.638095238095238</v>
      </c>
      <c r="Q45" s="0" t="n">
        <v>51</v>
      </c>
      <c r="S45" s="0" t="n">
        <v>788</v>
      </c>
      <c r="T45" s="0" t="n">
        <v>367</v>
      </c>
      <c r="U45" s="0" t="n">
        <v>0.682251082251082</v>
      </c>
      <c r="V45" s="0" t="n">
        <v>0.682251082251082</v>
      </c>
    </row>
    <row r="46" customFormat="false" ht="12.8" hidden="false" customHeight="false" outlineLevel="0" collapsed="false">
      <c r="A46" s="0" t="s">
        <v>122</v>
      </c>
      <c r="B46" s="0" t="s">
        <v>127</v>
      </c>
      <c r="C46" s="0" t="s">
        <v>39</v>
      </c>
      <c r="D46" s="0" t="n">
        <v>561</v>
      </c>
      <c r="E46" s="0" t="n">
        <v>561</v>
      </c>
      <c r="F46" s="0" t="n">
        <v>0.485714285714286</v>
      </c>
      <c r="H46" s="0" t="n">
        <v>36</v>
      </c>
      <c r="I46" s="0" t="n">
        <v>3.5</v>
      </c>
      <c r="J46" s="0" t="n">
        <v>126</v>
      </c>
      <c r="K46" s="0" t="n">
        <v>18</v>
      </c>
      <c r="L46" s="0" t="n">
        <v>63</v>
      </c>
      <c r="M46" s="0" t="n">
        <v>1155</v>
      </c>
      <c r="N46" s="0" t="n">
        <v>0</v>
      </c>
      <c r="O46" s="0" t="n">
        <v>0.485714285714286</v>
      </c>
      <c r="Q46" s="0" t="n">
        <v>0</v>
      </c>
      <c r="S46" s="0" t="n">
        <v>561</v>
      </c>
      <c r="T46" s="0" t="n">
        <v>594</v>
      </c>
      <c r="U46" s="0" t="n">
        <v>0.485714285714286</v>
      </c>
      <c r="V46" s="0" t="n">
        <v>0.485714285714286</v>
      </c>
    </row>
    <row r="47" customFormat="false" ht="12.8" hidden="false" customHeight="false" outlineLevel="0" collapsed="false">
      <c r="A47" s="0" t="s">
        <v>122</v>
      </c>
      <c r="B47" s="0" t="s">
        <v>128</v>
      </c>
      <c r="C47" s="0" t="s">
        <v>39</v>
      </c>
      <c r="D47" s="0" t="n">
        <v>688</v>
      </c>
      <c r="E47" s="0" t="n">
        <v>690</v>
      </c>
      <c r="F47" s="0" t="n">
        <v>0.723270440251572</v>
      </c>
      <c r="G47" s="0" t="n">
        <v>0.378791925465838</v>
      </c>
      <c r="H47" s="0" t="n">
        <v>30</v>
      </c>
      <c r="I47" s="0" t="n">
        <v>3.5</v>
      </c>
      <c r="J47" s="0" t="n">
        <v>105</v>
      </c>
      <c r="K47" s="0" t="n">
        <v>15</v>
      </c>
      <c r="L47" s="0" t="n">
        <v>52</v>
      </c>
      <c r="M47" s="0" t="n">
        <v>954</v>
      </c>
      <c r="N47" s="0" t="n">
        <v>0</v>
      </c>
      <c r="O47" s="0" t="n">
        <v>0.723270440251572</v>
      </c>
      <c r="P47" s="0" t="n">
        <v>0</v>
      </c>
      <c r="Q47" s="0" t="n">
        <v>51</v>
      </c>
      <c r="R47" s="0" t="n">
        <v>0.020536231884058</v>
      </c>
      <c r="S47" s="0" t="n">
        <v>741</v>
      </c>
      <c r="T47" s="0" t="n">
        <v>213</v>
      </c>
      <c r="U47" s="0" t="n">
        <v>0.776729559748428</v>
      </c>
      <c r="V47" s="0" t="n">
        <v>0.776729559748428</v>
      </c>
    </row>
    <row r="48" customFormat="false" ht="12.8" hidden="false" customHeight="false" outlineLevel="0" collapsed="false">
      <c r="A48" s="0" t="s">
        <v>122</v>
      </c>
      <c r="B48" s="0" t="s">
        <v>129</v>
      </c>
      <c r="C48" s="0" t="s">
        <v>39</v>
      </c>
      <c r="D48" s="0" t="n">
        <v>186</v>
      </c>
      <c r="E48" s="0" t="n">
        <v>186</v>
      </c>
      <c r="F48" s="0" t="n">
        <v>0.241558441558442</v>
      </c>
      <c r="H48" s="0" t="n">
        <v>24</v>
      </c>
      <c r="I48" s="0" t="n">
        <v>3.5</v>
      </c>
      <c r="J48" s="0" t="n">
        <v>84</v>
      </c>
      <c r="K48" s="0" t="n">
        <v>12</v>
      </c>
      <c r="L48" s="0" t="n">
        <v>42</v>
      </c>
      <c r="M48" s="0" t="n">
        <v>770</v>
      </c>
      <c r="N48" s="0" t="n">
        <v>0</v>
      </c>
      <c r="O48" s="0" t="n">
        <v>0.241558441558442</v>
      </c>
      <c r="Q48" s="0" t="n">
        <v>0</v>
      </c>
      <c r="S48" s="0" t="n">
        <v>186</v>
      </c>
      <c r="T48" s="0" t="n">
        <v>584</v>
      </c>
      <c r="U48" s="0" t="n">
        <v>0.241558441558442</v>
      </c>
      <c r="V48" s="0" t="n">
        <v>0.241558441558442</v>
      </c>
    </row>
    <row r="49" customFormat="false" ht="12.8" hidden="false" customHeight="false" outlineLevel="0" collapsed="false">
      <c r="A49" s="0" t="s">
        <v>122</v>
      </c>
      <c r="B49" s="0" t="s">
        <v>130</v>
      </c>
      <c r="C49" s="0" t="s">
        <v>39</v>
      </c>
      <c r="D49" s="0" t="n">
        <v>178</v>
      </c>
      <c r="E49" s="0" t="n">
        <v>179</v>
      </c>
      <c r="F49" s="0" t="n">
        <v>0.232467532467532</v>
      </c>
      <c r="H49" s="0" t="n">
        <v>24</v>
      </c>
      <c r="I49" s="0" t="n">
        <v>3.5</v>
      </c>
      <c r="J49" s="0" t="n">
        <v>84</v>
      </c>
      <c r="K49" s="0" t="n">
        <v>12</v>
      </c>
      <c r="L49" s="0" t="n">
        <v>42</v>
      </c>
      <c r="M49" s="0" t="n">
        <v>770</v>
      </c>
      <c r="N49" s="0" t="n">
        <v>0</v>
      </c>
      <c r="O49" s="0" t="n">
        <v>0.232467532467532</v>
      </c>
      <c r="Q49" s="0" t="n">
        <v>0</v>
      </c>
      <c r="S49" s="0" t="n">
        <v>179</v>
      </c>
      <c r="T49" s="0" t="n">
        <v>591</v>
      </c>
      <c r="U49" s="0" t="n">
        <v>0.232467532467532</v>
      </c>
      <c r="V49" s="0" t="n">
        <v>0.232467532467532</v>
      </c>
    </row>
    <row r="50" customFormat="false" ht="12.8" hidden="false" customHeight="false" outlineLevel="0" collapsed="false">
      <c r="A50" s="0" t="s">
        <v>122</v>
      </c>
      <c r="B50" s="0" t="s">
        <v>131</v>
      </c>
      <c r="C50" s="0" t="s">
        <v>39</v>
      </c>
      <c r="D50" s="0" t="n">
        <v>98</v>
      </c>
      <c r="E50" s="0" t="n">
        <v>102</v>
      </c>
      <c r="F50" s="0" t="n">
        <v>0.264935064935065</v>
      </c>
      <c r="H50" s="0" t="n">
        <v>12</v>
      </c>
      <c r="I50" s="0" t="n">
        <v>3.5</v>
      </c>
      <c r="J50" s="0" t="n">
        <v>42</v>
      </c>
      <c r="K50" s="0" t="n">
        <v>6</v>
      </c>
      <c r="L50" s="0" t="n">
        <v>21</v>
      </c>
      <c r="M50" s="0" t="n">
        <v>385</v>
      </c>
      <c r="N50" s="0" t="n">
        <v>0</v>
      </c>
      <c r="O50" s="0" t="n">
        <v>0.264935064935065</v>
      </c>
      <c r="Q50" s="0" t="n">
        <v>0</v>
      </c>
      <c r="S50" s="0" t="n">
        <v>102</v>
      </c>
      <c r="T50" s="0" t="n">
        <v>283</v>
      </c>
      <c r="U50" s="0" t="n">
        <v>0.264935064935065</v>
      </c>
    </row>
    <row r="51" customFormat="false" ht="12.8" hidden="false" customHeight="false" outlineLevel="0" collapsed="false">
      <c r="A51" s="0" t="s">
        <v>132</v>
      </c>
      <c r="B51" s="0" t="s">
        <v>1533</v>
      </c>
      <c r="C51" s="0" t="s">
        <v>39</v>
      </c>
      <c r="D51" s="0" t="n">
        <v>961</v>
      </c>
      <c r="E51" s="0" t="n">
        <v>969</v>
      </c>
      <c r="F51" s="0" t="n">
        <v>0.838961038961039</v>
      </c>
      <c r="G51" s="0" t="n">
        <v>327.872</v>
      </c>
      <c r="H51" s="0" t="n">
        <v>36</v>
      </c>
      <c r="I51" s="0" t="n">
        <v>3.5</v>
      </c>
      <c r="J51" s="0" t="n">
        <v>126</v>
      </c>
      <c r="K51" s="0" t="n">
        <v>18</v>
      </c>
      <c r="L51" s="0" t="n">
        <v>63</v>
      </c>
      <c r="M51" s="0" t="n">
        <v>1155</v>
      </c>
      <c r="N51" s="0" t="n">
        <v>147</v>
      </c>
      <c r="O51" s="0" t="n">
        <v>0.966233766233766</v>
      </c>
      <c r="P51" s="0" t="n">
        <v>22.563</v>
      </c>
      <c r="Q51" s="0" t="n">
        <v>0</v>
      </c>
      <c r="R51" s="0" t="n">
        <v>0</v>
      </c>
      <c r="S51" s="0" t="n">
        <v>1116</v>
      </c>
      <c r="T51" s="0" t="n">
        <v>39</v>
      </c>
      <c r="U51" s="0" t="n">
        <v>0.966233766233766</v>
      </c>
      <c r="V51" s="0" t="n">
        <v>0.966233766233766</v>
      </c>
      <c r="W51" s="0" t="n">
        <v>0.993697788697789</v>
      </c>
    </row>
    <row r="52" customFormat="false" ht="12.8" hidden="false" customHeight="false" outlineLevel="0" collapsed="false">
      <c r="A52" s="0" t="s">
        <v>132</v>
      </c>
      <c r="B52" s="0" t="s">
        <v>1534</v>
      </c>
      <c r="C52" s="0" t="s">
        <v>39</v>
      </c>
      <c r="D52" s="0" t="n">
        <v>1077</v>
      </c>
      <c r="E52" s="0" t="n">
        <v>1075</v>
      </c>
      <c r="F52" s="0" t="n">
        <v>0.930735930735931</v>
      </c>
      <c r="H52" s="0" t="n">
        <v>36</v>
      </c>
      <c r="I52" s="0" t="n">
        <v>3.5</v>
      </c>
      <c r="J52" s="0" t="n">
        <v>126</v>
      </c>
      <c r="K52" s="0" t="n">
        <v>18</v>
      </c>
      <c r="L52" s="0" t="n">
        <v>63</v>
      </c>
      <c r="M52" s="0" t="n">
        <v>1155</v>
      </c>
      <c r="N52" s="0" t="n">
        <v>0</v>
      </c>
      <c r="O52" s="0" t="n">
        <v>0.930735930735931</v>
      </c>
      <c r="Q52" s="0" t="n">
        <v>0</v>
      </c>
      <c r="S52" s="0" t="n">
        <v>1075</v>
      </c>
      <c r="T52" s="0" t="n">
        <v>80</v>
      </c>
      <c r="U52" s="0" t="n">
        <v>0.930735930735931</v>
      </c>
      <c r="V52" s="0" t="n">
        <v>0.930735930735931</v>
      </c>
    </row>
    <row r="53" customFormat="false" ht="12.8" hidden="false" customHeight="false" outlineLevel="0" collapsed="false">
      <c r="A53" s="0" t="s">
        <v>132</v>
      </c>
      <c r="B53" s="0" t="s">
        <v>1535</v>
      </c>
      <c r="C53" s="0" t="s">
        <v>39</v>
      </c>
      <c r="D53" s="0" t="n">
        <v>1097</v>
      </c>
      <c r="E53" s="0" t="n">
        <v>1096</v>
      </c>
      <c r="F53" s="0" t="n">
        <v>0.948917748917749</v>
      </c>
      <c r="H53" s="0" t="n">
        <v>36</v>
      </c>
      <c r="I53" s="0" t="n">
        <v>3.5</v>
      </c>
      <c r="J53" s="0" t="n">
        <v>126</v>
      </c>
      <c r="K53" s="0" t="n">
        <v>18</v>
      </c>
      <c r="L53" s="0" t="n">
        <v>63</v>
      </c>
      <c r="M53" s="0" t="n">
        <v>1155</v>
      </c>
      <c r="N53" s="0" t="n">
        <v>0</v>
      </c>
      <c r="O53" s="0" t="n">
        <v>0.948917748917749</v>
      </c>
      <c r="Q53" s="0" t="n">
        <v>0</v>
      </c>
      <c r="S53" s="0" t="n">
        <v>1096</v>
      </c>
      <c r="T53" s="0" t="n">
        <v>59</v>
      </c>
      <c r="U53" s="0" t="n">
        <v>0.948917748917749</v>
      </c>
      <c r="V53" s="0" t="n">
        <v>0.948917748917749</v>
      </c>
    </row>
    <row r="54" customFormat="false" ht="12.8" hidden="false" customHeight="false" outlineLevel="0" collapsed="false">
      <c r="A54" s="0" t="s">
        <v>132</v>
      </c>
      <c r="B54" s="0" t="s">
        <v>1536</v>
      </c>
      <c r="C54" s="0" t="s">
        <v>39</v>
      </c>
      <c r="D54" s="0" t="n">
        <v>940</v>
      </c>
      <c r="E54" s="0" t="n">
        <v>922</v>
      </c>
      <c r="F54" s="0" t="n">
        <v>0.798268398268398</v>
      </c>
      <c r="G54" s="0" t="n">
        <v>0.80558230958231</v>
      </c>
      <c r="H54" s="0" t="n">
        <v>36</v>
      </c>
      <c r="I54" s="0" t="n">
        <v>3.5</v>
      </c>
      <c r="J54" s="0" t="n">
        <v>126</v>
      </c>
      <c r="K54" s="0" t="n">
        <v>18</v>
      </c>
      <c r="L54" s="0" t="n">
        <v>63</v>
      </c>
      <c r="M54" s="0" t="n">
        <v>1155</v>
      </c>
      <c r="N54" s="0" t="n">
        <v>109</v>
      </c>
      <c r="O54" s="0" t="n">
        <v>0.892640692640693</v>
      </c>
      <c r="P54" s="0" t="n">
        <v>0.0554373464373464</v>
      </c>
      <c r="Q54" s="0" t="n">
        <v>0</v>
      </c>
      <c r="R54" s="0" t="n">
        <v>0</v>
      </c>
      <c r="S54" s="0" t="n">
        <v>1031</v>
      </c>
      <c r="T54" s="0" t="n">
        <v>124</v>
      </c>
      <c r="U54" s="0" t="n">
        <v>0.892640692640693</v>
      </c>
      <c r="V54" s="0" t="n">
        <v>0.892640692640693</v>
      </c>
    </row>
    <row r="55" customFormat="false" ht="12.8" hidden="false" customHeight="false" outlineLevel="0" collapsed="false">
      <c r="A55" s="0" t="s">
        <v>132</v>
      </c>
      <c r="B55" s="0" t="s">
        <v>1537</v>
      </c>
      <c r="C55" s="0" t="s">
        <v>39</v>
      </c>
      <c r="D55" s="0" t="n">
        <v>978</v>
      </c>
      <c r="E55" s="0" t="n">
        <v>945</v>
      </c>
      <c r="F55" s="0" t="n">
        <v>0.818181818181818</v>
      </c>
      <c r="H55" s="0" t="n">
        <v>36</v>
      </c>
      <c r="I55" s="0" t="n">
        <v>3.5</v>
      </c>
      <c r="J55" s="0" t="n">
        <v>126</v>
      </c>
      <c r="K55" s="0" t="n">
        <v>18</v>
      </c>
      <c r="L55" s="0" t="n">
        <v>63</v>
      </c>
      <c r="M55" s="0" t="n">
        <v>1155</v>
      </c>
      <c r="N55" s="0" t="n">
        <v>158</v>
      </c>
      <c r="O55" s="0" t="n">
        <v>0.954978354978355</v>
      </c>
      <c r="Q55" s="0" t="n">
        <v>0</v>
      </c>
      <c r="S55" s="0" t="n">
        <v>1103</v>
      </c>
      <c r="T55" s="0" t="n">
        <v>52</v>
      </c>
      <c r="U55" s="0" t="n">
        <v>0.954978354978355</v>
      </c>
      <c r="V55" s="0" t="n">
        <v>0.954978354978355</v>
      </c>
    </row>
    <row r="56" customFormat="false" ht="12.8" hidden="false" customHeight="false" outlineLevel="0" collapsed="false">
      <c r="A56" s="0" t="s">
        <v>132</v>
      </c>
      <c r="B56" s="0" t="s">
        <v>1538</v>
      </c>
      <c r="C56" s="0" t="s">
        <v>39</v>
      </c>
      <c r="D56" s="0" t="n">
        <v>1100</v>
      </c>
      <c r="E56" s="0" t="n">
        <v>1009</v>
      </c>
      <c r="F56" s="0" t="n">
        <v>0.873593073593074</v>
      </c>
      <c r="H56" s="0" t="n">
        <v>36</v>
      </c>
      <c r="I56" s="0" t="n">
        <v>3.5</v>
      </c>
      <c r="J56" s="0" t="n">
        <v>126</v>
      </c>
      <c r="K56" s="0" t="n">
        <v>18</v>
      </c>
      <c r="L56" s="0" t="n">
        <v>63</v>
      </c>
      <c r="M56" s="0" t="n">
        <v>1155</v>
      </c>
      <c r="N56" s="0" t="n">
        <v>0</v>
      </c>
      <c r="O56" s="0" t="n">
        <v>0.873593073593074</v>
      </c>
      <c r="Q56" s="0" t="n">
        <v>0</v>
      </c>
      <c r="S56" s="0" t="n">
        <v>1009</v>
      </c>
      <c r="T56" s="0" t="n">
        <v>146</v>
      </c>
      <c r="U56" s="0" t="n">
        <v>0.873593073593074</v>
      </c>
      <c r="V56" s="0" t="n">
        <v>0.873593073593074</v>
      </c>
    </row>
    <row r="57" customFormat="false" ht="12.8" hidden="false" customHeight="false" outlineLevel="0" collapsed="false">
      <c r="A57" s="0" t="s">
        <v>144</v>
      </c>
      <c r="B57" s="0" t="s">
        <v>145</v>
      </c>
      <c r="C57" s="0" t="s">
        <v>39</v>
      </c>
      <c r="D57" s="0" t="n">
        <v>1159</v>
      </c>
      <c r="E57" s="0" t="n">
        <v>1164</v>
      </c>
      <c r="F57" s="0" t="n">
        <v>0.869305451829724</v>
      </c>
      <c r="G57" s="0" t="n">
        <v>380.3555</v>
      </c>
      <c r="H57" s="0" t="n">
        <v>42</v>
      </c>
      <c r="I57" s="0" t="n">
        <v>3.5</v>
      </c>
      <c r="J57" s="0" t="n">
        <v>147</v>
      </c>
      <c r="K57" s="0" t="n">
        <v>21</v>
      </c>
      <c r="L57" s="0" t="n">
        <v>73</v>
      </c>
      <c r="M57" s="0" t="n">
        <v>1339</v>
      </c>
      <c r="N57" s="0" t="n">
        <v>84</v>
      </c>
      <c r="O57" s="0" t="n">
        <v>0.932038834951456</v>
      </c>
      <c r="P57" s="0" t="n">
        <v>44.0905</v>
      </c>
      <c r="Q57" s="0" t="n">
        <v>0</v>
      </c>
      <c r="R57" s="0" t="n">
        <v>0</v>
      </c>
      <c r="S57" s="0" t="n">
        <v>1248</v>
      </c>
      <c r="T57" s="0" t="n">
        <v>91</v>
      </c>
      <c r="U57" s="0" t="n">
        <v>0.932038834951456</v>
      </c>
      <c r="V57" s="0" t="n">
        <v>0.932038834951456</v>
      </c>
      <c r="W57" s="0" t="n">
        <v>1.04286486486486</v>
      </c>
    </row>
    <row r="58" customFormat="false" ht="12.8" hidden="false" customHeight="false" outlineLevel="0" collapsed="false">
      <c r="A58" s="0" t="s">
        <v>144</v>
      </c>
      <c r="B58" s="0" t="s">
        <v>146</v>
      </c>
      <c r="C58" s="0" t="s">
        <v>39</v>
      </c>
      <c r="D58" s="0" t="n">
        <v>1134</v>
      </c>
      <c r="E58" s="0" t="n">
        <v>1151</v>
      </c>
      <c r="F58" s="0" t="n">
        <v>0.859596713965646</v>
      </c>
      <c r="H58" s="0" t="n">
        <v>42</v>
      </c>
      <c r="I58" s="0" t="n">
        <v>3.5</v>
      </c>
      <c r="J58" s="0" t="n">
        <v>147</v>
      </c>
      <c r="K58" s="0" t="n">
        <v>21</v>
      </c>
      <c r="L58" s="0" t="n">
        <v>73</v>
      </c>
      <c r="M58" s="0" t="n">
        <v>1339</v>
      </c>
      <c r="N58" s="0" t="n">
        <v>175</v>
      </c>
      <c r="O58" s="0" t="n">
        <v>0.990291262135922</v>
      </c>
      <c r="Q58" s="0" t="n">
        <v>0</v>
      </c>
      <c r="S58" s="0" t="n">
        <v>1326</v>
      </c>
      <c r="T58" s="0" t="n">
        <v>13</v>
      </c>
      <c r="U58" s="0" t="n">
        <v>0.990291262135922</v>
      </c>
      <c r="V58" s="0" t="n">
        <v>0.990291262135922</v>
      </c>
    </row>
    <row r="59" customFormat="false" ht="12.8" hidden="false" customHeight="false" outlineLevel="0" collapsed="false">
      <c r="A59" s="0" t="s">
        <v>144</v>
      </c>
      <c r="B59" s="0" t="s">
        <v>147</v>
      </c>
      <c r="C59" s="0" t="s">
        <v>39</v>
      </c>
      <c r="D59" s="0" t="n">
        <v>1083</v>
      </c>
      <c r="E59" s="0" t="n">
        <v>1100</v>
      </c>
      <c r="F59" s="0" t="n">
        <v>0.82150858849888</v>
      </c>
      <c r="H59" s="0" t="n">
        <v>42</v>
      </c>
      <c r="I59" s="0" t="n">
        <v>3.5</v>
      </c>
      <c r="J59" s="0" t="n">
        <v>147</v>
      </c>
      <c r="K59" s="0" t="n">
        <v>21</v>
      </c>
      <c r="L59" s="0" t="n">
        <v>73</v>
      </c>
      <c r="M59" s="0" t="n">
        <v>1339</v>
      </c>
      <c r="N59" s="0" t="n">
        <v>228</v>
      </c>
      <c r="O59" s="0" t="n">
        <v>0.991784914115011</v>
      </c>
      <c r="Q59" s="0" t="n">
        <v>0</v>
      </c>
      <c r="S59" s="0" t="n">
        <v>1328</v>
      </c>
      <c r="T59" s="0" t="n">
        <v>11</v>
      </c>
      <c r="U59" s="0" t="n">
        <v>0.991784914115011</v>
      </c>
      <c r="V59" s="0" t="n">
        <v>0.991784914115011</v>
      </c>
    </row>
    <row r="60" customFormat="false" ht="12.8" hidden="false" customHeight="false" outlineLevel="0" collapsed="false">
      <c r="A60" s="0" t="s">
        <v>144</v>
      </c>
      <c r="B60" s="0" t="s">
        <v>148</v>
      </c>
      <c r="C60" s="0" t="s">
        <v>39</v>
      </c>
      <c r="D60" s="0" t="n">
        <v>1069</v>
      </c>
      <c r="E60" s="0" t="n">
        <v>1058</v>
      </c>
      <c r="F60" s="0" t="n">
        <v>0.790141896938013</v>
      </c>
      <c r="G60" s="0" t="n">
        <v>0.934534398034398</v>
      </c>
      <c r="H60" s="0" t="n">
        <v>42</v>
      </c>
      <c r="I60" s="0" t="n">
        <v>3.5</v>
      </c>
      <c r="J60" s="0" t="n">
        <v>147</v>
      </c>
      <c r="K60" s="0" t="n">
        <v>21</v>
      </c>
      <c r="L60" s="0" t="n">
        <v>73</v>
      </c>
      <c r="M60" s="0" t="n">
        <v>1339</v>
      </c>
      <c r="N60" s="0" t="n">
        <v>204</v>
      </c>
      <c r="O60" s="0" t="n">
        <v>0.942494398805078</v>
      </c>
      <c r="P60" s="0" t="n">
        <v>0.108330466830467</v>
      </c>
      <c r="Q60" s="0" t="n">
        <v>0</v>
      </c>
      <c r="R60" s="0" t="n">
        <v>0</v>
      </c>
      <c r="S60" s="0" t="n">
        <v>1262</v>
      </c>
      <c r="T60" s="0" t="n">
        <v>77</v>
      </c>
      <c r="U60" s="0" t="n">
        <v>0.942494398805078</v>
      </c>
      <c r="V60" s="0" t="n">
        <v>0.942494398805078</v>
      </c>
    </row>
    <row r="61" customFormat="false" ht="12.8" hidden="false" customHeight="false" outlineLevel="0" collapsed="false">
      <c r="A61" s="0" t="s">
        <v>144</v>
      </c>
      <c r="B61" s="0" t="s">
        <v>149</v>
      </c>
      <c r="C61" s="0" t="s">
        <v>39</v>
      </c>
      <c r="D61" s="0" t="n">
        <v>1270</v>
      </c>
      <c r="E61" s="0" t="n">
        <v>1282</v>
      </c>
      <c r="F61" s="0" t="n">
        <v>0.957430918595967</v>
      </c>
      <c r="H61" s="0" t="n">
        <v>42</v>
      </c>
      <c r="I61" s="0" t="n">
        <v>3.5</v>
      </c>
      <c r="J61" s="0" t="n">
        <v>147</v>
      </c>
      <c r="K61" s="0" t="n">
        <v>21</v>
      </c>
      <c r="L61" s="0" t="n">
        <v>73</v>
      </c>
      <c r="M61" s="0" t="n">
        <v>1339</v>
      </c>
      <c r="N61" s="0" t="n">
        <v>118</v>
      </c>
      <c r="O61" s="0" t="n">
        <v>1.04555638536221</v>
      </c>
      <c r="Q61" s="0" t="n">
        <v>0</v>
      </c>
      <c r="S61" s="0" t="n">
        <v>1400</v>
      </c>
      <c r="T61" s="0" t="n">
        <v>-61</v>
      </c>
      <c r="U61" s="0" t="n">
        <v>1.04555638536221</v>
      </c>
      <c r="V61" s="0" t="n">
        <v>1.04555638536221</v>
      </c>
    </row>
    <row r="62" customFormat="false" ht="12.8" hidden="false" customHeight="false" outlineLevel="0" collapsed="false">
      <c r="A62" s="0" t="s">
        <v>144</v>
      </c>
      <c r="B62" s="0" t="s">
        <v>150</v>
      </c>
      <c r="C62" s="0" t="s">
        <v>39</v>
      </c>
      <c r="D62" s="0" t="n">
        <v>1252</v>
      </c>
      <c r="E62" s="0" t="n">
        <v>1224</v>
      </c>
      <c r="F62" s="0" t="n">
        <v>0.91411501120239</v>
      </c>
      <c r="H62" s="0" t="n">
        <v>42</v>
      </c>
      <c r="I62" s="0" t="n">
        <v>3.5</v>
      </c>
      <c r="J62" s="0" t="n">
        <v>147</v>
      </c>
      <c r="K62" s="0" t="n">
        <v>21</v>
      </c>
      <c r="L62" s="0" t="n">
        <v>73</v>
      </c>
      <c r="M62" s="0" t="n">
        <v>1339</v>
      </c>
      <c r="N62" s="0" t="n">
        <v>0</v>
      </c>
      <c r="O62" s="0" t="n">
        <v>0.91411501120239</v>
      </c>
      <c r="Q62" s="0" t="n">
        <v>0</v>
      </c>
      <c r="S62" s="0" t="n">
        <v>1224</v>
      </c>
      <c r="T62" s="0" t="n">
        <v>115</v>
      </c>
      <c r="U62" s="0" t="n">
        <v>0.91411501120239</v>
      </c>
      <c r="V62" s="0" t="n">
        <v>0.91411501120239</v>
      </c>
    </row>
    <row r="63" customFormat="false" ht="12.8" hidden="false" customHeight="false" outlineLevel="0" collapsed="false">
      <c r="A63" s="0" t="s">
        <v>154</v>
      </c>
      <c r="B63" s="0" t="s">
        <v>743</v>
      </c>
      <c r="C63" s="0" t="s">
        <v>39</v>
      </c>
      <c r="D63" s="0" t="n">
        <v>730</v>
      </c>
      <c r="E63" s="0" t="n">
        <v>731</v>
      </c>
      <c r="F63" s="0" t="n">
        <v>0.632900432900433</v>
      </c>
      <c r="G63" s="0" t="n">
        <v>208.19</v>
      </c>
      <c r="H63" s="0" t="n">
        <v>36</v>
      </c>
      <c r="I63" s="0" t="n">
        <v>3.5</v>
      </c>
      <c r="J63" s="0" t="n">
        <v>126</v>
      </c>
      <c r="K63" s="0" t="n">
        <v>18</v>
      </c>
      <c r="L63" s="0" t="n">
        <v>63</v>
      </c>
      <c r="M63" s="0" t="n">
        <v>1155</v>
      </c>
      <c r="N63" s="0" t="n">
        <v>33</v>
      </c>
      <c r="O63" s="0" t="n">
        <v>0.661471861471861</v>
      </c>
      <c r="P63" s="0" t="n">
        <v>6.7035</v>
      </c>
      <c r="Q63" s="0" t="n">
        <v>65</v>
      </c>
      <c r="R63" s="0" t="n">
        <v>57.007</v>
      </c>
      <c r="S63" s="0" t="n">
        <v>829</v>
      </c>
      <c r="T63" s="0" t="n">
        <v>326</v>
      </c>
      <c r="U63" s="0" t="n">
        <v>0.717748917748918</v>
      </c>
      <c r="V63" s="0" t="n">
        <v>0.717748917748918</v>
      </c>
      <c r="W63" s="0" t="n">
        <v>0.604223333333333</v>
      </c>
    </row>
    <row r="64" customFormat="false" ht="12.8" hidden="false" customHeight="false" outlineLevel="0" collapsed="false">
      <c r="A64" s="0" t="s">
        <v>154</v>
      </c>
      <c r="B64" s="0" t="s">
        <v>744</v>
      </c>
      <c r="C64" s="0" t="s">
        <v>39</v>
      </c>
      <c r="D64" s="0" t="n">
        <v>722</v>
      </c>
      <c r="E64" s="0" t="n">
        <v>712</v>
      </c>
      <c r="F64" s="0" t="n">
        <v>0.616450216450216</v>
      </c>
      <c r="H64" s="0" t="n">
        <v>36</v>
      </c>
      <c r="I64" s="0" t="n">
        <v>3.5</v>
      </c>
      <c r="J64" s="0" t="n">
        <v>126</v>
      </c>
      <c r="K64" s="0" t="n">
        <v>18</v>
      </c>
      <c r="L64" s="0" t="n">
        <v>63</v>
      </c>
      <c r="M64" s="0" t="n">
        <v>1155</v>
      </c>
      <c r="N64" s="0" t="n">
        <v>0</v>
      </c>
      <c r="O64" s="0" t="n">
        <v>0.616450216450216</v>
      </c>
      <c r="Q64" s="0" t="n">
        <v>198</v>
      </c>
      <c r="S64" s="0" t="n">
        <v>910</v>
      </c>
      <c r="T64" s="0" t="n">
        <v>245</v>
      </c>
      <c r="U64" s="0" t="n">
        <v>0.787878787878788</v>
      </c>
      <c r="V64" s="0" t="n">
        <v>0.787878787878788</v>
      </c>
    </row>
    <row r="65" customFormat="false" ht="12.8" hidden="false" customHeight="false" outlineLevel="0" collapsed="false">
      <c r="A65" s="0" t="s">
        <v>154</v>
      </c>
      <c r="B65" s="0" t="s">
        <v>745</v>
      </c>
      <c r="C65" s="0" t="s">
        <v>39</v>
      </c>
      <c r="D65" s="0" t="n">
        <v>778</v>
      </c>
      <c r="E65" s="0" t="n">
        <v>776</v>
      </c>
      <c r="F65" s="0" t="n">
        <v>0.671861471861472</v>
      </c>
      <c r="H65" s="0" t="n">
        <v>36</v>
      </c>
      <c r="I65" s="0" t="n">
        <v>3.5</v>
      </c>
      <c r="J65" s="0" t="n">
        <v>126</v>
      </c>
      <c r="K65" s="0" t="n">
        <v>18</v>
      </c>
      <c r="L65" s="0" t="n">
        <v>63</v>
      </c>
      <c r="M65" s="0" t="n">
        <v>1155</v>
      </c>
      <c r="N65" s="0" t="n">
        <v>0</v>
      </c>
      <c r="O65" s="0" t="n">
        <v>0.671861471861472</v>
      </c>
      <c r="Q65" s="0" t="n">
        <v>111</v>
      </c>
      <c r="S65" s="0" t="n">
        <v>887</v>
      </c>
      <c r="T65" s="0" t="n">
        <v>268</v>
      </c>
      <c r="U65" s="0" t="n">
        <v>0.767965367965368</v>
      </c>
      <c r="V65" s="0" t="n">
        <v>0.767965367965368</v>
      </c>
    </row>
    <row r="66" customFormat="false" ht="12.8" hidden="false" customHeight="false" outlineLevel="0" collapsed="false">
      <c r="A66" s="0" t="s">
        <v>154</v>
      </c>
      <c r="B66" s="0" t="s">
        <v>746</v>
      </c>
      <c r="C66" s="0" t="s">
        <v>39</v>
      </c>
      <c r="D66" s="0" t="n">
        <v>434</v>
      </c>
      <c r="E66" s="0" t="n">
        <v>433</v>
      </c>
      <c r="F66" s="0" t="n">
        <v>0.374891774891775</v>
      </c>
      <c r="G66" s="0" t="n">
        <v>0.462644444444444</v>
      </c>
      <c r="H66" s="0" t="n">
        <v>36</v>
      </c>
      <c r="I66" s="0" t="n">
        <v>3.5</v>
      </c>
      <c r="J66" s="0" t="n">
        <v>126</v>
      </c>
      <c r="K66" s="0" t="n">
        <v>18</v>
      </c>
      <c r="L66" s="0" t="n">
        <v>63</v>
      </c>
      <c r="M66" s="0" t="n">
        <v>1155</v>
      </c>
      <c r="N66" s="0" t="n">
        <v>45</v>
      </c>
      <c r="O66" s="0" t="n">
        <v>0.413852813852814</v>
      </c>
      <c r="P66" s="0" t="n">
        <v>0.0148966666666667</v>
      </c>
      <c r="Q66" s="0" t="n">
        <v>38</v>
      </c>
      <c r="R66" s="0" t="n">
        <v>0.140066339066339</v>
      </c>
      <c r="S66" s="0" t="n">
        <v>516</v>
      </c>
      <c r="T66" s="0" t="n">
        <v>639</v>
      </c>
      <c r="U66" s="0" t="n">
        <v>0.446753246753247</v>
      </c>
      <c r="V66" s="0" t="n">
        <v>0.446753246753247</v>
      </c>
    </row>
    <row r="67" customFormat="false" ht="12.8" hidden="false" customHeight="false" outlineLevel="0" collapsed="false">
      <c r="A67" s="0" t="s">
        <v>154</v>
      </c>
      <c r="B67" s="0" t="s">
        <v>747</v>
      </c>
      <c r="C67" s="0" t="s">
        <v>39</v>
      </c>
      <c r="D67" s="0" t="n">
        <v>614</v>
      </c>
      <c r="E67" s="0" t="n">
        <v>612</v>
      </c>
      <c r="F67" s="0" t="n">
        <v>0.52987012987013</v>
      </c>
      <c r="H67" s="0" t="n">
        <v>36</v>
      </c>
      <c r="I67" s="0" t="n">
        <v>3.5</v>
      </c>
      <c r="J67" s="0" t="n">
        <v>126</v>
      </c>
      <c r="K67" s="0" t="n">
        <v>18</v>
      </c>
      <c r="L67" s="0" t="n">
        <v>63</v>
      </c>
      <c r="M67" s="0" t="n">
        <v>1155</v>
      </c>
      <c r="N67" s="0" t="n">
        <v>0</v>
      </c>
      <c r="O67" s="0" t="n">
        <v>0.52987012987013</v>
      </c>
      <c r="Q67" s="0" t="n">
        <v>368</v>
      </c>
      <c r="S67" s="0" t="n">
        <v>980</v>
      </c>
      <c r="T67" s="0" t="n">
        <v>175</v>
      </c>
      <c r="U67" s="0" t="n">
        <v>0.848484848484848</v>
      </c>
      <c r="V67" s="0" t="n">
        <v>0.848484848484848</v>
      </c>
    </row>
    <row r="68" customFormat="false" ht="12.8" hidden="false" customHeight="false" outlineLevel="0" collapsed="false">
      <c r="A68" s="0" t="s">
        <v>154</v>
      </c>
      <c r="B68" s="0" t="s">
        <v>748</v>
      </c>
      <c r="C68" s="0" t="s">
        <v>39</v>
      </c>
      <c r="D68" s="0" t="n">
        <v>552</v>
      </c>
      <c r="E68" s="0" t="n">
        <v>556</v>
      </c>
      <c r="F68" s="0" t="n">
        <v>0.481385281385281</v>
      </c>
      <c r="H68" s="0" t="n">
        <v>36</v>
      </c>
      <c r="I68" s="0" t="n">
        <v>3.5</v>
      </c>
      <c r="J68" s="0" t="n">
        <v>126</v>
      </c>
      <c r="K68" s="0" t="n">
        <v>18</v>
      </c>
      <c r="L68" s="0" t="n">
        <v>63</v>
      </c>
      <c r="M68" s="0" t="n">
        <v>1155</v>
      </c>
      <c r="N68" s="0" t="n">
        <v>45</v>
      </c>
      <c r="O68" s="0" t="n">
        <v>0.52034632034632</v>
      </c>
      <c r="Q68" s="0" t="n">
        <v>266</v>
      </c>
      <c r="S68" s="0" t="n">
        <v>867</v>
      </c>
      <c r="T68" s="0" t="n">
        <v>288</v>
      </c>
      <c r="U68" s="0" t="n">
        <v>0.750649350649351</v>
      </c>
      <c r="V68" s="0" t="n">
        <v>0.750649350649351</v>
      </c>
    </row>
    <row r="69" customFormat="false" ht="12.8" hidden="false" customHeight="false" outlineLevel="0" collapsed="false">
      <c r="A69" s="0" t="s">
        <v>164</v>
      </c>
      <c r="B69" s="0" t="s">
        <v>165</v>
      </c>
      <c r="C69" s="0" t="s">
        <v>39</v>
      </c>
      <c r="D69" s="0" t="n">
        <v>619</v>
      </c>
      <c r="E69" s="0" t="n">
        <v>622</v>
      </c>
      <c r="F69" s="0" t="n">
        <v>0.538528138528138</v>
      </c>
      <c r="G69" s="0" t="n">
        <v>143.335</v>
      </c>
      <c r="H69" s="0" t="n">
        <v>36</v>
      </c>
      <c r="I69" s="0" t="n">
        <v>3.5</v>
      </c>
      <c r="J69" s="0" t="n">
        <v>126</v>
      </c>
      <c r="K69" s="0" t="n">
        <v>18</v>
      </c>
      <c r="L69" s="0" t="n">
        <v>63</v>
      </c>
      <c r="M69" s="0" t="n">
        <v>1155</v>
      </c>
      <c r="N69" s="0" t="n">
        <v>0</v>
      </c>
      <c r="O69" s="0" t="n">
        <v>0.538528138528138</v>
      </c>
      <c r="P69" s="0" t="n">
        <v>0</v>
      </c>
      <c r="Q69" s="0" t="n">
        <v>29</v>
      </c>
      <c r="R69" s="0" t="n">
        <v>12.2625</v>
      </c>
      <c r="S69" s="0" t="n">
        <v>651</v>
      </c>
      <c r="T69" s="0" t="n">
        <v>504</v>
      </c>
      <c r="U69" s="0" t="n">
        <v>0.563636363636364</v>
      </c>
      <c r="V69" s="0" t="n">
        <v>0.563636363636364</v>
      </c>
      <c r="W69" s="0" t="n">
        <v>0.493960317460317</v>
      </c>
    </row>
    <row r="70" customFormat="false" ht="12.8" hidden="false" customHeight="false" outlineLevel="0" collapsed="false">
      <c r="A70" s="0" t="s">
        <v>164</v>
      </c>
      <c r="B70" s="0" t="s">
        <v>168</v>
      </c>
      <c r="C70" s="0" t="s">
        <v>39</v>
      </c>
      <c r="D70" s="0" t="n">
        <v>603</v>
      </c>
      <c r="E70" s="0" t="n">
        <v>600</v>
      </c>
      <c r="F70" s="0" t="n">
        <v>0.519480519480519</v>
      </c>
      <c r="H70" s="0" t="n">
        <v>36</v>
      </c>
      <c r="I70" s="0" t="n">
        <v>3.5</v>
      </c>
      <c r="J70" s="0" t="n">
        <v>126</v>
      </c>
      <c r="K70" s="0" t="n">
        <v>18</v>
      </c>
      <c r="L70" s="0" t="n">
        <v>63</v>
      </c>
      <c r="M70" s="0" t="n">
        <v>1155</v>
      </c>
      <c r="N70" s="0" t="n">
        <v>0</v>
      </c>
      <c r="O70" s="0" t="n">
        <v>0.519480519480519</v>
      </c>
      <c r="Q70" s="0" t="n">
        <v>7</v>
      </c>
      <c r="S70" s="0" t="n">
        <v>607</v>
      </c>
      <c r="T70" s="0" t="n">
        <v>548</v>
      </c>
      <c r="U70" s="0" t="n">
        <v>0.525541125541126</v>
      </c>
      <c r="V70" s="0" t="n">
        <v>0.525541125541126</v>
      </c>
    </row>
    <row r="71" customFormat="false" ht="12.8" hidden="false" customHeight="false" outlineLevel="0" collapsed="false">
      <c r="A71" s="0" t="s">
        <v>164</v>
      </c>
      <c r="B71" s="0" t="s">
        <v>169</v>
      </c>
      <c r="C71" s="0" t="s">
        <v>39</v>
      </c>
      <c r="D71" s="0" t="n">
        <v>596</v>
      </c>
      <c r="E71" s="0" t="n">
        <v>591</v>
      </c>
      <c r="F71" s="0" t="n">
        <v>0.511688311688312</v>
      </c>
      <c r="H71" s="0" t="n">
        <v>36</v>
      </c>
      <c r="I71" s="0" t="n">
        <v>3.5</v>
      </c>
      <c r="J71" s="0" t="n">
        <v>126</v>
      </c>
      <c r="K71" s="0" t="n">
        <v>18</v>
      </c>
      <c r="L71" s="0" t="n">
        <v>63</v>
      </c>
      <c r="M71" s="0" t="n">
        <v>1155</v>
      </c>
      <c r="N71" s="0" t="n">
        <v>0</v>
      </c>
      <c r="O71" s="0" t="n">
        <v>0.511688311688312</v>
      </c>
      <c r="Q71" s="0" t="n">
        <v>13</v>
      </c>
      <c r="S71" s="0" t="n">
        <v>604</v>
      </c>
      <c r="T71" s="0" t="n">
        <v>551</v>
      </c>
      <c r="U71" s="0" t="n">
        <v>0.522943722943723</v>
      </c>
      <c r="V71" s="0" t="n">
        <v>0.522943722943723</v>
      </c>
    </row>
    <row r="72" customFormat="false" ht="12.8" hidden="false" customHeight="false" outlineLevel="0" collapsed="false">
      <c r="A72" s="0" t="s">
        <v>164</v>
      </c>
      <c r="B72" s="0" t="s">
        <v>171</v>
      </c>
      <c r="C72" s="0" t="s">
        <v>39</v>
      </c>
      <c r="D72" s="0" t="n">
        <v>314</v>
      </c>
      <c r="E72" s="0" t="n">
        <v>314</v>
      </c>
      <c r="F72" s="0" t="n">
        <v>0.271861471861472</v>
      </c>
      <c r="G72" s="0" t="n">
        <v>0.455031746031746</v>
      </c>
      <c r="H72" s="0" t="n">
        <v>36</v>
      </c>
      <c r="I72" s="0" t="n">
        <v>3.5</v>
      </c>
      <c r="J72" s="0" t="n">
        <v>126</v>
      </c>
      <c r="K72" s="0" t="n">
        <v>18</v>
      </c>
      <c r="L72" s="0" t="n">
        <v>63</v>
      </c>
      <c r="M72" s="0" t="n">
        <v>1155</v>
      </c>
      <c r="N72" s="0" t="n">
        <v>0</v>
      </c>
      <c r="O72" s="0" t="n">
        <v>0.271861471861472</v>
      </c>
      <c r="Q72" s="0" t="n">
        <v>77</v>
      </c>
      <c r="R72" s="0" t="n">
        <v>0.0389285714285714</v>
      </c>
      <c r="S72" s="0" t="n">
        <v>391</v>
      </c>
      <c r="T72" s="0" t="n">
        <v>764</v>
      </c>
      <c r="U72" s="0" t="n">
        <v>0.338528138528138</v>
      </c>
      <c r="V72" s="0" t="n">
        <v>0.338528138528138</v>
      </c>
    </row>
    <row r="73" customFormat="false" ht="12.8" hidden="false" customHeight="false" outlineLevel="0" collapsed="false">
      <c r="A73" s="0" t="s">
        <v>164</v>
      </c>
      <c r="B73" s="0" t="s">
        <v>172</v>
      </c>
      <c r="C73" s="0" t="s">
        <v>39</v>
      </c>
      <c r="D73" s="0" t="n">
        <v>505</v>
      </c>
      <c r="E73" s="0" t="n">
        <v>503</v>
      </c>
      <c r="F73" s="0" t="n">
        <v>0.435497835497835</v>
      </c>
      <c r="H73" s="0" t="n">
        <v>36</v>
      </c>
      <c r="I73" s="0" t="n">
        <v>3.5</v>
      </c>
      <c r="J73" s="0" t="n">
        <v>126</v>
      </c>
      <c r="K73" s="0" t="n">
        <v>18</v>
      </c>
      <c r="L73" s="0" t="n">
        <v>63</v>
      </c>
      <c r="M73" s="0" t="n">
        <v>1155</v>
      </c>
      <c r="N73" s="0" t="n">
        <v>0</v>
      </c>
      <c r="O73" s="0" t="n">
        <v>0.435497835497835</v>
      </c>
      <c r="Q73" s="0" t="n">
        <v>99</v>
      </c>
      <c r="S73" s="0" t="n">
        <v>602</v>
      </c>
      <c r="T73" s="0" t="n">
        <v>553</v>
      </c>
      <c r="U73" s="0" t="n">
        <v>0.521212121212121</v>
      </c>
      <c r="V73" s="0" t="n">
        <v>0.521212121212121</v>
      </c>
    </row>
    <row r="74" customFormat="false" ht="12.8" hidden="false" customHeight="false" outlineLevel="0" collapsed="false">
      <c r="A74" s="0" t="s">
        <v>173</v>
      </c>
      <c r="B74" s="0" t="s">
        <v>174</v>
      </c>
      <c r="C74" s="0" t="s">
        <v>39</v>
      </c>
      <c r="D74" s="0" t="n">
        <v>542</v>
      </c>
      <c r="E74" s="0" t="n">
        <v>542</v>
      </c>
      <c r="F74" s="0" t="n">
        <v>0.469264069264069</v>
      </c>
      <c r="G74" s="0" t="n">
        <v>133.1435</v>
      </c>
      <c r="H74" s="0" t="n">
        <v>36</v>
      </c>
      <c r="I74" s="0" t="n">
        <v>3.5</v>
      </c>
      <c r="J74" s="0" t="n">
        <v>126</v>
      </c>
      <c r="K74" s="0" t="n">
        <v>18</v>
      </c>
      <c r="L74" s="0" t="n">
        <v>63</v>
      </c>
      <c r="M74" s="0" t="n">
        <v>1155</v>
      </c>
      <c r="N74" s="0" t="n">
        <v>0</v>
      </c>
      <c r="O74" s="0" t="n">
        <v>0.469264069264069</v>
      </c>
      <c r="P74" s="0" t="n">
        <v>0</v>
      </c>
      <c r="Q74" s="0" t="n">
        <v>40</v>
      </c>
      <c r="R74" s="0" t="n">
        <v>18.966</v>
      </c>
      <c r="S74" s="0" t="n">
        <v>582</v>
      </c>
      <c r="T74" s="0" t="n">
        <v>573</v>
      </c>
      <c r="U74" s="0" t="n">
        <v>0.503896103896104</v>
      </c>
      <c r="V74" s="0" t="n">
        <v>0.503896103896104</v>
      </c>
      <c r="W74" s="0" t="n">
        <v>0.507031666666667</v>
      </c>
    </row>
    <row r="75" customFormat="false" ht="12.8" hidden="false" customHeight="false" outlineLevel="0" collapsed="false">
      <c r="A75" s="0" t="s">
        <v>173</v>
      </c>
      <c r="B75" s="0" t="s">
        <v>175</v>
      </c>
      <c r="C75" s="0" t="s">
        <v>39</v>
      </c>
      <c r="D75" s="0" t="n">
        <v>736</v>
      </c>
      <c r="E75" s="0" t="n">
        <v>737</v>
      </c>
      <c r="F75" s="0" t="n">
        <v>0.638095238095238</v>
      </c>
      <c r="H75" s="0" t="n">
        <v>36</v>
      </c>
      <c r="I75" s="0" t="n">
        <v>3.5</v>
      </c>
      <c r="J75" s="0" t="n">
        <v>126</v>
      </c>
      <c r="K75" s="0" t="n">
        <v>18</v>
      </c>
      <c r="L75" s="0" t="n">
        <v>63</v>
      </c>
      <c r="M75" s="0" t="n">
        <v>1155</v>
      </c>
      <c r="N75" s="0" t="n">
        <v>0</v>
      </c>
      <c r="O75" s="0" t="n">
        <v>0.638095238095238</v>
      </c>
      <c r="Q75" s="0" t="n">
        <v>160</v>
      </c>
      <c r="S75" s="0" t="n">
        <v>897</v>
      </c>
      <c r="T75" s="0" t="n">
        <v>258</v>
      </c>
      <c r="U75" s="0" t="n">
        <v>0.776623376623377</v>
      </c>
      <c r="V75" s="0" t="n">
        <v>0.776623376623377</v>
      </c>
    </row>
    <row r="76" customFormat="false" ht="12.8" hidden="false" customHeight="false" outlineLevel="0" collapsed="false">
      <c r="A76" s="0" t="s">
        <v>173</v>
      </c>
      <c r="B76" s="0" t="s">
        <v>177</v>
      </c>
      <c r="C76" s="0" t="s">
        <v>39</v>
      </c>
      <c r="D76" s="0" t="n">
        <v>742</v>
      </c>
      <c r="E76" s="0" t="n">
        <v>738</v>
      </c>
      <c r="F76" s="0" t="n">
        <v>0.638961038961039</v>
      </c>
      <c r="G76" s="0" t="n">
        <v>0.443811666666667</v>
      </c>
      <c r="H76" s="0" t="n">
        <v>36</v>
      </c>
      <c r="I76" s="0" t="n">
        <v>3.5</v>
      </c>
      <c r="J76" s="0" t="n">
        <v>126</v>
      </c>
      <c r="K76" s="0" t="n">
        <v>18</v>
      </c>
      <c r="L76" s="0" t="n">
        <v>63</v>
      </c>
      <c r="M76" s="0" t="n">
        <v>1155</v>
      </c>
      <c r="N76" s="0" t="n">
        <v>0</v>
      </c>
      <c r="O76" s="0" t="n">
        <v>0.638961038961039</v>
      </c>
      <c r="P76" s="0" t="n">
        <v>0</v>
      </c>
      <c r="Q76" s="0" t="n">
        <v>135</v>
      </c>
      <c r="R76" s="0" t="n">
        <v>0.06322</v>
      </c>
      <c r="S76" s="0" t="n">
        <v>873</v>
      </c>
      <c r="T76" s="0" t="n">
        <v>282</v>
      </c>
      <c r="U76" s="0" t="n">
        <v>0.755844155844156</v>
      </c>
      <c r="V76" s="0" t="n">
        <v>0.755844155844156</v>
      </c>
    </row>
    <row r="77" customFormat="false" ht="12.8" hidden="false" customHeight="false" outlineLevel="0" collapsed="false">
      <c r="A77" s="0" t="s">
        <v>173</v>
      </c>
      <c r="B77" s="0" t="s">
        <v>178</v>
      </c>
      <c r="C77" s="0" t="s">
        <v>39</v>
      </c>
      <c r="D77" s="0" t="n">
        <v>425</v>
      </c>
      <c r="E77" s="0" t="n">
        <v>426</v>
      </c>
      <c r="F77" s="0" t="n">
        <v>0.368831168831169</v>
      </c>
      <c r="H77" s="0" t="n">
        <v>36</v>
      </c>
      <c r="I77" s="0" t="n">
        <v>3.5</v>
      </c>
      <c r="J77" s="0" t="n">
        <v>126</v>
      </c>
      <c r="K77" s="0" t="n">
        <v>18</v>
      </c>
      <c r="L77" s="0" t="n">
        <v>63</v>
      </c>
      <c r="M77" s="0" t="n">
        <v>1155</v>
      </c>
      <c r="N77" s="0" t="n">
        <v>0</v>
      </c>
      <c r="O77" s="0" t="n">
        <v>0.368831168831169</v>
      </c>
      <c r="Q77" s="0" t="n">
        <v>13</v>
      </c>
      <c r="S77" s="0" t="n">
        <v>439</v>
      </c>
      <c r="T77" s="0" t="n">
        <v>716</v>
      </c>
      <c r="U77" s="0" t="n">
        <v>0.38008658008658</v>
      </c>
      <c r="V77" s="0" t="n">
        <v>0.38008658008658</v>
      </c>
    </row>
    <row r="78" customFormat="false" ht="12.8" hidden="false" customHeight="false" outlineLevel="0" collapsed="false">
      <c r="A78" s="0" t="s">
        <v>179</v>
      </c>
      <c r="B78" s="0" t="s">
        <v>180</v>
      </c>
      <c r="C78" s="0" t="s">
        <v>39</v>
      </c>
      <c r="D78" s="0" t="n">
        <v>618</v>
      </c>
      <c r="E78" s="0" t="n">
        <v>618</v>
      </c>
      <c r="F78" s="0" t="n">
        <v>0.535064935064935</v>
      </c>
      <c r="G78" s="0" t="n">
        <v>144.6975</v>
      </c>
      <c r="H78" s="0" t="n">
        <v>36</v>
      </c>
      <c r="I78" s="0" t="n">
        <v>3.5</v>
      </c>
      <c r="J78" s="0" t="n">
        <v>126</v>
      </c>
      <c r="K78" s="0" t="n">
        <v>18</v>
      </c>
      <c r="L78" s="0" t="n">
        <v>63</v>
      </c>
      <c r="M78" s="0" t="n">
        <v>1155</v>
      </c>
      <c r="N78" s="0" t="n">
        <v>0</v>
      </c>
      <c r="O78" s="0" t="n">
        <v>0.535064935064935</v>
      </c>
      <c r="P78" s="0" t="n">
        <v>0</v>
      </c>
      <c r="Q78" s="0" t="n">
        <v>20</v>
      </c>
      <c r="R78" s="0" t="n">
        <v>2.5615</v>
      </c>
      <c r="S78" s="0" t="n">
        <v>638</v>
      </c>
      <c r="T78" s="0" t="n">
        <v>517</v>
      </c>
      <c r="U78" s="0" t="n">
        <v>0.552380952380952</v>
      </c>
      <c r="V78" s="0" t="n">
        <v>0.552380952380952</v>
      </c>
      <c r="W78" s="0" t="n">
        <v>0.483609195402299</v>
      </c>
    </row>
    <row r="79" customFormat="false" ht="12.8" hidden="false" customHeight="false" outlineLevel="0" collapsed="false">
      <c r="A79" s="0" t="s">
        <v>179</v>
      </c>
      <c r="B79" s="0" t="s">
        <v>181</v>
      </c>
      <c r="C79" s="0" t="s">
        <v>39</v>
      </c>
      <c r="D79" s="0" t="n">
        <v>685</v>
      </c>
      <c r="E79" s="0" t="n">
        <v>687</v>
      </c>
      <c r="F79" s="0" t="n">
        <v>0.594805194805195</v>
      </c>
      <c r="H79" s="0" t="n">
        <v>36</v>
      </c>
      <c r="I79" s="0" t="n">
        <v>3.5</v>
      </c>
      <c r="J79" s="0" t="n">
        <v>126</v>
      </c>
      <c r="K79" s="0" t="n">
        <v>18</v>
      </c>
      <c r="L79" s="0" t="n">
        <v>63</v>
      </c>
      <c r="M79" s="0" t="n">
        <v>1155</v>
      </c>
      <c r="N79" s="0" t="n">
        <v>0</v>
      </c>
      <c r="O79" s="0" t="n">
        <v>0.594805194805195</v>
      </c>
      <c r="Q79" s="0" t="n">
        <v>13</v>
      </c>
      <c r="S79" s="0" t="n">
        <v>700</v>
      </c>
      <c r="T79" s="0" t="n">
        <v>455</v>
      </c>
      <c r="U79" s="0" t="n">
        <v>0.606060606060606</v>
      </c>
      <c r="V79" s="0" t="n">
        <v>0.606060606060606</v>
      </c>
    </row>
    <row r="80" customFormat="false" ht="12.8" hidden="false" customHeight="false" outlineLevel="0" collapsed="false">
      <c r="A80" s="0" t="s">
        <v>179</v>
      </c>
      <c r="B80" s="0" t="s">
        <v>182</v>
      </c>
      <c r="C80" s="0" t="s">
        <v>39</v>
      </c>
      <c r="D80" s="0" t="n">
        <v>526</v>
      </c>
      <c r="E80" s="0" t="n">
        <v>526</v>
      </c>
      <c r="F80" s="0" t="n">
        <v>0.455411255411255</v>
      </c>
      <c r="H80" s="0" t="n">
        <v>36</v>
      </c>
      <c r="I80" s="0" t="n">
        <v>3.5</v>
      </c>
      <c r="J80" s="0" t="n">
        <v>126</v>
      </c>
      <c r="K80" s="0" t="n">
        <v>18</v>
      </c>
      <c r="L80" s="0" t="n">
        <v>63</v>
      </c>
      <c r="M80" s="0" t="n">
        <v>1155</v>
      </c>
      <c r="N80" s="0" t="n">
        <v>0</v>
      </c>
      <c r="O80" s="0" t="n">
        <v>0.455411255411255</v>
      </c>
      <c r="Q80" s="0" t="n">
        <v>7</v>
      </c>
      <c r="S80" s="0" t="n">
        <v>533</v>
      </c>
      <c r="T80" s="0" t="n">
        <v>622</v>
      </c>
      <c r="U80" s="0" t="n">
        <v>0.461471861471862</v>
      </c>
      <c r="V80" s="0" t="n">
        <v>0.461471861471862</v>
      </c>
    </row>
    <row r="81" customFormat="false" ht="12.8" hidden="false" customHeight="false" outlineLevel="0" collapsed="false">
      <c r="A81" s="0" t="s">
        <v>179</v>
      </c>
      <c r="B81" s="0" t="s">
        <v>183</v>
      </c>
      <c r="C81" s="0" t="s">
        <v>39</v>
      </c>
      <c r="D81" s="0" t="n">
        <v>466</v>
      </c>
      <c r="E81" s="0" t="n">
        <v>466</v>
      </c>
      <c r="F81" s="0" t="n">
        <v>0.403463203463203</v>
      </c>
      <c r="G81" s="0" t="n">
        <v>0.475197044334975</v>
      </c>
      <c r="H81" s="0" t="n">
        <v>36</v>
      </c>
      <c r="I81" s="0" t="n">
        <v>3.5</v>
      </c>
      <c r="J81" s="0" t="n">
        <v>126</v>
      </c>
      <c r="K81" s="0" t="n">
        <v>18</v>
      </c>
      <c r="L81" s="0" t="n">
        <v>63</v>
      </c>
      <c r="M81" s="0" t="n">
        <v>1155</v>
      </c>
      <c r="N81" s="0" t="n">
        <v>0</v>
      </c>
      <c r="O81" s="0" t="n">
        <v>0.403463203463203</v>
      </c>
      <c r="P81" s="0" t="n">
        <v>0</v>
      </c>
      <c r="Q81" s="0" t="n">
        <v>0</v>
      </c>
      <c r="R81" s="0" t="n">
        <v>0.00841215106732348</v>
      </c>
      <c r="S81" s="0" t="n">
        <v>466</v>
      </c>
      <c r="T81" s="0" t="n">
        <v>689</v>
      </c>
      <c r="U81" s="0" t="n">
        <v>0.403463203463203</v>
      </c>
      <c r="V81" s="0" t="n">
        <v>0.403463203463203</v>
      </c>
    </row>
    <row r="82" customFormat="false" ht="12.8" hidden="false" customHeight="false" outlineLevel="0" collapsed="false">
      <c r="A82" s="0" t="s">
        <v>179</v>
      </c>
      <c r="B82" s="0" t="s">
        <v>184</v>
      </c>
      <c r="C82" s="0" t="s">
        <v>39</v>
      </c>
      <c r="D82" s="0" t="n">
        <v>357</v>
      </c>
      <c r="E82" s="0" t="n">
        <v>358</v>
      </c>
      <c r="F82" s="0" t="n">
        <v>0.375262054507338</v>
      </c>
      <c r="H82" s="0" t="n">
        <v>30</v>
      </c>
      <c r="I82" s="0" t="n">
        <v>3.5</v>
      </c>
      <c r="J82" s="0" t="n">
        <v>105</v>
      </c>
      <c r="K82" s="0" t="n">
        <v>15</v>
      </c>
      <c r="L82" s="0" t="n">
        <v>52</v>
      </c>
      <c r="M82" s="0" t="n">
        <v>954</v>
      </c>
      <c r="N82" s="0" t="n">
        <v>0</v>
      </c>
      <c r="O82" s="0" t="n">
        <v>0.375262054507338</v>
      </c>
      <c r="Q82" s="0" t="n">
        <v>7</v>
      </c>
      <c r="S82" s="0" t="n">
        <v>365</v>
      </c>
      <c r="T82" s="0" t="n">
        <v>589</v>
      </c>
      <c r="U82" s="0" t="n">
        <v>0.382599580712788</v>
      </c>
      <c r="V82" s="0" t="n">
        <v>0.382599580712788</v>
      </c>
    </row>
    <row r="83" customFormat="false" ht="12.8" hidden="false" customHeight="false" outlineLevel="0" collapsed="false">
      <c r="A83" s="0" t="s">
        <v>185</v>
      </c>
      <c r="B83" s="0" t="s">
        <v>186</v>
      </c>
      <c r="C83" s="0" t="s">
        <v>187</v>
      </c>
      <c r="D83" s="0" t="n">
        <v>513</v>
      </c>
      <c r="E83" s="0" t="n">
        <v>510</v>
      </c>
      <c r="F83" s="0" t="n">
        <v>0.488038277511962</v>
      </c>
      <c r="G83" s="0" t="n">
        <v>49.05</v>
      </c>
      <c r="H83" s="0" t="n">
        <v>36</v>
      </c>
      <c r="I83" s="0" t="n">
        <v>3.2</v>
      </c>
      <c r="J83" s="0" t="n">
        <v>115</v>
      </c>
      <c r="K83" s="0" t="n">
        <v>18</v>
      </c>
      <c r="L83" s="0" t="n">
        <v>57</v>
      </c>
      <c r="M83" s="0" t="n">
        <v>1045</v>
      </c>
      <c r="N83" s="0" t="n">
        <v>68</v>
      </c>
      <c r="P83" s="0" t="n">
        <v>7.412</v>
      </c>
      <c r="S83" s="0" t="n">
        <v>578</v>
      </c>
      <c r="T83" s="0" t="n">
        <v>467</v>
      </c>
      <c r="U83" s="0" t="n">
        <v>0.55311004784689</v>
      </c>
    </row>
    <row r="84" customFormat="false" ht="12.8" hidden="false" customHeight="false" outlineLevel="0" collapsed="false">
      <c r="A84" s="0" t="s">
        <v>185</v>
      </c>
      <c r="B84" s="0" t="s">
        <v>188</v>
      </c>
      <c r="C84" s="0" t="s">
        <v>187</v>
      </c>
      <c r="D84" s="0" t="n">
        <v>396</v>
      </c>
      <c r="E84" s="0" t="n">
        <v>390</v>
      </c>
      <c r="F84" s="0" t="n">
        <v>0.373205741626794</v>
      </c>
      <c r="H84" s="0" t="n">
        <v>36</v>
      </c>
      <c r="I84" s="0" t="n">
        <v>3.2</v>
      </c>
      <c r="J84" s="0" t="n">
        <v>115</v>
      </c>
      <c r="K84" s="0" t="n">
        <v>18</v>
      </c>
      <c r="L84" s="0" t="n">
        <v>57</v>
      </c>
      <c r="M84" s="0" t="n">
        <v>1045</v>
      </c>
      <c r="N84" s="0" t="n">
        <v>68</v>
      </c>
      <c r="S84" s="0" t="n">
        <v>458</v>
      </c>
      <c r="T84" s="0" t="n">
        <v>587</v>
      </c>
      <c r="U84" s="0" t="n">
        <v>0.438277511961722</v>
      </c>
    </row>
    <row r="85" customFormat="false" ht="12.8" hidden="false" customHeight="false" outlineLevel="0" collapsed="false">
      <c r="A85" s="0" t="s">
        <v>189</v>
      </c>
      <c r="B85" s="0" t="s">
        <v>190</v>
      </c>
      <c r="C85" s="0" t="s">
        <v>187</v>
      </c>
      <c r="D85" s="0" t="n">
        <v>403</v>
      </c>
      <c r="E85" s="0" t="n">
        <v>400</v>
      </c>
      <c r="F85" s="0" t="n">
        <v>0.382775119617225</v>
      </c>
      <c r="G85" s="0" t="n">
        <v>52.974</v>
      </c>
      <c r="H85" s="0" t="n">
        <v>36</v>
      </c>
      <c r="I85" s="0" t="n">
        <v>3.2</v>
      </c>
      <c r="J85" s="0" t="n">
        <v>115</v>
      </c>
      <c r="K85" s="0" t="n">
        <v>18</v>
      </c>
      <c r="L85" s="0" t="n">
        <v>57</v>
      </c>
      <c r="M85" s="0" t="n">
        <v>1045</v>
      </c>
      <c r="N85" s="0" t="n">
        <v>76</v>
      </c>
      <c r="P85" s="0" t="n">
        <v>8.502</v>
      </c>
      <c r="S85" s="0" t="n">
        <v>476</v>
      </c>
      <c r="T85" s="0" t="n">
        <v>569</v>
      </c>
      <c r="U85" s="0" t="n">
        <v>0.455502392344498</v>
      </c>
    </row>
    <row r="86" customFormat="false" ht="12.8" hidden="false" customHeight="false" outlineLevel="0" collapsed="false">
      <c r="A86" s="0" t="s">
        <v>189</v>
      </c>
      <c r="B86" s="0" t="s">
        <v>192</v>
      </c>
      <c r="C86" s="0" t="s">
        <v>187</v>
      </c>
      <c r="D86" s="0" t="n">
        <v>222</v>
      </c>
      <c r="E86" s="0" t="n">
        <v>222</v>
      </c>
      <c r="F86" s="0" t="n">
        <v>0.432748538011696</v>
      </c>
      <c r="H86" s="0" t="n">
        <v>18</v>
      </c>
      <c r="I86" s="0" t="n">
        <v>3.2</v>
      </c>
      <c r="J86" s="0" t="n">
        <v>57</v>
      </c>
      <c r="K86" s="0" t="n">
        <v>9</v>
      </c>
      <c r="L86" s="0" t="n">
        <v>28</v>
      </c>
      <c r="M86" s="0" t="n">
        <v>513</v>
      </c>
      <c r="N86" s="0" t="n">
        <v>80</v>
      </c>
      <c r="S86" s="0" t="n">
        <v>302</v>
      </c>
      <c r="T86" s="0" t="n">
        <v>211</v>
      </c>
      <c r="U86" s="0" t="n">
        <v>0.58869395711501</v>
      </c>
    </row>
    <row r="87" customFormat="false" ht="12.8" hidden="false" customHeight="false" outlineLevel="0" collapsed="false">
      <c r="A87" s="0" t="s">
        <v>189</v>
      </c>
      <c r="B87" s="0" t="s">
        <v>193</v>
      </c>
      <c r="C87" s="0" t="s">
        <v>187</v>
      </c>
      <c r="D87" s="0" t="n">
        <v>350</v>
      </c>
      <c r="E87" s="0" t="n">
        <v>350</v>
      </c>
      <c r="F87" s="0" t="n">
        <v>0.682261208576998</v>
      </c>
      <c r="H87" s="0" t="n">
        <v>18</v>
      </c>
      <c r="I87" s="0" t="n">
        <v>3.2</v>
      </c>
      <c r="J87" s="0" t="n">
        <v>57</v>
      </c>
      <c r="K87" s="0" t="n">
        <v>9</v>
      </c>
      <c r="L87" s="0" t="n">
        <v>28</v>
      </c>
      <c r="M87" s="0" t="n">
        <v>513</v>
      </c>
      <c r="N87" s="0" t="n">
        <v>0</v>
      </c>
      <c r="S87" s="0" t="n">
        <v>350</v>
      </c>
      <c r="T87" s="0" t="n">
        <v>163</v>
      </c>
      <c r="U87" s="0" t="n">
        <v>0.682261208576998</v>
      </c>
    </row>
    <row r="88" customFormat="false" ht="12.8" hidden="false" customHeight="false" outlineLevel="0" collapsed="false">
      <c r="A88" s="0" t="s">
        <v>194</v>
      </c>
      <c r="B88" s="0" t="s">
        <v>195</v>
      </c>
      <c r="C88" s="0" t="s">
        <v>187</v>
      </c>
      <c r="D88" s="0" t="n">
        <v>345</v>
      </c>
      <c r="E88" s="0" t="n">
        <v>373</v>
      </c>
      <c r="F88" s="0" t="n">
        <v>0.356937799043062</v>
      </c>
      <c r="G88" s="0" t="n">
        <v>42.401</v>
      </c>
      <c r="H88" s="0" t="n">
        <v>36</v>
      </c>
      <c r="I88" s="0" t="n">
        <v>3.2</v>
      </c>
      <c r="J88" s="0" t="n">
        <v>115</v>
      </c>
      <c r="K88" s="0" t="n">
        <v>18</v>
      </c>
      <c r="L88" s="0" t="n">
        <v>57</v>
      </c>
      <c r="M88" s="0" t="n">
        <v>1045</v>
      </c>
      <c r="N88" s="0" t="n">
        <v>198</v>
      </c>
      <c r="P88" s="0" t="n">
        <v>21.582</v>
      </c>
      <c r="S88" s="0" t="n">
        <v>571</v>
      </c>
      <c r="T88" s="0" t="n">
        <v>474</v>
      </c>
      <c r="U88" s="0" t="n">
        <v>0.546411483253589</v>
      </c>
    </row>
    <row r="89" customFormat="false" ht="12.8" hidden="false" customHeight="false" outlineLevel="0" collapsed="false">
      <c r="A89" s="0" t="s">
        <v>194</v>
      </c>
      <c r="B89" s="0" t="s">
        <v>197</v>
      </c>
      <c r="C89" s="0" t="s">
        <v>187</v>
      </c>
      <c r="D89" s="0" t="n">
        <v>387</v>
      </c>
      <c r="E89" s="0" t="n">
        <v>405</v>
      </c>
      <c r="F89" s="0" t="n">
        <v>0.38755980861244</v>
      </c>
      <c r="H89" s="0" t="n">
        <v>36</v>
      </c>
      <c r="I89" s="0" t="n">
        <v>3.2</v>
      </c>
      <c r="J89" s="0" t="n">
        <v>115</v>
      </c>
      <c r="K89" s="0" t="n">
        <v>18</v>
      </c>
      <c r="L89" s="0" t="n">
        <v>57</v>
      </c>
      <c r="M89" s="0" t="n">
        <v>1045</v>
      </c>
      <c r="N89" s="0" t="n">
        <v>198</v>
      </c>
      <c r="S89" s="0" t="n">
        <v>603</v>
      </c>
      <c r="T89" s="0" t="n">
        <v>442</v>
      </c>
      <c r="U89" s="0" t="n">
        <v>0.577033492822967</v>
      </c>
    </row>
    <row r="90" customFormat="false" ht="12.8" hidden="false" customHeight="false" outlineLevel="0" collapsed="false">
      <c r="A90" s="0" t="s">
        <v>198</v>
      </c>
      <c r="B90" s="0" t="s">
        <v>199</v>
      </c>
      <c r="C90" s="0" t="s">
        <v>187</v>
      </c>
      <c r="D90" s="0" t="n">
        <v>408</v>
      </c>
      <c r="E90" s="0" t="n">
        <v>411</v>
      </c>
      <c r="F90" s="0" t="n">
        <v>0.393301435406699</v>
      </c>
      <c r="G90" s="0" t="n">
        <v>51.1755</v>
      </c>
      <c r="H90" s="0" t="n">
        <v>36</v>
      </c>
      <c r="I90" s="0" t="n">
        <v>3.2</v>
      </c>
      <c r="J90" s="0" t="n">
        <v>115</v>
      </c>
      <c r="K90" s="0" t="n">
        <v>18</v>
      </c>
      <c r="L90" s="0" t="n">
        <v>57</v>
      </c>
      <c r="M90" s="0" t="n">
        <v>1045</v>
      </c>
      <c r="N90" s="0" t="n">
        <v>180</v>
      </c>
      <c r="P90" s="0" t="n">
        <v>19.62</v>
      </c>
      <c r="S90" s="0" t="n">
        <v>591</v>
      </c>
      <c r="T90" s="0" t="n">
        <v>454</v>
      </c>
      <c r="U90" s="0" t="n">
        <v>0.56555023923445</v>
      </c>
    </row>
    <row r="91" customFormat="false" ht="12.8" hidden="false" customHeight="false" outlineLevel="0" collapsed="false">
      <c r="A91" s="0" t="s">
        <v>198</v>
      </c>
      <c r="B91" s="0" t="s">
        <v>200</v>
      </c>
      <c r="C91" s="0" t="s">
        <v>187</v>
      </c>
      <c r="D91" s="0" t="n">
        <v>532</v>
      </c>
      <c r="E91" s="0" t="n">
        <v>528</v>
      </c>
      <c r="F91" s="0" t="n">
        <v>0.505263157894737</v>
      </c>
      <c r="H91" s="0" t="n">
        <v>36</v>
      </c>
      <c r="I91" s="0" t="n">
        <v>3.2</v>
      </c>
      <c r="J91" s="0" t="n">
        <v>115</v>
      </c>
      <c r="K91" s="0" t="n">
        <v>18</v>
      </c>
      <c r="L91" s="0" t="n">
        <v>57</v>
      </c>
      <c r="M91" s="0" t="n">
        <v>1045</v>
      </c>
      <c r="N91" s="0" t="n">
        <v>180</v>
      </c>
      <c r="S91" s="0" t="n">
        <v>708</v>
      </c>
      <c r="T91" s="0" t="n">
        <v>337</v>
      </c>
      <c r="U91" s="0" t="n">
        <v>0.677511961722488</v>
      </c>
    </row>
    <row r="92" customFormat="false" ht="12.8" hidden="false" customHeight="false" outlineLevel="0" collapsed="false">
      <c r="A92" s="0" t="s">
        <v>201</v>
      </c>
      <c r="B92" s="0" t="s">
        <v>202</v>
      </c>
      <c r="C92" s="0" t="s">
        <v>39</v>
      </c>
      <c r="D92" s="0" t="n">
        <v>96</v>
      </c>
      <c r="E92" s="0" t="n">
        <v>93</v>
      </c>
      <c r="F92" s="0" t="n">
        <v>0.241558441558442</v>
      </c>
      <c r="G92" s="0" t="n">
        <v>10.3005</v>
      </c>
      <c r="H92" s="0" t="n">
        <v>9</v>
      </c>
      <c r="I92" s="0" t="n">
        <v>3.5</v>
      </c>
      <c r="J92" s="0" t="n">
        <v>31</v>
      </c>
      <c r="K92" s="0" t="n">
        <v>3</v>
      </c>
      <c r="L92" s="0" t="n">
        <v>21</v>
      </c>
      <c r="M92" s="0" t="n">
        <v>385</v>
      </c>
      <c r="N92" s="0" t="n">
        <v>0</v>
      </c>
      <c r="P92" s="0" t="n">
        <v>0</v>
      </c>
      <c r="S92" s="0" t="n">
        <v>93</v>
      </c>
      <c r="T92" s="0" t="n">
        <v>292</v>
      </c>
      <c r="U92" s="0" t="n">
        <v>0.241558441558442</v>
      </c>
    </row>
    <row r="93" customFormat="false" ht="12.8" hidden="false" customHeight="false" outlineLevel="0" collapsed="false">
      <c r="A93" s="0" t="s">
        <v>201</v>
      </c>
      <c r="B93" s="0" t="s">
        <v>203</v>
      </c>
      <c r="C93" s="0" t="s">
        <v>39</v>
      </c>
      <c r="D93" s="0" t="n">
        <v>105</v>
      </c>
      <c r="E93" s="0" t="n">
        <v>96</v>
      </c>
      <c r="F93" s="0" t="n">
        <v>0.249350649350649</v>
      </c>
      <c r="H93" s="0" t="n">
        <v>9</v>
      </c>
      <c r="I93" s="0" t="n">
        <v>3.5</v>
      </c>
      <c r="J93" s="0" t="n">
        <v>31</v>
      </c>
      <c r="K93" s="0" t="n">
        <v>3</v>
      </c>
      <c r="L93" s="0" t="n">
        <v>21</v>
      </c>
      <c r="M93" s="0" t="n">
        <v>385</v>
      </c>
      <c r="N93" s="0" t="n">
        <v>0</v>
      </c>
      <c r="S93" s="0" t="n">
        <v>96</v>
      </c>
      <c r="T93" s="0" t="n">
        <v>289</v>
      </c>
      <c r="U93" s="0" t="n">
        <v>0.249350649350649</v>
      </c>
    </row>
    <row r="94" customFormat="false" ht="12.8" hidden="false" customHeight="false" outlineLevel="0" collapsed="false">
      <c r="A94" s="0" t="s">
        <v>1999</v>
      </c>
      <c r="B94" s="0" t="s">
        <v>2000</v>
      </c>
      <c r="C94" s="0" t="s">
        <v>39</v>
      </c>
      <c r="D94" s="0" t="n">
        <v>32</v>
      </c>
      <c r="E94" s="0" t="n">
        <v>32</v>
      </c>
      <c r="F94" s="0" t="n">
        <v>0.0919540229885057</v>
      </c>
      <c r="G94" s="0" t="n">
        <v>4.6325</v>
      </c>
      <c r="H94" s="0" t="n">
        <v>9</v>
      </c>
      <c r="I94" s="0" t="n">
        <v>3.2</v>
      </c>
      <c r="J94" s="0" t="n">
        <v>28</v>
      </c>
      <c r="K94" s="0" t="n">
        <v>3</v>
      </c>
      <c r="L94" s="0" t="n">
        <v>19</v>
      </c>
      <c r="M94" s="0" t="n">
        <v>348</v>
      </c>
      <c r="N94" s="0" t="n">
        <v>0</v>
      </c>
      <c r="P94" s="0" t="n">
        <v>0</v>
      </c>
      <c r="S94" s="0" t="n">
        <v>32</v>
      </c>
      <c r="T94" s="0" t="n">
        <v>316</v>
      </c>
      <c r="U94" s="0" t="n">
        <v>0.0919540229885057</v>
      </c>
    </row>
    <row r="95" customFormat="false" ht="12.8" hidden="false" customHeight="false" outlineLevel="0" collapsed="false">
      <c r="A95" s="0" t="s">
        <v>1999</v>
      </c>
      <c r="B95" s="0" t="s">
        <v>2001</v>
      </c>
      <c r="C95" s="0" t="s">
        <v>39</v>
      </c>
      <c r="D95" s="0" t="n">
        <v>53</v>
      </c>
      <c r="E95" s="0" t="n">
        <v>53</v>
      </c>
      <c r="F95" s="0" t="n">
        <v>0.152298850574713</v>
      </c>
      <c r="H95" s="0" t="n">
        <v>9</v>
      </c>
      <c r="I95" s="0" t="n">
        <v>3.2</v>
      </c>
      <c r="J95" s="0" t="n">
        <v>28</v>
      </c>
      <c r="K95" s="0" t="n">
        <v>3</v>
      </c>
      <c r="L95" s="0" t="n">
        <v>19</v>
      </c>
      <c r="M95" s="0" t="n">
        <v>348</v>
      </c>
      <c r="N95" s="0" t="n">
        <v>0</v>
      </c>
      <c r="S95" s="0" t="n">
        <v>53</v>
      </c>
      <c r="T95" s="0" t="n">
        <v>295</v>
      </c>
      <c r="U95" s="0" t="n">
        <v>0.152298850574713</v>
      </c>
    </row>
    <row r="96" customFormat="false" ht="12.8" hidden="false" customHeight="false" outlineLevel="0" collapsed="false">
      <c r="A96" s="0" t="s">
        <v>204</v>
      </c>
      <c r="B96" s="0" t="s">
        <v>205</v>
      </c>
      <c r="C96" s="0" t="s">
        <v>187</v>
      </c>
      <c r="D96" s="0" t="n">
        <v>671</v>
      </c>
      <c r="E96" s="0" t="n">
        <v>662</v>
      </c>
      <c r="F96" s="0" t="n">
        <v>0.633492822966507</v>
      </c>
      <c r="G96" s="0" t="n">
        <v>64.092</v>
      </c>
      <c r="H96" s="0" t="n">
        <v>36</v>
      </c>
      <c r="I96" s="0" t="n">
        <v>3.2</v>
      </c>
      <c r="J96" s="0" t="n">
        <v>115</v>
      </c>
      <c r="K96" s="0" t="n">
        <v>18</v>
      </c>
      <c r="L96" s="0" t="n">
        <v>57</v>
      </c>
      <c r="M96" s="0" t="n">
        <v>1045</v>
      </c>
      <c r="N96" s="0" t="n">
        <v>52</v>
      </c>
      <c r="P96" s="0" t="n">
        <v>5.668</v>
      </c>
      <c r="S96" s="0" t="n">
        <v>714</v>
      </c>
      <c r="T96" s="0" t="n">
        <v>331</v>
      </c>
      <c r="U96" s="0" t="n">
        <v>0.683253588516747</v>
      </c>
    </row>
    <row r="97" customFormat="false" ht="12.8" hidden="false" customHeight="false" outlineLevel="0" collapsed="false">
      <c r="A97" s="0" t="s">
        <v>204</v>
      </c>
      <c r="B97" s="0" t="s">
        <v>206</v>
      </c>
      <c r="C97" s="0" t="s">
        <v>187</v>
      </c>
      <c r="D97" s="0" t="n">
        <v>514</v>
      </c>
      <c r="E97" s="0" t="n">
        <v>514</v>
      </c>
      <c r="F97" s="0" t="n">
        <v>0.491866028708134</v>
      </c>
      <c r="H97" s="0" t="n">
        <v>36</v>
      </c>
      <c r="I97" s="0" t="n">
        <v>3.2</v>
      </c>
      <c r="J97" s="0" t="n">
        <v>115</v>
      </c>
      <c r="K97" s="0" t="n">
        <v>18</v>
      </c>
      <c r="L97" s="0" t="n">
        <v>57</v>
      </c>
      <c r="M97" s="0" t="n">
        <v>1045</v>
      </c>
      <c r="N97" s="0" t="n">
        <v>52</v>
      </c>
      <c r="S97" s="0" t="n">
        <v>566</v>
      </c>
      <c r="T97" s="0" t="n">
        <v>479</v>
      </c>
      <c r="U97" s="0" t="n">
        <v>0.541626794258373</v>
      </c>
    </row>
    <row r="98" customFormat="false" ht="12.8" hidden="false" customHeight="false" outlineLevel="0" collapsed="false">
      <c r="A98" s="0" t="s">
        <v>207</v>
      </c>
      <c r="B98" s="0" t="s">
        <v>208</v>
      </c>
      <c r="C98" s="0" t="s">
        <v>187</v>
      </c>
      <c r="D98" s="0" t="n">
        <v>527</v>
      </c>
      <c r="E98" s="0" t="n">
        <v>530</v>
      </c>
      <c r="F98" s="0" t="n">
        <v>0.507177033492823</v>
      </c>
      <c r="G98" s="0" t="n">
        <v>60.277</v>
      </c>
      <c r="H98" s="0" t="n">
        <v>36</v>
      </c>
      <c r="I98" s="0" t="n">
        <v>3.2</v>
      </c>
      <c r="J98" s="0" t="n">
        <v>115</v>
      </c>
      <c r="K98" s="0" t="n">
        <v>18</v>
      </c>
      <c r="L98" s="0" t="n">
        <v>57</v>
      </c>
      <c r="M98" s="0" t="n">
        <v>1045</v>
      </c>
      <c r="N98" s="0" t="n">
        <v>0</v>
      </c>
      <c r="P98" s="0" t="n">
        <v>0.545</v>
      </c>
      <c r="S98" s="0" t="n">
        <v>530</v>
      </c>
      <c r="T98" s="0" t="n">
        <v>515</v>
      </c>
      <c r="U98" s="0" t="n">
        <v>0.507177033492823</v>
      </c>
    </row>
    <row r="99" customFormat="false" ht="12.8" hidden="false" customHeight="false" outlineLevel="0" collapsed="false">
      <c r="A99" s="0" t="s">
        <v>207</v>
      </c>
      <c r="B99" s="0" t="s">
        <v>209</v>
      </c>
      <c r="C99" s="0" t="s">
        <v>187</v>
      </c>
      <c r="D99" s="0" t="n">
        <v>404</v>
      </c>
      <c r="E99" s="0" t="n">
        <v>404</v>
      </c>
      <c r="F99" s="0" t="n">
        <v>0.386602870813397</v>
      </c>
      <c r="H99" s="0" t="n">
        <v>36</v>
      </c>
      <c r="I99" s="0" t="n">
        <v>3.2</v>
      </c>
      <c r="J99" s="0" t="n">
        <v>115</v>
      </c>
      <c r="K99" s="0" t="n">
        <v>18</v>
      </c>
      <c r="L99" s="0" t="n">
        <v>57</v>
      </c>
      <c r="M99" s="0" t="n">
        <v>1045</v>
      </c>
      <c r="N99" s="0" t="n">
        <v>0</v>
      </c>
      <c r="S99" s="0" t="n">
        <v>404</v>
      </c>
      <c r="T99" s="0" t="n">
        <v>641</v>
      </c>
      <c r="U99" s="0" t="n">
        <v>0.386602870813397</v>
      </c>
    </row>
    <row r="100" customFormat="false" ht="12.8" hidden="false" customHeight="false" outlineLevel="0" collapsed="false">
      <c r="A100" s="0" t="s">
        <v>207</v>
      </c>
      <c r="B100" s="0" t="s">
        <v>2002</v>
      </c>
      <c r="C100" s="0" t="s">
        <v>187</v>
      </c>
      <c r="D100" s="0" t="n">
        <v>103</v>
      </c>
      <c r="E100" s="0" t="n">
        <v>102</v>
      </c>
      <c r="F100" s="0" t="n">
        <v>0.198830409356725</v>
      </c>
      <c r="H100" s="0" t="n">
        <v>18</v>
      </c>
      <c r="I100" s="0" t="n">
        <v>3.2</v>
      </c>
      <c r="J100" s="0" t="n">
        <v>57</v>
      </c>
      <c r="K100" s="0" t="n">
        <v>9</v>
      </c>
      <c r="L100" s="0" t="n">
        <v>28</v>
      </c>
      <c r="M100" s="0" t="n">
        <v>513</v>
      </c>
      <c r="N100" s="0" t="n">
        <v>5</v>
      </c>
      <c r="P100" s="0" t="n">
        <v>0.545</v>
      </c>
      <c r="S100" s="0" t="n">
        <v>107</v>
      </c>
      <c r="T100" s="0" t="n">
        <v>406</v>
      </c>
      <c r="U100" s="0" t="n">
        <v>0.208576998050682</v>
      </c>
    </row>
    <row r="101" customFormat="false" ht="12.8" hidden="false" customHeight="false" outlineLevel="0" collapsed="false">
      <c r="A101" s="0" t="s">
        <v>207</v>
      </c>
      <c r="B101" s="0" t="s">
        <v>2003</v>
      </c>
      <c r="C101" s="0" t="s">
        <v>187</v>
      </c>
      <c r="D101" s="0" t="n">
        <v>71</v>
      </c>
      <c r="E101" s="0" t="n">
        <v>70</v>
      </c>
      <c r="F101" s="0" t="n">
        <v>0.1364522417154</v>
      </c>
      <c r="H101" s="0" t="n">
        <v>18</v>
      </c>
      <c r="I101" s="0" t="n">
        <v>3.2</v>
      </c>
      <c r="J101" s="0" t="n">
        <v>57</v>
      </c>
      <c r="K101" s="0" t="n">
        <v>9</v>
      </c>
      <c r="L101" s="0" t="n">
        <v>28</v>
      </c>
      <c r="M101" s="0" t="n">
        <v>513</v>
      </c>
      <c r="N101" s="0" t="n">
        <v>5</v>
      </c>
      <c r="S101" s="0" t="n">
        <v>75</v>
      </c>
      <c r="T101" s="0" t="n">
        <v>438</v>
      </c>
      <c r="U101" s="0" t="n">
        <v>0.146198830409357</v>
      </c>
    </row>
    <row r="102" customFormat="false" ht="12.8" hidden="false" customHeight="false" outlineLevel="0" collapsed="false">
      <c r="A102" s="0" t="s">
        <v>210</v>
      </c>
      <c r="B102" s="0" t="s">
        <v>211</v>
      </c>
      <c r="C102" s="0" t="s">
        <v>187</v>
      </c>
      <c r="D102" s="0" t="n">
        <v>314</v>
      </c>
      <c r="E102" s="0" t="n">
        <v>314</v>
      </c>
      <c r="F102" s="0" t="n">
        <v>0.300478468899522</v>
      </c>
      <c r="G102" s="0" t="n">
        <v>46.979</v>
      </c>
      <c r="H102" s="0" t="n">
        <v>36</v>
      </c>
      <c r="I102" s="0" t="n">
        <v>3.2</v>
      </c>
      <c r="J102" s="0" t="n">
        <v>115</v>
      </c>
      <c r="K102" s="0" t="n">
        <v>18</v>
      </c>
      <c r="L102" s="0" t="n">
        <v>57</v>
      </c>
      <c r="M102" s="0" t="n">
        <v>1045</v>
      </c>
      <c r="N102" s="0" t="n">
        <v>10</v>
      </c>
      <c r="P102" s="0" t="n">
        <v>1.09</v>
      </c>
      <c r="S102" s="0" t="n">
        <v>324</v>
      </c>
      <c r="T102" s="0" t="n">
        <v>721</v>
      </c>
      <c r="U102" s="0" t="n">
        <v>0.310047846889952</v>
      </c>
    </row>
    <row r="103" customFormat="false" ht="12.8" hidden="false" customHeight="false" outlineLevel="0" collapsed="false">
      <c r="A103" s="0" t="s">
        <v>210</v>
      </c>
      <c r="B103" s="0" t="s">
        <v>212</v>
      </c>
      <c r="C103" s="0" t="s">
        <v>187</v>
      </c>
      <c r="D103" s="0" t="n">
        <v>380</v>
      </c>
      <c r="E103" s="0" t="n">
        <v>380</v>
      </c>
      <c r="F103" s="0" t="n">
        <v>0.363636363636364</v>
      </c>
      <c r="H103" s="0" t="n">
        <v>36</v>
      </c>
      <c r="I103" s="0" t="n">
        <v>3.2</v>
      </c>
      <c r="J103" s="0" t="n">
        <v>115</v>
      </c>
      <c r="K103" s="0" t="n">
        <v>18</v>
      </c>
      <c r="L103" s="0" t="n">
        <v>57</v>
      </c>
      <c r="M103" s="0" t="n">
        <v>1045</v>
      </c>
      <c r="N103" s="0" t="n">
        <v>10</v>
      </c>
      <c r="S103" s="0" t="n">
        <v>390</v>
      </c>
      <c r="T103" s="0" t="n">
        <v>655</v>
      </c>
      <c r="U103" s="0" t="n">
        <v>0.373205741626794</v>
      </c>
    </row>
    <row r="104" customFormat="false" ht="12.8" hidden="false" customHeight="false" outlineLevel="0" collapsed="false">
      <c r="A104" s="0" t="s">
        <v>210</v>
      </c>
      <c r="B104" s="0" t="s">
        <v>213</v>
      </c>
      <c r="C104" s="0" t="s">
        <v>187</v>
      </c>
      <c r="D104" s="0" t="n">
        <v>168</v>
      </c>
      <c r="E104" s="0" t="n">
        <v>168</v>
      </c>
      <c r="F104" s="0" t="n">
        <v>0.327485380116959</v>
      </c>
      <c r="H104" s="0" t="n">
        <v>18</v>
      </c>
      <c r="I104" s="0" t="n">
        <v>3.2</v>
      </c>
      <c r="J104" s="0" t="n">
        <v>57</v>
      </c>
      <c r="K104" s="0" t="n">
        <v>9</v>
      </c>
      <c r="L104" s="0" t="n">
        <v>28</v>
      </c>
      <c r="M104" s="0" t="n">
        <v>513</v>
      </c>
      <c r="N104" s="0" t="n">
        <v>0</v>
      </c>
      <c r="S104" s="0" t="n">
        <v>168</v>
      </c>
      <c r="T104" s="0" t="n">
        <v>345</v>
      </c>
      <c r="U104" s="0" t="n">
        <v>0.327485380116959</v>
      </c>
    </row>
    <row r="105" customFormat="false" ht="12.8" hidden="false" customHeight="false" outlineLevel="0" collapsed="false">
      <c r="A105" s="0" t="s">
        <v>214</v>
      </c>
      <c r="B105" s="0" t="s">
        <v>215</v>
      </c>
      <c r="C105" s="0" t="s">
        <v>187</v>
      </c>
      <c r="D105" s="0" t="n">
        <v>408</v>
      </c>
      <c r="E105" s="0" t="n">
        <v>408</v>
      </c>
      <c r="F105" s="0" t="n">
        <v>0.390430622009569</v>
      </c>
      <c r="G105" s="0" t="n">
        <v>37.8775</v>
      </c>
      <c r="H105" s="0" t="n">
        <v>36</v>
      </c>
      <c r="I105" s="0" t="n">
        <v>3.2</v>
      </c>
      <c r="J105" s="0" t="n">
        <v>115</v>
      </c>
      <c r="K105" s="0" t="n">
        <v>18</v>
      </c>
      <c r="L105" s="0" t="n">
        <v>57</v>
      </c>
      <c r="M105" s="0" t="n">
        <v>1045</v>
      </c>
      <c r="N105" s="0" t="n">
        <v>149</v>
      </c>
      <c r="P105" s="0" t="n">
        <v>16.241</v>
      </c>
      <c r="S105" s="0" t="n">
        <v>557</v>
      </c>
      <c r="T105" s="0" t="n">
        <v>488</v>
      </c>
      <c r="U105" s="0" t="n">
        <v>0.533014354066986</v>
      </c>
    </row>
    <row r="106" customFormat="false" ht="12.8" hidden="false" customHeight="false" outlineLevel="0" collapsed="false">
      <c r="A106" s="0" t="s">
        <v>214</v>
      </c>
      <c r="B106" s="0" t="s">
        <v>216</v>
      </c>
      <c r="C106" s="0" t="s">
        <v>187</v>
      </c>
      <c r="D106" s="0" t="n">
        <v>279</v>
      </c>
      <c r="E106" s="0" t="n">
        <v>287</v>
      </c>
      <c r="F106" s="0" t="n">
        <v>0.326136363636364</v>
      </c>
      <c r="H106" s="0" t="n">
        <v>30</v>
      </c>
      <c r="I106" s="0" t="n">
        <v>3.2</v>
      </c>
      <c r="J106" s="0" t="n">
        <v>96</v>
      </c>
      <c r="K106" s="0" t="n">
        <v>15</v>
      </c>
      <c r="L106" s="0" t="n">
        <v>48</v>
      </c>
      <c r="M106" s="0" t="n">
        <v>880</v>
      </c>
      <c r="N106" s="0" t="n">
        <v>149</v>
      </c>
      <c r="S106" s="0" t="n">
        <v>436</v>
      </c>
      <c r="T106" s="0" t="n">
        <v>444</v>
      </c>
      <c r="U106" s="0" t="n">
        <v>0.495454545454546</v>
      </c>
    </row>
    <row r="107" customFormat="false" ht="12.8" hidden="false" customHeight="false" outlineLevel="0" collapsed="false">
      <c r="A107" s="0" t="s">
        <v>217</v>
      </c>
      <c r="B107" s="0" t="s">
        <v>218</v>
      </c>
      <c r="C107" s="0" t="s">
        <v>187</v>
      </c>
      <c r="D107" s="0" t="n">
        <v>420</v>
      </c>
      <c r="E107" s="0" t="n">
        <v>411</v>
      </c>
      <c r="F107" s="0" t="n">
        <v>0.393301435406699</v>
      </c>
      <c r="G107" s="0" t="n">
        <v>46.5975</v>
      </c>
      <c r="H107" s="0" t="n">
        <v>36</v>
      </c>
      <c r="I107" s="0" t="n">
        <v>3.2</v>
      </c>
      <c r="J107" s="0" t="n">
        <v>115</v>
      </c>
      <c r="K107" s="0" t="n">
        <v>18</v>
      </c>
      <c r="L107" s="0" t="n">
        <v>57</v>
      </c>
      <c r="M107" s="0" t="n">
        <v>1045</v>
      </c>
      <c r="N107" s="0" t="n">
        <v>15</v>
      </c>
      <c r="P107" s="0" t="n">
        <v>1.635</v>
      </c>
      <c r="S107" s="0" t="n">
        <v>426</v>
      </c>
      <c r="T107" s="0" t="n">
        <v>619</v>
      </c>
      <c r="U107" s="0" t="n">
        <v>0.407655502392344</v>
      </c>
    </row>
    <row r="108" customFormat="false" ht="12.8" hidden="false" customHeight="false" outlineLevel="0" collapsed="false">
      <c r="A108" s="0" t="s">
        <v>217</v>
      </c>
      <c r="B108" s="0" t="s">
        <v>219</v>
      </c>
      <c r="C108" s="0" t="s">
        <v>187</v>
      </c>
      <c r="D108" s="0" t="n">
        <v>444</v>
      </c>
      <c r="E108" s="0" t="n">
        <v>444</v>
      </c>
      <c r="F108" s="0" t="n">
        <v>0.42488038277512</v>
      </c>
      <c r="H108" s="0" t="n">
        <v>36</v>
      </c>
      <c r="I108" s="0" t="n">
        <v>3.2</v>
      </c>
      <c r="J108" s="0" t="n">
        <v>115</v>
      </c>
      <c r="K108" s="0" t="n">
        <v>18</v>
      </c>
      <c r="L108" s="0" t="n">
        <v>57</v>
      </c>
      <c r="M108" s="0" t="n">
        <v>1045</v>
      </c>
      <c r="N108" s="0" t="n">
        <v>15</v>
      </c>
      <c r="S108" s="0" t="n">
        <v>459</v>
      </c>
      <c r="T108" s="0" t="n">
        <v>586</v>
      </c>
      <c r="U108" s="0" t="n">
        <v>0.439234449760766</v>
      </c>
    </row>
    <row r="109" customFormat="false" ht="12.8" hidden="false" customHeight="false" outlineLevel="0" collapsed="false">
      <c r="A109" s="0" t="s">
        <v>220</v>
      </c>
      <c r="B109" s="0" t="s">
        <v>221</v>
      </c>
      <c r="C109" s="0" t="s">
        <v>187</v>
      </c>
      <c r="D109" s="0" t="n">
        <v>238</v>
      </c>
      <c r="E109" s="0" t="n">
        <v>238</v>
      </c>
      <c r="F109" s="0" t="n">
        <v>0.463937621832359</v>
      </c>
      <c r="G109" s="0" t="n">
        <v>40.7115</v>
      </c>
      <c r="H109" s="0" t="n">
        <v>18</v>
      </c>
      <c r="I109" s="0" t="n">
        <v>3.2</v>
      </c>
      <c r="J109" s="0" t="n">
        <v>57</v>
      </c>
      <c r="K109" s="0" t="n">
        <v>9</v>
      </c>
      <c r="L109" s="0" t="n">
        <v>28</v>
      </c>
      <c r="M109" s="0" t="n">
        <v>513</v>
      </c>
      <c r="N109" s="0" t="n">
        <v>0</v>
      </c>
      <c r="P109" s="0" t="n">
        <v>4.578</v>
      </c>
      <c r="S109" s="0" t="n">
        <v>238</v>
      </c>
      <c r="T109" s="0" t="n">
        <v>275</v>
      </c>
      <c r="U109" s="0" t="n">
        <v>0.463937621832359</v>
      </c>
    </row>
    <row r="110" customFormat="false" ht="12.8" hidden="false" customHeight="false" outlineLevel="0" collapsed="false">
      <c r="A110" s="0" t="s">
        <v>220</v>
      </c>
      <c r="B110" s="0" t="s">
        <v>222</v>
      </c>
      <c r="C110" s="0" t="s">
        <v>187</v>
      </c>
      <c r="D110" s="0" t="n">
        <v>226</v>
      </c>
      <c r="E110" s="0" t="n">
        <v>227</v>
      </c>
      <c r="F110" s="0" t="n">
        <v>0.442495126705653</v>
      </c>
      <c r="H110" s="0" t="n">
        <v>18</v>
      </c>
      <c r="I110" s="0" t="n">
        <v>3.2</v>
      </c>
      <c r="J110" s="0" t="n">
        <v>57</v>
      </c>
      <c r="K110" s="0" t="n">
        <v>9</v>
      </c>
      <c r="L110" s="0" t="n">
        <v>28</v>
      </c>
      <c r="M110" s="0" t="n">
        <v>513</v>
      </c>
      <c r="N110" s="0" t="n">
        <v>42</v>
      </c>
      <c r="S110" s="0" t="n">
        <v>269</v>
      </c>
      <c r="T110" s="0" t="n">
        <v>244</v>
      </c>
      <c r="U110" s="0" t="n">
        <v>0.524366471734893</v>
      </c>
    </row>
    <row r="111" customFormat="false" ht="12.8" hidden="false" customHeight="false" outlineLevel="0" collapsed="false">
      <c r="A111" s="0" t="s">
        <v>220</v>
      </c>
      <c r="B111" s="0" t="s">
        <v>223</v>
      </c>
      <c r="C111" s="0" t="s">
        <v>187</v>
      </c>
      <c r="D111" s="0" t="n">
        <v>285</v>
      </c>
      <c r="E111" s="0" t="n">
        <v>282</v>
      </c>
      <c r="F111" s="0" t="n">
        <v>0.549707602339181</v>
      </c>
      <c r="H111" s="0" t="n">
        <v>18</v>
      </c>
      <c r="I111" s="0" t="n">
        <v>3.2</v>
      </c>
      <c r="J111" s="0" t="n">
        <v>57</v>
      </c>
      <c r="K111" s="0" t="n">
        <v>9</v>
      </c>
      <c r="L111" s="0" t="n">
        <v>28</v>
      </c>
      <c r="M111" s="0" t="n">
        <v>513</v>
      </c>
      <c r="N111" s="0" t="n">
        <v>42</v>
      </c>
      <c r="S111" s="0" t="n">
        <v>324</v>
      </c>
      <c r="T111" s="0" t="n">
        <v>189</v>
      </c>
      <c r="U111" s="0" t="n">
        <v>0.631578947368421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ECAAE268F7BEC4F81B272404FF520B8" ma:contentTypeVersion="8" ma:contentTypeDescription="Create a new document." ma:contentTypeScope="" ma:versionID="fd7a10eec78a60bc8b94afc5661e4be4">
  <xsd:schema xmlns:xsd="http://www.w3.org/2001/XMLSchema" xmlns:xs="http://www.w3.org/2001/XMLSchema" xmlns:p="http://schemas.microsoft.com/office/2006/metadata/properties" xmlns:ns2="722ef225-c862-440c-a707-0c097ebb83cb" targetNamespace="http://schemas.microsoft.com/office/2006/metadata/properties" ma:root="true" ma:fieldsID="fe80f1c38168ded7983939c034937a7e" ns2:_="">
    <xsd:import namespace="722ef225-c862-440c-a707-0c097ebb83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2ef225-c862-440c-a707-0c097ebb83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07E7CA-ECF5-485F-8824-54754C02F1C6}"/>
</file>

<file path=customXml/itemProps2.xml><?xml version="1.0" encoding="utf-8"?>
<ds:datastoreItem xmlns:ds="http://schemas.openxmlformats.org/officeDocument/2006/customXml" ds:itemID="{EF72F65B-9DE0-427D-BCF4-7E85CE716CFE}"/>
</file>

<file path=customXml/itemProps3.xml><?xml version="1.0" encoding="utf-8"?>
<ds:datastoreItem xmlns:ds="http://schemas.openxmlformats.org/officeDocument/2006/customXml" ds:itemID="{80FFA5BD-38F6-4D09-B373-9D3D1926359D}"/>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Vodafone UK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2007-10-26T13:20:29Z</dcterms:created>
  <dc:creator>Knight</dc:creator>
  <dc:description/>
  <dc:language>en-US</dc:language>
  <cp:lastModifiedBy>Ghazal Yazdanfar, Vodafone (External)</cp:lastModifiedBy>
  <dcterms:modified xsi:type="dcterms:W3CDTF">2025-03-05T13:02:09Z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AuthorIds_UIVersion_3072">
    <vt:lpwstr>13</vt:lpwstr>
  </property>
  <property fmtid="{D5CDD505-2E9C-101B-9397-08002B2CF9AE}" pid="4" name="Company">
    <vt:lpwstr>Vodafone UK</vt:lpwstr>
  </property>
  <property fmtid="{D5CDD505-2E9C-101B-9397-08002B2CF9AE}" pid="5" name="ComplianceAssetId">
    <vt:lpwstr/>
  </property>
  <property fmtid="{D5CDD505-2E9C-101B-9397-08002B2CF9AE}" pid="6" name="ContentTypeId">
    <vt:lpwstr>0x010100FECAAE268F7BEC4F81B272404FF520B8</vt:lpwstr>
  </property>
  <property fmtid="{D5CDD505-2E9C-101B-9397-08002B2CF9AE}" pid="7" name="MSIP_Label_0359f705-2ba0-454b-9cfc-6ce5bcaac040_ActionId">
    <vt:lpwstr>9b47494f-e525-4f32-bfa6-06a8c79b4473</vt:lpwstr>
  </property>
  <property fmtid="{D5CDD505-2E9C-101B-9397-08002B2CF9AE}" pid="8" name="MSIP_Label_0359f705-2ba0-454b-9cfc-6ce5bcaac040_ContentBits">
    <vt:lpwstr>2</vt:lpwstr>
  </property>
  <property fmtid="{D5CDD505-2E9C-101B-9397-08002B2CF9AE}" pid="9" name="MSIP_Label_0359f705-2ba0-454b-9cfc-6ce5bcaac040_Enabled">
    <vt:lpwstr>true</vt:lpwstr>
  </property>
  <property fmtid="{D5CDD505-2E9C-101B-9397-08002B2CF9AE}" pid="10" name="MSIP_Label_0359f705-2ba0-454b-9cfc-6ce5bcaac040_Method">
    <vt:lpwstr>Standard</vt:lpwstr>
  </property>
  <property fmtid="{D5CDD505-2E9C-101B-9397-08002B2CF9AE}" pid="11" name="MSIP_Label_0359f705-2ba0-454b-9cfc-6ce5bcaac040_Name">
    <vt:lpwstr>0359f705-2ba0-454b-9cfc-6ce5bcaac040</vt:lpwstr>
  </property>
  <property fmtid="{D5CDD505-2E9C-101B-9397-08002B2CF9AE}" pid="12" name="MSIP_Label_0359f705-2ba0-454b-9cfc-6ce5bcaac040_SetDate">
    <vt:lpwstr>2024-05-01T14:04:03Z</vt:lpwstr>
  </property>
  <property fmtid="{D5CDD505-2E9C-101B-9397-08002B2CF9AE}" pid="13" name="MSIP_Label_0359f705-2ba0-454b-9cfc-6ce5bcaac040_SiteId">
    <vt:lpwstr>68283f3b-8487-4c86-adb3-a5228f18b893</vt:lpwstr>
  </property>
  <property fmtid="{D5CDD505-2E9C-101B-9397-08002B2CF9AE}" pid="14" name="MediaServiceImageTags">
    <vt:lpwstr/>
  </property>
  <property fmtid="{D5CDD505-2E9C-101B-9397-08002B2CF9AE}" pid="15" name="TemplateUrl">
    <vt:lpwstr/>
  </property>
  <property fmtid="{D5CDD505-2E9C-101B-9397-08002B2CF9AE}" pid="16" name="_NewReviewCycle">
    <vt:lpwstr/>
  </property>
  <property fmtid="{D5CDD505-2E9C-101B-9397-08002B2CF9AE}" pid="17" name="xd_ProgID">
    <vt:lpwstr/>
  </property>
  <property fmtid="{D5CDD505-2E9C-101B-9397-08002B2CF9AE}" pid="18" name="xd_Signature">
    <vt:bool>0</vt:bool>
  </property>
</Properties>
</file>