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13_ncr:1000001_{856A2DBB-8356-034C-B140-06B59995D73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住家雙月" sheetId="1" r:id="rId1"/>
    <sheet name="住家雙月(離島)" sheetId="2" r:id="rId2"/>
    <sheet name="公司雙月" sheetId="3" r:id="rId3"/>
    <sheet name="公司雙月(離島)" sheetId="4" r:id="rId4"/>
    <sheet name="臨時用電" sheetId="5" r:id="rId5"/>
    <sheet name="臨時用電(離島)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C3" i="6"/>
  <c r="D3" i="6"/>
  <c r="C13" i="6"/>
  <c r="B13" i="6"/>
  <c r="B12" i="6"/>
  <c r="C12" i="6"/>
  <c r="B14" i="6"/>
  <c r="C14" i="6"/>
  <c r="E3" i="6"/>
  <c r="F3" i="6"/>
  <c r="B5" i="6"/>
  <c r="C4" i="6"/>
  <c r="D4" i="6"/>
  <c r="E4" i="6"/>
  <c r="F4" i="6"/>
  <c r="B6" i="6"/>
  <c r="C5" i="6"/>
  <c r="D5" i="6"/>
  <c r="E5" i="6"/>
  <c r="F5" i="6"/>
  <c r="C6" i="6"/>
  <c r="D6" i="6"/>
  <c r="E6" i="6"/>
  <c r="F6" i="6"/>
  <c r="C7" i="6"/>
  <c r="D7" i="6"/>
  <c r="E7" i="6"/>
  <c r="F7" i="6"/>
  <c r="F8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I8" i="6"/>
  <c r="B17" i="6"/>
  <c r="B19" i="6"/>
  <c r="B21" i="6"/>
  <c r="D13" i="6"/>
  <c r="B4" i="5"/>
  <c r="C3" i="5"/>
  <c r="D3" i="5"/>
  <c r="C13" i="5"/>
  <c r="B13" i="5"/>
  <c r="B12" i="5"/>
  <c r="C12" i="5"/>
  <c r="B14" i="5"/>
  <c r="C14" i="5"/>
  <c r="E3" i="5"/>
  <c r="F3" i="5"/>
  <c r="B5" i="5"/>
  <c r="C4" i="5"/>
  <c r="D4" i="5"/>
  <c r="E4" i="5"/>
  <c r="F4" i="5"/>
  <c r="B6" i="5"/>
  <c r="C5" i="5"/>
  <c r="D5" i="5"/>
  <c r="E5" i="5"/>
  <c r="F5" i="5"/>
  <c r="C6" i="5"/>
  <c r="D6" i="5"/>
  <c r="E6" i="5"/>
  <c r="F6" i="5"/>
  <c r="C7" i="5"/>
  <c r="D7" i="5"/>
  <c r="E7" i="5"/>
  <c r="F7" i="5"/>
  <c r="F8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I8" i="5"/>
  <c r="B17" i="5"/>
  <c r="B19" i="5"/>
  <c r="B21" i="5"/>
  <c r="D13" i="5"/>
  <c r="B4" i="4"/>
  <c r="C3" i="4"/>
  <c r="D3" i="4"/>
  <c r="C13" i="4"/>
  <c r="B13" i="4"/>
  <c r="B12" i="4"/>
  <c r="C12" i="4"/>
  <c r="B14" i="4"/>
  <c r="C14" i="4"/>
  <c r="E3" i="4"/>
  <c r="F3" i="4"/>
  <c r="B5" i="4"/>
  <c r="C4" i="4"/>
  <c r="D4" i="4"/>
  <c r="E4" i="4"/>
  <c r="F4" i="4"/>
  <c r="B6" i="4"/>
  <c r="C5" i="4"/>
  <c r="D5" i="4"/>
  <c r="E5" i="4"/>
  <c r="F5" i="4"/>
  <c r="C6" i="4"/>
  <c r="D6" i="4"/>
  <c r="E6" i="4"/>
  <c r="F6" i="4"/>
  <c r="C7" i="4"/>
  <c r="D7" i="4"/>
  <c r="E7" i="4"/>
  <c r="F7" i="4"/>
  <c r="F8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I8" i="4"/>
  <c r="B17" i="4"/>
  <c r="B19" i="4"/>
  <c r="B21" i="4"/>
  <c r="D13" i="4"/>
  <c r="B4" i="3"/>
  <c r="C3" i="3"/>
  <c r="C13" i="3"/>
  <c r="B13" i="3"/>
  <c r="B12" i="3"/>
  <c r="C12" i="3"/>
  <c r="B14" i="3"/>
  <c r="C14" i="3"/>
  <c r="E3" i="3"/>
  <c r="F3" i="3"/>
  <c r="B5" i="3"/>
  <c r="C4" i="3"/>
  <c r="E4" i="3"/>
  <c r="F4" i="3"/>
  <c r="B6" i="3"/>
  <c r="C5" i="3"/>
  <c r="E5" i="3"/>
  <c r="F5" i="3"/>
  <c r="C6" i="3"/>
  <c r="E6" i="3"/>
  <c r="F6" i="3"/>
  <c r="C7" i="3"/>
  <c r="E7" i="3"/>
  <c r="F7" i="3"/>
  <c r="F8" i="3"/>
  <c r="H3" i="3"/>
  <c r="I3" i="3"/>
  <c r="H4" i="3"/>
  <c r="I4" i="3"/>
  <c r="H5" i="3"/>
  <c r="I5" i="3"/>
  <c r="H6" i="3"/>
  <c r="I6" i="3"/>
  <c r="H7" i="3"/>
  <c r="I7" i="3"/>
  <c r="I8" i="3"/>
  <c r="B17" i="3"/>
  <c r="B19" i="3"/>
  <c r="B21" i="3"/>
  <c r="D13" i="3"/>
  <c r="B4" i="2"/>
  <c r="C3" i="2"/>
  <c r="D3" i="2"/>
  <c r="C13" i="2"/>
  <c r="B13" i="2"/>
  <c r="B12" i="2"/>
  <c r="C12" i="2"/>
  <c r="B14" i="2"/>
  <c r="C14" i="2"/>
  <c r="E3" i="2"/>
  <c r="F3" i="2"/>
  <c r="B5" i="2"/>
  <c r="C4" i="2"/>
  <c r="D4" i="2"/>
  <c r="E4" i="2"/>
  <c r="F4" i="2"/>
  <c r="B6" i="2"/>
  <c r="C5" i="2"/>
  <c r="D5" i="2"/>
  <c r="E5" i="2"/>
  <c r="F5" i="2"/>
  <c r="B7" i="2"/>
  <c r="C6" i="2"/>
  <c r="D6" i="2"/>
  <c r="E6" i="2"/>
  <c r="F6" i="2"/>
  <c r="B8" i="2"/>
  <c r="C7" i="2"/>
  <c r="D7" i="2"/>
  <c r="E7" i="2"/>
  <c r="F7" i="2"/>
  <c r="C8" i="2"/>
  <c r="D8" i="2"/>
  <c r="E8" i="2"/>
  <c r="F8" i="2"/>
  <c r="F9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I9" i="2"/>
  <c r="B17" i="2"/>
  <c r="B19" i="2"/>
  <c r="B21" i="2"/>
  <c r="D13" i="2"/>
  <c r="B4" i="1"/>
  <c r="C3" i="1"/>
  <c r="C13" i="1"/>
  <c r="B13" i="1"/>
  <c r="B12" i="1"/>
  <c r="C12" i="1"/>
  <c r="B14" i="1"/>
  <c r="C14" i="1"/>
  <c r="E3" i="1"/>
  <c r="F3" i="1"/>
  <c r="B5" i="1"/>
  <c r="C4" i="1"/>
  <c r="E4" i="1"/>
  <c r="F4" i="1"/>
  <c r="B6" i="1"/>
  <c r="C5" i="1"/>
  <c r="E5" i="1"/>
  <c r="F5" i="1"/>
  <c r="B7" i="1"/>
  <c r="C6" i="1"/>
  <c r="E6" i="1"/>
  <c r="F6" i="1"/>
  <c r="B8" i="1"/>
  <c r="C7" i="1"/>
  <c r="E7" i="1"/>
  <c r="F7" i="1"/>
  <c r="C8" i="1"/>
  <c r="E8" i="1"/>
  <c r="F8" i="1"/>
  <c r="F9" i="1"/>
  <c r="H3" i="1"/>
  <c r="I3" i="1"/>
  <c r="H4" i="1"/>
  <c r="I4" i="1"/>
  <c r="H5" i="1"/>
  <c r="I5" i="1"/>
  <c r="H6" i="1"/>
  <c r="I6" i="1"/>
  <c r="H7" i="1"/>
  <c r="I7" i="1"/>
  <c r="H8" i="1"/>
  <c r="I8" i="1"/>
  <c r="I9" i="1"/>
  <c r="B17" i="1"/>
  <c r="B19" i="1"/>
  <c r="B21" i="1"/>
  <c r="D13" i="1"/>
</calcChain>
</file>

<file path=xl/sharedStrings.xml><?xml version="1.0" encoding="utf-8"?>
<sst xmlns="http://schemas.openxmlformats.org/spreadsheetml/2006/main" count="164" uniqueCount="41">
  <si>
    <r>
      <rPr>
        <sz val="12"/>
        <color theme="1"/>
        <rFont val="PMingLiu"/>
      </rPr>
      <t>台灣電力公司電價表(</t>
    </r>
    <r>
      <rPr>
        <sz val="12"/>
        <color rgb="FF7030A0"/>
        <rFont val="Arial"/>
      </rPr>
      <t>一般住家雙月</t>
    </r>
    <r>
      <rPr>
        <sz val="12"/>
        <color theme="1"/>
        <rFont val="Arial"/>
      </rPr>
      <t>-非時間電價-113年4月1日起實施)</t>
    </r>
  </si>
  <si>
    <t>隔月用電度數分段</t>
  </si>
  <si>
    <t>累進值</t>
  </si>
  <si>
    <t>計價度數</t>
  </si>
  <si>
    <t>夏月單價</t>
  </si>
  <si>
    <t>天數/總天數</t>
  </si>
  <si>
    <t>夏月電費小計</t>
  </si>
  <si>
    <t>非夏月單價</t>
  </si>
  <si>
    <t>非夏月電費小計</t>
  </si>
  <si>
    <t>240度以下部分</t>
  </si>
  <si>
    <t>241~660度部分</t>
  </si>
  <si>
    <t>661~1000度部分</t>
  </si>
  <si>
    <t>1001~1400度部分</t>
  </si>
  <si>
    <t>1401~2000度部分</t>
  </si>
  <si>
    <t>2001度以上部分</t>
  </si>
  <si>
    <t>流動電費：</t>
  </si>
  <si>
    <t>請輸入您的用電度數：</t>
  </si>
  <si>
    <t>夏月起始日：夏月結束日</t>
  </si>
  <si>
    <t>用電起算日：用電結算日</t>
  </si>
  <si>
    <t>夏月天數/總天數</t>
  </si>
  <si>
    <t>請輸入您的減少用電量：</t>
  </si>
  <si>
    <t>補收金額(退費請加負號)：</t>
  </si>
  <si>
    <t>節電獎勵：</t>
  </si>
  <si>
    <t>分攤公共電費：</t>
  </si>
  <si>
    <t>應繳總金額：</t>
  </si>
  <si>
    <r>
      <rPr>
        <sz val="12"/>
        <color rgb="FFFF0000"/>
        <rFont val="Calibri"/>
      </rPr>
      <t>此試算表僅供檢視，以防止遭人破壞或胡亂新增工作表。請點選右上方「</t>
    </r>
    <r>
      <rPr>
        <sz val="12"/>
        <color rgb="FF0000FF"/>
        <rFont val="Calibri"/>
      </rPr>
      <t>登入</t>
    </r>
    <r>
      <rPr>
        <sz val="12"/>
        <color rgb="FFFF0000"/>
        <rFont val="Calibri"/>
      </rPr>
      <t>」按鈕，然後登入自己的 Google 帳戶（已登入者，請忽略此步驟），
再按此試算表「</t>
    </r>
    <r>
      <rPr>
        <sz val="12"/>
        <color rgb="FF0000FF"/>
        <rFont val="Calibri"/>
      </rPr>
      <t>檔案</t>
    </r>
    <r>
      <rPr>
        <sz val="12"/>
        <color rgb="FFFF0000"/>
        <rFont val="Calibri"/>
      </rPr>
      <t>」下拉式功能表裡的「</t>
    </r>
    <r>
      <rPr>
        <sz val="12"/>
        <color rgb="FF0000FF"/>
        <rFont val="Calibri"/>
      </rPr>
      <t>建立副本</t>
    </r>
    <r>
      <rPr>
        <sz val="12"/>
        <color rgb="FFFF0000"/>
        <rFont val="Calibri"/>
      </rPr>
      <t>」，即可另存新檔到您自己的 Google 雲端硬碟，
您可對自己的副本任意編輯、查看公式（函數）及變更各種設定值。</t>
    </r>
    <r>
      <rPr>
        <sz val="12"/>
        <color rgb="FF9900FF"/>
        <rFont val="Calibri"/>
      </rPr>
      <t>請勿要求存取權！（請不要按右上方的「共用」）</t>
    </r>
  </si>
  <si>
    <r>
      <rPr>
        <sz val="12"/>
        <color theme="1"/>
        <rFont val="PMingLiu"/>
      </rPr>
      <t>台灣電力公司電價表(</t>
    </r>
    <r>
      <rPr>
        <sz val="12"/>
        <color rgb="FF0000FF"/>
        <rFont val="Arial"/>
      </rPr>
      <t>離島免營業稅</t>
    </r>
    <r>
      <rPr>
        <sz val="12"/>
        <color theme="1"/>
        <rFont val="Arial"/>
      </rPr>
      <t>-</t>
    </r>
    <r>
      <rPr>
        <sz val="12"/>
        <color rgb="FF7030A0"/>
        <rFont val="Arial"/>
      </rPr>
      <t>一般住家雙月</t>
    </r>
    <r>
      <rPr>
        <sz val="12"/>
        <color theme="1"/>
        <rFont val="Arial"/>
      </rPr>
      <t>-非時間電價-113年4月1日起實施)</t>
    </r>
  </si>
  <si>
    <r>
      <rPr>
        <sz val="12"/>
        <color theme="1"/>
        <rFont val="PMingLiu"/>
      </rPr>
      <t>台灣電力公司電價表(</t>
    </r>
    <r>
      <rPr>
        <sz val="12"/>
        <color rgb="FF7030A0"/>
        <rFont val="Arial"/>
      </rPr>
      <t>小型營業雙月</t>
    </r>
    <r>
      <rPr>
        <sz val="12"/>
        <color theme="1"/>
        <rFont val="Arial"/>
      </rPr>
      <t>-非時間電價-113年4月1日起實施)</t>
    </r>
  </si>
  <si>
    <t>660度以下部分</t>
  </si>
  <si>
    <t>661~1400度部分</t>
  </si>
  <si>
    <t>1401~3000度部分</t>
  </si>
  <si>
    <t>3001~6000度部分</t>
  </si>
  <si>
    <t>6001度以上部分</t>
  </si>
  <si>
    <r>
      <rPr>
        <sz val="12"/>
        <color theme="1"/>
        <rFont val="PMingLiu"/>
      </rPr>
      <t>台灣電力公司電價表(</t>
    </r>
    <r>
      <rPr>
        <sz val="12"/>
        <color rgb="FF0000FF"/>
        <rFont val="Arial"/>
      </rPr>
      <t>離島免營業稅</t>
    </r>
    <r>
      <rPr>
        <sz val="12"/>
        <color theme="1"/>
        <rFont val="Arial"/>
      </rPr>
      <t>-</t>
    </r>
    <r>
      <rPr>
        <sz val="12"/>
        <color rgb="FF7030A0"/>
        <rFont val="Arial"/>
      </rPr>
      <t>小型營業雙月</t>
    </r>
    <r>
      <rPr>
        <sz val="12"/>
        <color theme="1"/>
        <rFont val="Arial"/>
      </rPr>
      <t>-非時間電價-113年4月1日起實施)</t>
    </r>
  </si>
  <si>
    <r>
      <rPr>
        <sz val="12"/>
        <color theme="1"/>
        <rFont val="PMingLiu"/>
      </rPr>
      <t>台灣電力公司電價表(</t>
    </r>
    <r>
      <rPr>
        <sz val="12"/>
        <color rgb="FF7030A0"/>
        <rFont val="Arial"/>
      </rPr>
      <t>臨時用電雙月</t>
    </r>
    <r>
      <rPr>
        <sz val="12"/>
        <color theme="1"/>
        <rFont val="Arial"/>
      </rPr>
      <t>-非時間電價-113年4月1日起實施)</t>
    </r>
  </si>
  <si>
    <r>
      <rPr>
        <sz val="12"/>
        <color theme="1"/>
        <rFont val="PMingLiu"/>
      </rPr>
      <t>台灣電力公司電價表(</t>
    </r>
    <r>
      <rPr>
        <sz val="12"/>
        <color rgb="FF0000FF"/>
        <rFont val="Arial"/>
      </rPr>
      <t>離島免營業稅</t>
    </r>
    <r>
      <rPr>
        <sz val="12"/>
        <color theme="1"/>
        <rFont val="Arial"/>
      </rPr>
      <t>-</t>
    </r>
    <r>
      <rPr>
        <sz val="12"/>
        <color rgb="FF7030A0"/>
        <rFont val="Arial"/>
      </rPr>
      <t>臨時用電雙月</t>
    </r>
    <r>
      <rPr>
        <sz val="12"/>
        <color theme="1"/>
        <rFont val="Arial"/>
      </rPr>
      <t>-非時間電價-113年4月1日起實施)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</si>
</sst>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"/>
    <numFmt numFmtId="178" formatCode="0.0000000"/>
    <numFmt numFmtId="179" formatCode="yyyy&quot;/&quot;mm&quot;/&quot;dd"/>
    <numFmt numFmtId="180" formatCode="0.0_ "/>
    <numFmt numFmtId="181" formatCode="0.000"/>
  </numFmts>
  <fonts count="12" x14ac:knownFonts="1">
    <font>
      <sz val="12"/>
      <color theme="1"/>
      <name val="Calibri"/>
      <scheme val="minor"/>
    </font>
    <font>
      <sz val="12"/>
      <color theme="1"/>
      <name val="PMingLiu"/>
    </font>
    <font>
      <sz val="12"/>
      <color theme="1"/>
      <name val="Calibri"/>
      <scheme val="minor"/>
    </font>
    <font>
      <b/>
      <sz val="12"/>
      <color rgb="FFFF0000"/>
      <name val="PMingLiu"/>
    </font>
    <font>
      <b/>
      <sz val="12"/>
      <color theme="1"/>
      <name val="PMingLiu"/>
    </font>
    <font>
      <sz val="12"/>
      <color rgb="FFFF0000"/>
      <name val="Calibri"/>
    </font>
    <font>
      <sz val="12"/>
      <name val="Calibri"/>
    </font>
    <font>
      <sz val="12"/>
      <color rgb="FF7030A0"/>
      <name val="Arial"/>
    </font>
    <font>
      <sz val="12"/>
      <color theme="1"/>
      <name val="Arial"/>
    </font>
    <font>
      <sz val="12"/>
      <color rgb="FF0000FF"/>
      <name val="Calibri"/>
    </font>
    <font>
      <sz val="12"/>
      <color rgb="FF9900FF"/>
      <name val="Calibri"/>
    </font>
    <font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00FF"/>
      </left>
      <right/>
      <top style="thin">
        <color rgb="FF9900FF"/>
      </top>
      <bottom style="thin">
        <color rgb="FF9900FF"/>
      </bottom>
      <diagonal/>
    </border>
    <border>
      <left/>
      <right/>
      <top style="thin">
        <color rgb="FF9900FF"/>
      </top>
      <bottom style="thin">
        <color rgb="FF9900FF"/>
      </bottom>
      <diagonal/>
    </border>
    <border>
      <left/>
      <right style="thin">
        <color rgb="FF9900FF"/>
      </right>
      <top style="thin">
        <color rgb="FF9900FF"/>
      </top>
      <bottom style="thin">
        <color rgb="FF9900FF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7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9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80" fontId="4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81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B11" sqref="B11"/>
    </sheetView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9</v>
      </c>
      <c r="B3" s="3">
        <v>0</v>
      </c>
      <c r="C3" s="4">
        <f t="shared" ref="C3:C8" si="0">IF($B$11&gt;B3,IF($B$11&gt;B4,B4-B3,$B$11-B3),0)</f>
        <v>240</v>
      </c>
      <c r="D3" s="5">
        <v>1.68</v>
      </c>
      <c r="E3" s="6">
        <f ca="1">B14/C14</f>
        <v>1</v>
      </c>
      <c r="F3" s="7">
        <f t="shared" ref="F3:F8" ca="1" si="1">C3*D3*E3</f>
        <v>403.2</v>
      </c>
      <c r="G3" s="5">
        <v>1.68</v>
      </c>
      <c r="H3" s="8">
        <f ca="1">1-E3</f>
        <v>0</v>
      </c>
      <c r="I3" s="7">
        <f t="shared" ref="I3:I8" ca="1" si="2">C3*G3*H3</f>
        <v>0</v>
      </c>
    </row>
    <row r="4" spans="1:9" ht="15.75" customHeight="1" x14ac:dyDescent="0.2">
      <c r="A4" s="9" t="s">
        <v>10</v>
      </c>
      <c r="B4" s="10">
        <f>120*2</f>
        <v>240</v>
      </c>
      <c r="C4" s="4">
        <f t="shared" si="0"/>
        <v>260</v>
      </c>
      <c r="D4" s="5">
        <v>2.4500000000000002</v>
      </c>
      <c r="E4" s="6">
        <f t="shared" ref="E4:E8" ca="1" si="3">$E$3</f>
        <v>1</v>
      </c>
      <c r="F4" s="7">
        <f t="shared" ca="1" si="1"/>
        <v>637</v>
      </c>
      <c r="G4" s="5">
        <v>2.16</v>
      </c>
      <c r="H4" s="8">
        <f t="shared" ref="H4:H8" ca="1" si="4">$H$3</f>
        <v>0</v>
      </c>
      <c r="I4" s="7">
        <f t="shared" ca="1" si="2"/>
        <v>0</v>
      </c>
    </row>
    <row r="5" spans="1:9" ht="15.75" customHeight="1" x14ac:dyDescent="0.2">
      <c r="A5" s="9" t="s">
        <v>11</v>
      </c>
      <c r="B5" s="10">
        <f>330*2</f>
        <v>660</v>
      </c>
      <c r="C5" s="4">
        <f t="shared" si="0"/>
        <v>0</v>
      </c>
      <c r="D5" s="5">
        <v>3.7</v>
      </c>
      <c r="E5" s="6">
        <f t="shared" ca="1" si="3"/>
        <v>1</v>
      </c>
      <c r="F5" s="7">
        <f t="shared" ca="1" si="1"/>
        <v>0</v>
      </c>
      <c r="G5" s="5">
        <v>3.03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9" t="s">
        <v>12</v>
      </c>
      <c r="B6" s="10">
        <f>500*2</f>
        <v>1000</v>
      </c>
      <c r="C6" s="4">
        <f t="shared" si="0"/>
        <v>0</v>
      </c>
      <c r="D6" s="5">
        <v>5.04</v>
      </c>
      <c r="E6" s="6">
        <f t="shared" ca="1" si="3"/>
        <v>1</v>
      </c>
      <c r="F6" s="7">
        <f t="shared" ca="1" si="1"/>
        <v>0</v>
      </c>
      <c r="G6" s="5">
        <v>4.1399999999999997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9" t="s">
        <v>13</v>
      </c>
      <c r="B7" s="10">
        <f>700*2</f>
        <v>1400</v>
      </c>
      <c r="C7" s="4">
        <f t="shared" si="0"/>
        <v>0</v>
      </c>
      <c r="D7" s="5">
        <v>6.24</v>
      </c>
      <c r="E7" s="6">
        <f t="shared" ca="1" si="3"/>
        <v>1</v>
      </c>
      <c r="F7" s="7">
        <f t="shared" ca="1" si="1"/>
        <v>0</v>
      </c>
      <c r="G7" s="5">
        <v>5.07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9" t="s">
        <v>14</v>
      </c>
      <c r="B8" s="10">
        <f>1000*2</f>
        <v>2000</v>
      </c>
      <c r="C8" s="4">
        <f t="shared" si="0"/>
        <v>0</v>
      </c>
      <c r="D8" s="5">
        <v>8.4600000000000009</v>
      </c>
      <c r="E8" s="6">
        <f t="shared" ca="1" si="3"/>
        <v>1</v>
      </c>
      <c r="F8" s="7">
        <f t="shared" ca="1" si="1"/>
        <v>0</v>
      </c>
      <c r="G8" s="5">
        <v>6.63</v>
      </c>
      <c r="H8" s="8">
        <f t="shared" ca="1" si="4"/>
        <v>0</v>
      </c>
      <c r="I8" s="7">
        <f t="shared" ca="1" si="2"/>
        <v>0</v>
      </c>
    </row>
    <row r="9" spans="1:9" ht="15.75" customHeight="1" x14ac:dyDescent="0.2">
      <c r="A9" s="11" t="s">
        <v>15</v>
      </c>
      <c r="B9" s="12">
        <v>999999</v>
      </c>
      <c r="C9" s="4"/>
      <c r="D9" s="13"/>
      <c r="E9" s="13"/>
      <c r="F9" s="7">
        <f ca="1">SUM(F3:F8)</f>
        <v>1040.2</v>
      </c>
      <c r="G9" s="13"/>
      <c r="H9" s="13"/>
      <c r="I9" s="7">
        <f ca="1">SUM(I3:I8)</f>
        <v>0</v>
      </c>
    </row>
    <row r="10" spans="1:9" ht="15.75" customHeight="1" x14ac:dyDescent="0.2"/>
    <row r="11" spans="1:9" ht="15.75" customHeight="1" x14ac:dyDescent="0.2">
      <c r="A11" s="14" t="s">
        <v>16</v>
      </c>
      <c r="B11" s="15">
        <v>500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15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ROUNDDOWN(F9+I9,1)</f>
        <v>1040.2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-IF(B15=0,0,IF(B15*0.6&lt;=84,84,B15*0.6))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1040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/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26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9</v>
      </c>
      <c r="B3" s="3">
        <v>0</v>
      </c>
      <c r="C3" s="4">
        <f t="shared" ref="C3:C8" si="0">IF($B$11&gt;B3,IF($B$11&gt;B4,B4-B3,$B$11-B3),0)</f>
        <v>240</v>
      </c>
      <c r="D3" s="13">
        <f>ROUNDDOWN(1.68/1.05,7)</f>
        <v>1.6</v>
      </c>
      <c r="E3" s="6">
        <f ca="1">B14/C14</f>
        <v>1</v>
      </c>
      <c r="F3" s="7">
        <f t="shared" ref="F3:F8" ca="1" si="1">C3*D3*E3</f>
        <v>384</v>
      </c>
      <c r="G3" s="13">
        <f>ROUNDDOWN(1.68/1.05,7)</f>
        <v>1.6</v>
      </c>
      <c r="H3" s="8">
        <f ca="1">1-E3</f>
        <v>0</v>
      </c>
      <c r="I3" s="7">
        <f t="shared" ref="I3:I8" ca="1" si="2">C3*G3*H3</f>
        <v>0</v>
      </c>
    </row>
    <row r="4" spans="1:9" ht="15.75" customHeight="1" x14ac:dyDescent="0.2">
      <c r="A4" s="9" t="s">
        <v>10</v>
      </c>
      <c r="B4" s="10">
        <f>120*2</f>
        <v>240</v>
      </c>
      <c r="C4" s="4">
        <f t="shared" si="0"/>
        <v>420</v>
      </c>
      <c r="D4" s="13">
        <f>ROUNDDOWN(2.45/1.05,7)</f>
        <v>2.3333333000000001</v>
      </c>
      <c r="E4" s="6">
        <f t="shared" ref="E4:E8" ca="1" si="3">$E$3</f>
        <v>1</v>
      </c>
      <c r="F4" s="7">
        <f t="shared" ca="1" si="1"/>
        <v>979.99998600000004</v>
      </c>
      <c r="G4" s="13">
        <f>ROUNDDOWN(2.16/1.05,7)</f>
        <v>2.0571427999999998</v>
      </c>
      <c r="H4" s="8">
        <f t="shared" ref="H4:H8" ca="1" si="4">$H$3</f>
        <v>0</v>
      </c>
      <c r="I4" s="7">
        <f t="shared" ca="1" si="2"/>
        <v>0</v>
      </c>
    </row>
    <row r="5" spans="1:9" ht="15.75" customHeight="1" x14ac:dyDescent="0.2">
      <c r="A5" s="9" t="s">
        <v>11</v>
      </c>
      <c r="B5" s="10">
        <f>330*2</f>
        <v>660</v>
      </c>
      <c r="C5" s="4">
        <f t="shared" si="0"/>
        <v>340</v>
      </c>
      <c r="D5" s="13">
        <f>ROUNDDOWN(3.7/1.05,7)</f>
        <v>3.5238095</v>
      </c>
      <c r="E5" s="6">
        <f t="shared" ca="1" si="3"/>
        <v>1</v>
      </c>
      <c r="F5" s="7">
        <f t="shared" ca="1" si="1"/>
        <v>1198.0952299999999</v>
      </c>
      <c r="G5" s="13">
        <f>ROUNDDOWN(3.03/1.05,7)</f>
        <v>2.8857141999999998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9" t="s">
        <v>12</v>
      </c>
      <c r="B6" s="10">
        <f>500*2</f>
        <v>1000</v>
      </c>
      <c r="C6" s="4">
        <f t="shared" si="0"/>
        <v>400</v>
      </c>
      <c r="D6" s="13">
        <f>ROUNDDOWN(5.04/1.05,7)</f>
        <v>4.8</v>
      </c>
      <c r="E6" s="6">
        <f t="shared" ca="1" si="3"/>
        <v>1</v>
      </c>
      <c r="F6" s="7">
        <f t="shared" ca="1" si="1"/>
        <v>1920</v>
      </c>
      <c r="G6" s="13">
        <f>ROUNDDOWN(4.14/1.05,7)</f>
        <v>3.9428570999999999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9" t="s">
        <v>13</v>
      </c>
      <c r="B7" s="10">
        <f>700*2</f>
        <v>1400</v>
      </c>
      <c r="C7" s="4">
        <f t="shared" si="0"/>
        <v>600</v>
      </c>
      <c r="D7" s="13">
        <f>ROUNDDOWN(6.24/1.05,7)</f>
        <v>5.9428571000000003</v>
      </c>
      <c r="E7" s="6">
        <f t="shared" ca="1" si="3"/>
        <v>1</v>
      </c>
      <c r="F7" s="7">
        <f t="shared" ca="1" si="1"/>
        <v>3565.7142600000002</v>
      </c>
      <c r="G7" s="13">
        <f>ROUNDDOWN(5.07/1.05,7)</f>
        <v>4.8285714000000004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9" t="s">
        <v>14</v>
      </c>
      <c r="B8" s="10">
        <f>1000*2</f>
        <v>2000</v>
      </c>
      <c r="C8" s="4">
        <f t="shared" si="0"/>
        <v>1000</v>
      </c>
      <c r="D8" s="13">
        <f>ROUNDDOWN(8.46/1.05,7)</f>
        <v>8.0571427999999994</v>
      </c>
      <c r="E8" s="6">
        <f t="shared" ca="1" si="3"/>
        <v>1</v>
      </c>
      <c r="F8" s="7">
        <f t="shared" ca="1" si="1"/>
        <v>8057.1427999999996</v>
      </c>
      <c r="G8" s="13">
        <f>ROUNDDOWN(6.63/1.05,7)</f>
        <v>6.3142857000000001</v>
      </c>
      <c r="H8" s="8">
        <f t="shared" ca="1" si="4"/>
        <v>0</v>
      </c>
      <c r="I8" s="7">
        <f t="shared" ca="1" si="2"/>
        <v>0</v>
      </c>
    </row>
    <row r="9" spans="1:9" ht="15.75" customHeight="1" x14ac:dyDescent="0.2">
      <c r="A9" s="11" t="s">
        <v>15</v>
      </c>
      <c r="B9" s="12">
        <v>999999</v>
      </c>
      <c r="C9" s="4"/>
      <c r="D9" s="13"/>
      <c r="E9" s="13"/>
      <c r="F9" s="7">
        <f ca="1">SUM(F3:F8)</f>
        <v>16104.952276</v>
      </c>
      <c r="G9" s="13"/>
      <c r="H9" s="13"/>
      <c r="I9" s="7">
        <f ca="1">SUM(I3:I8)</f>
        <v>0</v>
      </c>
    </row>
    <row r="10" spans="1:9" ht="15.75" customHeight="1" x14ac:dyDescent="0.2"/>
    <row r="11" spans="1:9" ht="15.75" customHeight="1" x14ac:dyDescent="0.2">
      <c r="A11" s="14" t="s">
        <v>16</v>
      </c>
      <c r="B11" s="24">
        <v>3000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24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ROUNDDOWN(F9+I9,1)</f>
        <v>16104.9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-IF(B15=0,0,IF(B15*0.6/1.05&lt;=80,80,B15*0.6/1.05))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16105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/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27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28</v>
      </c>
      <c r="B3" s="3">
        <v>0</v>
      </c>
      <c r="C3" s="4">
        <f t="shared" ref="C3:C7" si="0">IF($B$11&gt;B3,IF($B$11&gt;B4,B4-B3,$B$11-B3),0)</f>
        <v>660</v>
      </c>
      <c r="D3" s="5">
        <v>2.61</v>
      </c>
      <c r="E3" s="6">
        <f ca="1">B14/C14</f>
        <v>1</v>
      </c>
      <c r="F3" s="7">
        <f t="shared" ref="F3:F7" ca="1" si="1">C3*D3*E3</f>
        <v>1722.6</v>
      </c>
      <c r="G3" s="5">
        <v>2.1800000000000002</v>
      </c>
      <c r="H3" s="8">
        <f ca="1">1-E3</f>
        <v>0</v>
      </c>
      <c r="I3" s="7">
        <f t="shared" ref="I3:I7" ca="1" si="2">C3*G3*H3</f>
        <v>0</v>
      </c>
    </row>
    <row r="4" spans="1:9" ht="15.75" customHeight="1" x14ac:dyDescent="0.2">
      <c r="A4" s="9" t="s">
        <v>29</v>
      </c>
      <c r="B4" s="10">
        <f>330*2</f>
        <v>660</v>
      </c>
      <c r="C4" s="4">
        <f t="shared" si="0"/>
        <v>740</v>
      </c>
      <c r="D4" s="5">
        <v>3.66</v>
      </c>
      <c r="E4" s="6">
        <f t="shared" ref="E4:E7" ca="1" si="3">$E$3</f>
        <v>1</v>
      </c>
      <c r="F4" s="7">
        <f t="shared" ca="1" si="1"/>
        <v>2708.4</v>
      </c>
      <c r="G4" s="5">
        <v>3</v>
      </c>
      <c r="H4" s="8">
        <f t="shared" ref="H4:H7" ca="1" si="4">$H$3</f>
        <v>0</v>
      </c>
      <c r="I4" s="7">
        <f t="shared" ca="1" si="2"/>
        <v>0</v>
      </c>
    </row>
    <row r="5" spans="1:9" ht="15.75" customHeight="1" x14ac:dyDescent="0.2">
      <c r="A5" s="9" t="s">
        <v>30</v>
      </c>
      <c r="B5" s="10">
        <f>700*2</f>
        <v>1400</v>
      </c>
      <c r="C5" s="4">
        <f t="shared" si="0"/>
        <v>515</v>
      </c>
      <c r="D5" s="5">
        <v>4.46</v>
      </c>
      <c r="E5" s="6">
        <f t="shared" ca="1" si="3"/>
        <v>1</v>
      </c>
      <c r="F5" s="7">
        <f t="shared" ca="1" si="1"/>
        <v>2296.9</v>
      </c>
      <c r="G5" s="5">
        <v>3.61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25" t="s">
        <v>31</v>
      </c>
      <c r="B6" s="10">
        <f>1500*2</f>
        <v>3000</v>
      </c>
      <c r="C6" s="4">
        <f t="shared" si="0"/>
        <v>0</v>
      </c>
      <c r="D6" s="5">
        <v>7.08</v>
      </c>
      <c r="E6" s="6">
        <f t="shared" ca="1" si="3"/>
        <v>1</v>
      </c>
      <c r="F6" s="7">
        <f t="shared" ca="1" si="1"/>
        <v>0</v>
      </c>
      <c r="G6" s="5">
        <v>5.56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25" t="s">
        <v>32</v>
      </c>
      <c r="B7" s="26">
        <v>6000</v>
      </c>
      <c r="C7" s="4">
        <f t="shared" si="0"/>
        <v>0</v>
      </c>
      <c r="D7" s="5">
        <v>7.43</v>
      </c>
      <c r="E7" s="6">
        <f t="shared" ca="1" si="3"/>
        <v>1</v>
      </c>
      <c r="F7" s="7">
        <f t="shared" ca="1" si="1"/>
        <v>0</v>
      </c>
      <c r="G7" s="5">
        <v>5.83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11" t="s">
        <v>15</v>
      </c>
      <c r="B8" s="12">
        <v>999999</v>
      </c>
      <c r="C8" s="4"/>
      <c r="D8" s="13"/>
      <c r="E8" s="13"/>
      <c r="F8" s="7">
        <f ca="1">SUM(F3:F7)</f>
        <v>6727.9</v>
      </c>
      <c r="G8" s="13"/>
      <c r="H8" s="13"/>
      <c r="I8" s="7">
        <f ca="1">SUM(I3:I7)</f>
        <v>0</v>
      </c>
    </row>
    <row r="9" spans="1:9" ht="15.75" customHeight="1" x14ac:dyDescent="0.2"/>
    <row r="10" spans="1:9" ht="15.75" customHeight="1" x14ac:dyDescent="0.2"/>
    <row r="11" spans="1:9" ht="15.75" customHeight="1" x14ac:dyDescent="0.2">
      <c r="A11" s="14" t="s">
        <v>16</v>
      </c>
      <c r="B11" s="15">
        <v>1915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19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ROUNDDOWN(F8+I8,1)</f>
        <v>6727.9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-IF(B15=0,0,IF(B15*0.6&lt;=84,84,B15*0.6))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6728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workbookViewId="0"/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33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28</v>
      </c>
      <c r="B3" s="3">
        <v>0</v>
      </c>
      <c r="C3" s="4">
        <f t="shared" ref="C3:C7" si="0">IF($B$11&gt;B3,IF($B$11&gt;B4,B4-B3,$B$11-B3),0)</f>
        <v>660</v>
      </c>
      <c r="D3" s="13">
        <f>ROUNDDOWN(2.61/1.05,7)</f>
        <v>2.4857141999999999</v>
      </c>
      <c r="E3" s="6">
        <f ca="1">B14/C14</f>
        <v>1</v>
      </c>
      <c r="F3" s="7">
        <f t="shared" ref="F3:F7" ca="1" si="1">C3*D3*E3</f>
        <v>1640.5713719999999</v>
      </c>
      <c r="G3" s="13">
        <f>ROUNDDOWN(2.18/1.05,7)</f>
        <v>2.0761904000000002</v>
      </c>
      <c r="H3" s="8">
        <f ca="1">1-E3</f>
        <v>0</v>
      </c>
      <c r="I3" s="7">
        <f t="shared" ref="I3:I7" ca="1" si="2">C3*G3*H3</f>
        <v>0</v>
      </c>
    </row>
    <row r="4" spans="1:9" ht="15.75" customHeight="1" x14ac:dyDescent="0.2">
      <c r="A4" s="9" t="s">
        <v>29</v>
      </c>
      <c r="B4" s="10">
        <f>330*2</f>
        <v>660</v>
      </c>
      <c r="C4" s="4">
        <f t="shared" si="0"/>
        <v>740</v>
      </c>
      <c r="D4" s="13">
        <f>ROUNDDOWN(3.66/1.05,7)</f>
        <v>3.4857141999999999</v>
      </c>
      <c r="E4" s="6">
        <f t="shared" ref="E4:E7" ca="1" si="3">$E$3</f>
        <v>1</v>
      </c>
      <c r="F4" s="7">
        <f t="shared" ca="1" si="1"/>
        <v>2579.428508</v>
      </c>
      <c r="G4" s="13">
        <f>ROUNDDOWN(3/1.05,7)</f>
        <v>2.8571428000000001</v>
      </c>
      <c r="H4" s="8">
        <f t="shared" ref="H4:H7" ca="1" si="4">$H$3</f>
        <v>0</v>
      </c>
      <c r="I4" s="7">
        <f t="shared" ca="1" si="2"/>
        <v>0</v>
      </c>
    </row>
    <row r="5" spans="1:9" ht="15.75" customHeight="1" x14ac:dyDescent="0.2">
      <c r="A5" s="9" t="s">
        <v>30</v>
      </c>
      <c r="B5" s="10">
        <f>700*2</f>
        <v>1400</v>
      </c>
      <c r="C5" s="4">
        <f t="shared" si="0"/>
        <v>1600</v>
      </c>
      <c r="D5" s="13">
        <f>ROUNDDOWN(4.46/1.05,7)</f>
        <v>4.2476190000000003</v>
      </c>
      <c r="E5" s="6">
        <f t="shared" ca="1" si="3"/>
        <v>1</v>
      </c>
      <c r="F5" s="7">
        <f t="shared" ca="1" si="1"/>
        <v>6796.1904000000004</v>
      </c>
      <c r="G5" s="13">
        <f>ROUNDDOWN(3.61/1.05,7)</f>
        <v>3.4380951999999998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25" t="s">
        <v>31</v>
      </c>
      <c r="B6" s="10">
        <f>1500*2</f>
        <v>3000</v>
      </c>
      <c r="C6" s="4">
        <f t="shared" si="0"/>
        <v>2000</v>
      </c>
      <c r="D6" s="13">
        <f>ROUNDDOWN(7.08/1.05,7)</f>
        <v>6.7428571000000002</v>
      </c>
      <c r="E6" s="6">
        <f t="shared" ca="1" si="3"/>
        <v>1</v>
      </c>
      <c r="F6" s="7">
        <f t="shared" ca="1" si="1"/>
        <v>13485.7142</v>
      </c>
      <c r="G6" s="13">
        <f>ROUNDDOWN(5.56/1.05,7)</f>
        <v>5.2952380000000003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25" t="s">
        <v>32</v>
      </c>
      <c r="B7" s="26">
        <v>6000</v>
      </c>
      <c r="C7" s="4">
        <f t="shared" si="0"/>
        <v>0</v>
      </c>
      <c r="D7" s="13">
        <f>ROUNDDOWN(7.43/1.05,7)</f>
        <v>7.0761903999999998</v>
      </c>
      <c r="E7" s="6">
        <f t="shared" ca="1" si="3"/>
        <v>1</v>
      </c>
      <c r="F7" s="7">
        <f t="shared" ca="1" si="1"/>
        <v>0</v>
      </c>
      <c r="G7" s="13">
        <f>ROUNDDOWN(5.83/1.05,7)</f>
        <v>5.5523809000000002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11" t="s">
        <v>15</v>
      </c>
      <c r="B8" s="12">
        <v>999999</v>
      </c>
      <c r="C8" s="4"/>
      <c r="D8" s="13"/>
      <c r="E8" s="13"/>
      <c r="F8" s="7">
        <f ca="1">SUM(F3:F7)</f>
        <v>24501.904479999997</v>
      </c>
      <c r="G8" s="13"/>
      <c r="H8" s="13"/>
      <c r="I8" s="7">
        <f ca="1">SUM(I3:I7)</f>
        <v>0</v>
      </c>
    </row>
    <row r="9" spans="1:9" ht="15.75" customHeight="1" x14ac:dyDescent="0.2"/>
    <row r="10" spans="1:9" ht="15.75" customHeight="1" x14ac:dyDescent="0.2"/>
    <row r="11" spans="1:9" ht="15.75" customHeight="1" x14ac:dyDescent="0.2">
      <c r="A11" s="14" t="s">
        <v>16</v>
      </c>
      <c r="B11" s="24">
        <v>5000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19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ROUNDDOWN(F8+I8,1)</f>
        <v>24501.9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-IF(B15=0,0,IF(B15*0.6/1.05&lt;=80,80,B15*0.6/1.05))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24502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"/>
  <sheetViews>
    <sheetView workbookViewId="0"/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34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28</v>
      </c>
      <c r="B3" s="3">
        <v>0</v>
      </c>
      <c r="C3" s="4">
        <f t="shared" ref="C3:C7" si="0">IF($B$11&gt;B3,IF($B$11&gt;B4,B4-B3,$B$11-B3),0)</f>
        <v>660</v>
      </c>
      <c r="D3" s="27">
        <f>2.61*1.6</f>
        <v>4.1760000000000002</v>
      </c>
      <c r="E3" s="6">
        <f ca="1">B14/C14</f>
        <v>1</v>
      </c>
      <c r="F3" s="7">
        <f t="shared" ref="F3:F7" ca="1" si="1">C3*D3*E3</f>
        <v>2756.1600000000003</v>
      </c>
      <c r="G3" s="27">
        <f>2.18*1.6</f>
        <v>3.4880000000000004</v>
      </c>
      <c r="H3" s="8">
        <f ca="1">1-E3</f>
        <v>0</v>
      </c>
      <c r="I3" s="7">
        <f t="shared" ref="I3:I7" ca="1" si="2">C3*G3*H3</f>
        <v>0</v>
      </c>
    </row>
    <row r="4" spans="1:9" ht="15.75" customHeight="1" x14ac:dyDescent="0.2">
      <c r="A4" s="9" t="s">
        <v>29</v>
      </c>
      <c r="B4" s="10">
        <f>330*2</f>
        <v>660</v>
      </c>
      <c r="C4" s="4">
        <f t="shared" si="0"/>
        <v>740</v>
      </c>
      <c r="D4" s="27">
        <f>3.66*1.6</f>
        <v>5.8560000000000008</v>
      </c>
      <c r="E4" s="6">
        <f t="shared" ref="E4:E7" ca="1" si="3">$E$3</f>
        <v>1</v>
      </c>
      <c r="F4" s="7">
        <f t="shared" ca="1" si="1"/>
        <v>4333.4400000000005</v>
      </c>
      <c r="G4" s="27">
        <f>3*1.6</f>
        <v>4.8000000000000007</v>
      </c>
      <c r="H4" s="8">
        <f t="shared" ref="H4:H7" ca="1" si="4">$H$3</f>
        <v>0</v>
      </c>
      <c r="I4" s="7">
        <f t="shared" ca="1" si="2"/>
        <v>0</v>
      </c>
    </row>
    <row r="5" spans="1:9" ht="15.75" customHeight="1" x14ac:dyDescent="0.2">
      <c r="A5" s="9" t="s">
        <v>30</v>
      </c>
      <c r="B5" s="10">
        <f>700*2</f>
        <v>1400</v>
      </c>
      <c r="C5" s="4">
        <f t="shared" si="0"/>
        <v>1600</v>
      </c>
      <c r="D5" s="27">
        <f>4.46*1.6</f>
        <v>7.1360000000000001</v>
      </c>
      <c r="E5" s="6">
        <f t="shared" ca="1" si="3"/>
        <v>1</v>
      </c>
      <c r="F5" s="7">
        <f t="shared" ca="1" si="1"/>
        <v>11417.6</v>
      </c>
      <c r="G5" s="27">
        <f>3.61*1.6</f>
        <v>5.7759999999999998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25" t="s">
        <v>31</v>
      </c>
      <c r="B6" s="10">
        <f>1500*2</f>
        <v>3000</v>
      </c>
      <c r="C6" s="4">
        <f t="shared" si="0"/>
        <v>3000</v>
      </c>
      <c r="D6" s="27">
        <f>7.08*1.6</f>
        <v>11.328000000000001</v>
      </c>
      <c r="E6" s="6">
        <f t="shared" ca="1" si="3"/>
        <v>1</v>
      </c>
      <c r="F6" s="7">
        <f t="shared" ca="1" si="1"/>
        <v>33984</v>
      </c>
      <c r="G6" s="27">
        <f>5.56*1.6</f>
        <v>8.895999999999999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25" t="s">
        <v>32</v>
      </c>
      <c r="B7" s="26">
        <v>6000</v>
      </c>
      <c r="C7" s="4">
        <f t="shared" si="0"/>
        <v>0</v>
      </c>
      <c r="D7" s="27">
        <f>7.43*1.6</f>
        <v>11.888</v>
      </c>
      <c r="E7" s="6">
        <f t="shared" ca="1" si="3"/>
        <v>1</v>
      </c>
      <c r="F7" s="7">
        <f t="shared" ca="1" si="1"/>
        <v>0</v>
      </c>
      <c r="G7" s="27">
        <f>5.83*1.6</f>
        <v>9.3280000000000012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11" t="s">
        <v>15</v>
      </c>
      <c r="B8" s="12">
        <v>999999</v>
      </c>
      <c r="C8" s="4"/>
      <c r="D8" s="13"/>
      <c r="E8" s="13"/>
      <c r="F8" s="7">
        <f ca="1">SUM(F3:F7)</f>
        <v>52491.199999999997</v>
      </c>
      <c r="G8" s="13"/>
      <c r="H8" s="13"/>
      <c r="I8" s="7">
        <f ca="1">SUM(I3:I7)</f>
        <v>0</v>
      </c>
    </row>
    <row r="9" spans="1:9" ht="15.75" customHeight="1" x14ac:dyDescent="0.2"/>
    <row r="10" spans="1:9" ht="15.75" customHeight="1" x14ac:dyDescent="0.2"/>
    <row r="11" spans="1:9" ht="15.75" customHeight="1" x14ac:dyDescent="0.2">
      <c r="A11" s="14" t="s">
        <v>16</v>
      </c>
      <c r="B11" s="24">
        <v>6000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19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ROUNDDOWN(F8+I8,1)</f>
        <v>52491.199999999997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-IF(B15=0,0,IF(B15*0.6&lt;=84,84,B15*0.6))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52491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"/>
  <sheetViews>
    <sheetView workbookViewId="0"/>
  </sheetViews>
  <sheetFormatPr defaultColWidth="11.21875" defaultRowHeight="15" customHeight="1" x14ac:dyDescent="0.2"/>
  <cols>
    <col min="1" max="1" width="22.31640625" customWidth="1"/>
    <col min="2" max="8" width="11.21875" customWidth="1"/>
    <col min="9" max="9" width="13.4375" customWidth="1"/>
    <col min="10" max="26" width="11.21875" customWidth="1"/>
  </cols>
  <sheetData>
    <row r="1" spans="1:9" ht="15.75" customHeight="1" x14ac:dyDescent="0.2">
      <c r="A1" s="28" t="s">
        <v>35</v>
      </c>
      <c r="B1" s="29"/>
      <c r="C1" s="29"/>
      <c r="D1" s="29"/>
      <c r="E1" s="29"/>
      <c r="F1" s="29"/>
      <c r="G1" s="29"/>
      <c r="H1" s="29"/>
      <c r="I1" s="29"/>
    </row>
    <row r="2" spans="1:9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1:9" ht="15.75" customHeight="1" x14ac:dyDescent="0.2">
      <c r="A3" s="2" t="s">
        <v>28</v>
      </c>
      <c r="B3" s="3">
        <v>0</v>
      </c>
      <c r="C3" s="4">
        <f t="shared" ref="C3:C7" si="0">IF($B$11&gt;B3,IF($B$11&gt;B4,B4-B3,$B$11-B3),0)</f>
        <v>660</v>
      </c>
      <c r="D3" s="13">
        <f>ROUNDDOWN(2.61*1.6/1.05,7)</f>
        <v>3.9771428000000002</v>
      </c>
      <c r="E3" s="6">
        <f ca="1">B14/C14</f>
        <v>1</v>
      </c>
      <c r="F3" s="7">
        <f t="shared" ref="F3:F7" ca="1" si="1">C3*D3*E3</f>
        <v>2624.914248</v>
      </c>
      <c r="G3" s="13">
        <f>ROUNDDOWN(2.18*1.6/1.05,7)</f>
        <v>3.3219047000000002</v>
      </c>
      <c r="H3" s="8">
        <f ca="1">1-E3</f>
        <v>0</v>
      </c>
      <c r="I3" s="7">
        <f t="shared" ref="I3:I7" ca="1" si="2">C3*G3*H3</f>
        <v>0</v>
      </c>
    </row>
    <row r="4" spans="1:9" ht="15.75" customHeight="1" x14ac:dyDescent="0.2">
      <c r="A4" s="9" t="s">
        <v>29</v>
      </c>
      <c r="B4" s="10">
        <f>330*2</f>
        <v>660</v>
      </c>
      <c r="C4" s="4">
        <f t="shared" si="0"/>
        <v>740</v>
      </c>
      <c r="D4" s="13">
        <f>ROUNDDOWN(3.66*1.6/1.05,7)</f>
        <v>5.5771427999999998</v>
      </c>
      <c r="E4" s="6">
        <f t="shared" ref="E4:E7" ca="1" si="3">$E$3</f>
        <v>1</v>
      </c>
      <c r="F4" s="7">
        <f t="shared" ca="1" si="1"/>
        <v>4127.0856720000002</v>
      </c>
      <c r="G4" s="13">
        <f>ROUNDDOWN(3*1.6/1.05,7)</f>
        <v>4.5714284999999997</v>
      </c>
      <c r="H4" s="8">
        <f t="shared" ref="H4:H7" ca="1" si="4">$H$3</f>
        <v>0</v>
      </c>
      <c r="I4" s="7">
        <f t="shared" ca="1" si="2"/>
        <v>0</v>
      </c>
    </row>
    <row r="5" spans="1:9" ht="15.75" customHeight="1" x14ac:dyDescent="0.2">
      <c r="A5" s="9" t="s">
        <v>30</v>
      </c>
      <c r="B5" s="10">
        <f>700*2</f>
        <v>1400</v>
      </c>
      <c r="C5" s="4">
        <f t="shared" si="0"/>
        <v>1600</v>
      </c>
      <c r="D5" s="13">
        <f>ROUNDDOWN(4.46*1.6/1.05,7)</f>
        <v>6.7961904000000004</v>
      </c>
      <c r="E5" s="6">
        <f t="shared" ca="1" si="3"/>
        <v>1</v>
      </c>
      <c r="F5" s="7">
        <f t="shared" ca="1" si="1"/>
        <v>10873.904640000001</v>
      </c>
      <c r="G5" s="13">
        <f>ROUNDDOWN(3.61*1.6/1.05,7)</f>
        <v>5.5009522999999998</v>
      </c>
      <c r="H5" s="8">
        <f t="shared" ca="1" si="4"/>
        <v>0</v>
      </c>
      <c r="I5" s="7">
        <f t="shared" ca="1" si="2"/>
        <v>0</v>
      </c>
    </row>
    <row r="6" spans="1:9" ht="15.75" customHeight="1" x14ac:dyDescent="0.2">
      <c r="A6" s="25" t="s">
        <v>31</v>
      </c>
      <c r="B6" s="10">
        <f>1500*2</f>
        <v>3000</v>
      </c>
      <c r="C6" s="4">
        <f t="shared" si="0"/>
        <v>3000</v>
      </c>
      <c r="D6" s="13">
        <f>ROUNDDOWN(7.08*1.6/1.05,7)</f>
        <v>10.7885714</v>
      </c>
      <c r="E6" s="6">
        <f t="shared" ca="1" si="3"/>
        <v>1</v>
      </c>
      <c r="F6" s="7">
        <f t="shared" ca="1" si="1"/>
        <v>32365.714200000002</v>
      </c>
      <c r="G6" s="13">
        <f>ROUNDDOWN(5.56*1.6/1.05,7)</f>
        <v>8.4723808999999992</v>
      </c>
      <c r="H6" s="8">
        <f t="shared" ca="1" si="4"/>
        <v>0</v>
      </c>
      <c r="I6" s="7">
        <f t="shared" ca="1" si="2"/>
        <v>0</v>
      </c>
    </row>
    <row r="7" spans="1:9" ht="15.75" customHeight="1" x14ac:dyDescent="0.2">
      <c r="A7" s="25" t="s">
        <v>32</v>
      </c>
      <c r="B7" s="26">
        <v>6000</v>
      </c>
      <c r="C7" s="4">
        <f t="shared" si="0"/>
        <v>0</v>
      </c>
      <c r="D7" s="13">
        <f>ROUNDDOWN(7.43*1.6/1.05,7)</f>
        <v>11.321904699999999</v>
      </c>
      <c r="E7" s="6">
        <f t="shared" ca="1" si="3"/>
        <v>1</v>
      </c>
      <c r="F7" s="7">
        <f t="shared" ca="1" si="1"/>
        <v>0</v>
      </c>
      <c r="G7" s="13">
        <f>ROUNDDOWN(5.83*1.6/1.05,7)</f>
        <v>8.8838094999999999</v>
      </c>
      <c r="H7" s="8">
        <f t="shared" ca="1" si="4"/>
        <v>0</v>
      </c>
      <c r="I7" s="7">
        <f t="shared" ca="1" si="2"/>
        <v>0</v>
      </c>
    </row>
    <row r="8" spans="1:9" ht="15.75" customHeight="1" x14ac:dyDescent="0.2">
      <c r="A8" s="11" t="s">
        <v>15</v>
      </c>
      <c r="B8" s="12">
        <v>999999</v>
      </c>
      <c r="C8" s="4"/>
      <c r="D8" s="13"/>
      <c r="E8" s="13"/>
      <c r="F8" s="7">
        <f ca="1">SUM(F3:F7)</f>
        <v>49991.618760000005</v>
      </c>
      <c r="G8" s="13"/>
      <c r="H8" s="13"/>
      <c r="I8" s="7">
        <f ca="1">SUM(I3:I7)</f>
        <v>0</v>
      </c>
    </row>
    <row r="9" spans="1:9" ht="15.75" customHeight="1" x14ac:dyDescent="0.2"/>
    <row r="10" spans="1:9" ht="15.75" customHeight="1" x14ac:dyDescent="0.2"/>
    <row r="11" spans="1:9" ht="15.75" customHeight="1" x14ac:dyDescent="0.2">
      <c r="A11" s="14" t="s">
        <v>16</v>
      </c>
      <c r="B11" s="24">
        <v>6000</v>
      </c>
    </row>
    <row r="12" spans="1:9" ht="15.75" customHeight="1" x14ac:dyDescent="0.15">
      <c r="A12" s="16" t="s">
        <v>17</v>
      </c>
      <c r="B12" s="17">
        <f ca="1">DATE(YEAR(TODAY()),6,1)</f>
        <v>45444</v>
      </c>
      <c r="C12" s="18">
        <f ca="1">DATE(YEAR(TODAY()),9,30)</f>
        <v>45565</v>
      </c>
      <c r="D12" s="19"/>
      <c r="E12" s="19"/>
      <c r="F12" s="19"/>
      <c r="G12" s="19"/>
      <c r="H12" s="19"/>
      <c r="I12" s="19"/>
    </row>
    <row r="13" spans="1:9" ht="15.75" customHeight="1" x14ac:dyDescent="0.2">
      <c r="A13" s="14" t="s">
        <v>18</v>
      </c>
      <c r="B13" s="20">
        <f ca="1">C13-60</f>
        <v>45463</v>
      </c>
      <c r="C13" s="20">
        <f ca="1">TODAY()</f>
        <v>45523</v>
      </c>
      <c r="D13" s="30" t="str">
        <f ca="1">"(輸入格式為："&amp;YEAR(TODAY())&amp;"/4/1)"</f>
        <v>(輸入格式為：2024/4/1)</v>
      </c>
      <c r="E13" s="29"/>
      <c r="F13" s="29"/>
      <c r="G13" s="29"/>
      <c r="H13" s="29"/>
      <c r="I13" s="29"/>
    </row>
    <row r="14" spans="1:9" ht="15.75" customHeight="1" x14ac:dyDescent="0.2">
      <c r="A14" s="14" t="s">
        <v>19</v>
      </c>
      <c r="B14" s="19">
        <f ca="1">MAX(IF(AND(B13&lt;=B12,C13&gt;C12),C12-B12,IF(AND(B13&lt;=B12,C13&lt;=C12),C13-B12,IF(AND(B13&gt;B12,C13&gt;C12),C12-B13,IF(AND(B13&gt;B12,C13&lt;=C12),C13-B13,""))))+1,0)</f>
        <v>61</v>
      </c>
      <c r="C14" s="14">
        <f ca="1">C13-B13+1</f>
        <v>61</v>
      </c>
      <c r="D14" s="19"/>
      <c r="E14" s="19"/>
      <c r="F14" s="19"/>
      <c r="G14" s="19"/>
      <c r="H14" s="19"/>
      <c r="I14" s="19"/>
    </row>
    <row r="15" spans="1:9" ht="15.75" customHeight="1" x14ac:dyDescent="0.2">
      <c r="A15" s="14" t="s">
        <v>20</v>
      </c>
      <c r="B15" s="19">
        <v>0</v>
      </c>
    </row>
    <row r="16" spans="1:9" ht="15.75" customHeight="1" x14ac:dyDescent="0.2"/>
    <row r="17" spans="1:12" ht="15.75" customHeight="1" x14ac:dyDescent="0.2">
      <c r="A17" s="21" t="s">
        <v>15</v>
      </c>
      <c r="B17" s="22">
        <f ca="1">ROUNDDOWN(F8+I8,1)</f>
        <v>49991.6</v>
      </c>
    </row>
    <row r="18" spans="1:12" ht="15.75" customHeight="1" x14ac:dyDescent="0.2">
      <c r="A18" s="21" t="s">
        <v>21</v>
      </c>
      <c r="B18" s="23">
        <v>0</v>
      </c>
    </row>
    <row r="19" spans="1:12" ht="15.75" customHeight="1" x14ac:dyDescent="0.2">
      <c r="A19" s="21" t="s">
        <v>22</v>
      </c>
      <c r="B19" s="22">
        <f>-IF(B15=0,0,IF(B15*0.6/1.05&lt;=80,80,B15*0.6/1.05))</f>
        <v>0</v>
      </c>
    </row>
    <row r="20" spans="1:12" ht="15.75" customHeight="1" x14ac:dyDescent="0.2">
      <c r="A20" s="21" t="s">
        <v>23</v>
      </c>
      <c r="B20" s="23">
        <v>0</v>
      </c>
    </row>
    <row r="21" spans="1:12" ht="15.75" customHeight="1" x14ac:dyDescent="0.2">
      <c r="A21" s="21" t="s">
        <v>24</v>
      </c>
      <c r="B21" s="22">
        <f ca="1">ROUND(SUM(B17:B20),0)</f>
        <v>49992</v>
      </c>
    </row>
    <row r="22" spans="1:12" ht="15.75" customHeight="1" x14ac:dyDescent="0.2"/>
    <row r="23" spans="1:12" x14ac:dyDescent="0.2">
      <c r="A23" s="31" t="s">
        <v>25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A1:I1"/>
    <mergeCell ref="D13:I13"/>
    <mergeCell ref="A23:L23"/>
  </mergeCells>
  <printOptions horizontalCentered="1" verticalCentered="1"/>
  <pageMargins left="0.78740157480314965" right="0.78740157480314965" top="0.78740157480314965" bottom="0.78740157480314965" header="0" footer="0"/>
  <pageSetup paperSize="9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住家雙月</vt:lpstr>
      <vt:lpstr>住家雙月(離島)</vt:lpstr>
      <vt:lpstr>公司雙月</vt:lpstr>
      <vt:lpstr>公司雙月(離島)</vt:lpstr>
      <vt:lpstr>臨時用電</vt:lpstr>
      <vt:lpstr>臨時用電(離島)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 Lin</dc:creator>
  <dcterms:created xsi:type="dcterms:W3CDTF">2024-08-19T07:17:15Z</dcterms:created>
</cp:coreProperties>
</file>