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AppendixTables/Final Electricity Journal - Supplementary Material/"/>
    </mc:Choice>
  </mc:AlternateContent>
  <xr:revisionPtr revIDLastSave="0" documentId="13_ncr:1_{69D0CD6D-A55D-804F-8B95-378BB6952B15}" xr6:coauthVersionLast="47" xr6:coauthVersionMax="47" xr10:uidLastSave="{00000000-0000-0000-0000-000000000000}"/>
  <bookViews>
    <workbookView xWindow="0" yWindow="500" windowWidth="25600" windowHeight="14100" activeTab="2" xr2:uid="{24B63781-1AA7-5643-9B66-A0DE1D1C108F}"/>
  </bookViews>
  <sheets>
    <sheet name="Core CPI Series" sheetId="11" r:id="rId1"/>
    <sheet name="Fig 2A - Residential Rates" sheetId="2" r:id="rId2"/>
    <sheet name="Fig 2B - Commercial Rates" sheetId="3" r:id="rId3"/>
    <sheet name="Fig 3 - IOU Rate Base" sheetId="6" r:id="rId4"/>
    <sheet name="Fig 6 - IOU O&amp;M" sheetId="5" r:id="rId5"/>
    <sheet name="Fig 8 - POU Util. Plant" sheetId="7" r:id="rId6"/>
    <sheet name="Fig 9 - POU O&amp;M" sheetId="4" r:id="rId7"/>
    <sheet name="Fig 10 - CCA JRCs" sheetId="8" r:id="rId8"/>
    <sheet name="PUDL - Extended IOU O&amp;M" sheetId="10" r:id="rId9"/>
    <sheet name="EIA 861 - CA LSEs" sheetId="12" r:id="rId10"/>
    <sheet name="Table 1 - 2022 Sales" sheetId="9" r:id="rId11"/>
  </sheets>
  <definedNames>
    <definedName name="_xlnm._FilterDatabase" localSheetId="9" hidden="1">'EIA 861 - CA LSEs'!$A$1:$C$10</definedName>
    <definedName name="_xlnm._FilterDatabase" localSheetId="1" hidden="1">'Fig 2A - Residential Rates'!$A$1:$L$111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F57" i="2"/>
  <c r="F58" i="2"/>
  <c r="F59" i="2"/>
  <c r="F60" i="2"/>
  <c r="F61" i="2"/>
  <c r="F56" i="2"/>
  <c r="F41" i="2"/>
  <c r="I56" i="2" s="1"/>
  <c r="F42" i="2"/>
  <c r="I57" i="2" s="1"/>
  <c r="F43" i="2"/>
  <c r="I58" i="2" s="1"/>
  <c r="F44" i="2"/>
  <c r="I59" i="2" s="1"/>
  <c r="F45" i="2"/>
  <c r="I60" i="2" s="1"/>
  <c r="F46" i="2"/>
  <c r="I61" i="2" s="1"/>
  <c r="E16" i="3"/>
  <c r="E82" i="3" s="1"/>
  <c r="H82" i="3" s="1"/>
  <c r="I15" i="3" l="1"/>
  <c r="I14" i="3"/>
  <c r="I13" i="3"/>
  <c r="I12" i="3"/>
  <c r="I11" i="3"/>
  <c r="I10" i="3"/>
  <c r="I9" i="3"/>
  <c r="I8" i="3"/>
  <c r="I7" i="3"/>
  <c r="I6" i="3"/>
  <c r="I5" i="3"/>
  <c r="I4" i="3"/>
  <c r="I3" i="3"/>
  <c r="I2" i="3"/>
  <c r="N3" i="9"/>
  <c r="N9" i="9" s="1"/>
  <c r="N4" i="9"/>
  <c r="N5" i="9"/>
  <c r="N6" i="9"/>
  <c r="N7" i="9"/>
  <c r="N8" i="9"/>
  <c r="N2" i="9"/>
  <c r="K9" i="9"/>
  <c r="L9" i="9"/>
  <c r="M9" i="9"/>
  <c r="J9" i="9"/>
  <c r="C7" i="12"/>
  <c r="C3" i="12"/>
  <c r="C10" i="12"/>
  <c r="C9" i="12"/>
  <c r="C2" i="12"/>
  <c r="C4" i="12"/>
  <c r="C6" i="12"/>
  <c r="C5" i="12"/>
  <c r="C12" i="12"/>
  <c r="C8" i="12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2" i="10"/>
  <c r="G32" i="8"/>
  <c r="G31" i="8"/>
  <c r="G30" i="8"/>
  <c r="G29" i="8"/>
  <c r="G28" i="8"/>
  <c r="G27" i="8"/>
  <c r="G26" i="8"/>
  <c r="G25" i="8"/>
  <c r="G24" i="8"/>
  <c r="G23" i="8"/>
  <c r="G17" i="8"/>
  <c r="G16" i="8"/>
  <c r="G15" i="8"/>
  <c r="G14" i="8"/>
  <c r="G13" i="8"/>
  <c r="G12" i="8"/>
  <c r="G11" i="8"/>
  <c r="G10" i="8"/>
  <c r="G9" i="8"/>
  <c r="G8" i="8"/>
  <c r="G7" i="8"/>
  <c r="G6" i="8"/>
  <c r="I3" i="7" l="1"/>
  <c r="J3" i="7"/>
  <c r="K3" i="7"/>
  <c r="I4" i="7"/>
  <c r="J4" i="7"/>
  <c r="K4" i="7"/>
  <c r="I5" i="7"/>
  <c r="J5" i="7"/>
  <c r="K5" i="7"/>
  <c r="I6" i="7"/>
  <c r="J6" i="7"/>
  <c r="K6" i="7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J17" i="7"/>
  <c r="K17" i="7"/>
  <c r="I18" i="7"/>
  <c r="J18" i="7"/>
  <c r="K18" i="7"/>
  <c r="I19" i="7"/>
  <c r="J19" i="7"/>
  <c r="K19" i="7"/>
  <c r="J2" i="7"/>
  <c r="K2" i="7"/>
  <c r="I2" i="7"/>
  <c r="Z3" i="6"/>
  <c r="AA3" i="6"/>
  <c r="AB3" i="6"/>
  <c r="Z4" i="6"/>
  <c r="AA4" i="6"/>
  <c r="AB4" i="6"/>
  <c r="Z5" i="6"/>
  <c r="AA5" i="6"/>
  <c r="AB5" i="6"/>
  <c r="Z6" i="6"/>
  <c r="AA6" i="6"/>
  <c r="AB6" i="6"/>
  <c r="Z7" i="6"/>
  <c r="AA7" i="6"/>
  <c r="AB7" i="6"/>
  <c r="Z8" i="6"/>
  <c r="AA8" i="6"/>
  <c r="AB8" i="6"/>
  <c r="Z9" i="6"/>
  <c r="AA9" i="6"/>
  <c r="AB9" i="6"/>
  <c r="Z10" i="6"/>
  <c r="AA10" i="6"/>
  <c r="AB10" i="6"/>
  <c r="Z11" i="6"/>
  <c r="AA11" i="6"/>
  <c r="AB11" i="6"/>
  <c r="Z12" i="6"/>
  <c r="AA12" i="6"/>
  <c r="AB12" i="6"/>
  <c r="Z13" i="6"/>
  <c r="AA13" i="6"/>
  <c r="AB13" i="6"/>
  <c r="Z14" i="6"/>
  <c r="AA14" i="6"/>
  <c r="AB14" i="6"/>
  <c r="Z15" i="6"/>
  <c r="AA15" i="6"/>
  <c r="AB15" i="6"/>
  <c r="Z16" i="6"/>
  <c r="AA16" i="6"/>
  <c r="AB16" i="6"/>
  <c r="Z17" i="6"/>
  <c r="AA17" i="6"/>
  <c r="AB17" i="6"/>
  <c r="Z18" i="6"/>
  <c r="AA18" i="6"/>
  <c r="AB18" i="6"/>
  <c r="AA2" i="6"/>
  <c r="AB2" i="6"/>
  <c r="Z2" i="6"/>
  <c r="Q3" i="6"/>
  <c r="R3" i="6"/>
  <c r="S3" i="6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R2" i="6"/>
  <c r="S2" i="6"/>
  <c r="Q2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I2" i="6"/>
  <c r="J2" i="6"/>
  <c r="H2" i="6"/>
  <c r="O87" i="5"/>
  <c r="N87" i="5"/>
  <c r="M87" i="5"/>
  <c r="I87" i="5"/>
  <c r="O86" i="5"/>
  <c r="N86" i="5"/>
  <c r="M86" i="5"/>
  <c r="I86" i="5"/>
  <c r="O85" i="5"/>
  <c r="N85" i="5"/>
  <c r="M85" i="5"/>
  <c r="I85" i="5"/>
  <c r="O84" i="5"/>
  <c r="N84" i="5"/>
  <c r="M84" i="5"/>
  <c r="I84" i="5"/>
  <c r="O83" i="5"/>
  <c r="N83" i="5"/>
  <c r="M83" i="5"/>
  <c r="I83" i="5"/>
  <c r="O82" i="5"/>
  <c r="N82" i="5"/>
  <c r="M82" i="5"/>
  <c r="I82" i="5"/>
  <c r="O81" i="5"/>
  <c r="N81" i="5"/>
  <c r="M81" i="5"/>
  <c r="I81" i="5"/>
  <c r="O80" i="5"/>
  <c r="N80" i="5"/>
  <c r="M80" i="5"/>
  <c r="I80" i="5"/>
  <c r="O79" i="5"/>
  <c r="N79" i="5"/>
  <c r="M79" i="5"/>
  <c r="I79" i="5"/>
  <c r="O78" i="5"/>
  <c r="N78" i="5"/>
  <c r="M78" i="5"/>
  <c r="I78" i="5"/>
  <c r="O77" i="5"/>
  <c r="N77" i="5"/>
  <c r="M77" i="5"/>
  <c r="I77" i="5"/>
  <c r="O76" i="5"/>
  <c r="N76" i="5"/>
  <c r="M76" i="5"/>
  <c r="I76" i="5"/>
  <c r="O75" i="5"/>
  <c r="N75" i="5"/>
  <c r="M75" i="5"/>
  <c r="I75" i="5"/>
  <c r="O74" i="5"/>
  <c r="N74" i="5"/>
  <c r="M74" i="5"/>
  <c r="I74" i="5"/>
  <c r="O73" i="5"/>
  <c r="N73" i="5"/>
  <c r="M73" i="5"/>
  <c r="I73" i="5"/>
  <c r="O72" i="5"/>
  <c r="N72" i="5"/>
  <c r="M72" i="5"/>
  <c r="I72" i="5"/>
  <c r="O71" i="5"/>
  <c r="N71" i="5"/>
  <c r="M71" i="5"/>
  <c r="I71" i="5"/>
  <c r="O70" i="5"/>
  <c r="N70" i="5"/>
  <c r="M70" i="5"/>
  <c r="I70" i="5"/>
  <c r="O69" i="5"/>
  <c r="N69" i="5"/>
  <c r="M69" i="5"/>
  <c r="I69" i="5"/>
  <c r="O68" i="5"/>
  <c r="N68" i="5"/>
  <c r="M68" i="5"/>
  <c r="I68" i="5"/>
  <c r="O67" i="5"/>
  <c r="N67" i="5"/>
  <c r="M67" i="5"/>
  <c r="I67" i="5"/>
  <c r="O66" i="5"/>
  <c r="N66" i="5"/>
  <c r="M66" i="5"/>
  <c r="I66" i="5"/>
  <c r="O65" i="5"/>
  <c r="N65" i="5"/>
  <c r="M65" i="5"/>
  <c r="I65" i="5"/>
  <c r="O64" i="5"/>
  <c r="N64" i="5"/>
  <c r="M64" i="5"/>
  <c r="I64" i="5"/>
  <c r="O63" i="5"/>
  <c r="N63" i="5"/>
  <c r="M63" i="5"/>
  <c r="I63" i="5"/>
  <c r="O62" i="5"/>
  <c r="N62" i="5"/>
  <c r="M62" i="5"/>
  <c r="I62" i="5"/>
  <c r="O61" i="5"/>
  <c r="N61" i="5"/>
  <c r="M61" i="5"/>
  <c r="I61" i="5"/>
  <c r="O60" i="5"/>
  <c r="N60" i="5"/>
  <c r="M60" i="5"/>
  <c r="I60" i="5"/>
  <c r="O59" i="5"/>
  <c r="N59" i="5"/>
  <c r="M59" i="5"/>
  <c r="I59" i="5"/>
  <c r="O58" i="5"/>
  <c r="N58" i="5"/>
  <c r="M58" i="5"/>
  <c r="I58" i="5"/>
  <c r="O57" i="5"/>
  <c r="N57" i="5"/>
  <c r="M57" i="5"/>
  <c r="I57" i="5"/>
  <c r="O56" i="5"/>
  <c r="N56" i="5"/>
  <c r="M56" i="5"/>
  <c r="I56" i="5"/>
  <c r="O55" i="5"/>
  <c r="N55" i="5"/>
  <c r="M55" i="5"/>
  <c r="I55" i="5"/>
  <c r="O54" i="5"/>
  <c r="N54" i="5"/>
  <c r="M54" i="5"/>
  <c r="I54" i="5"/>
  <c r="O53" i="5"/>
  <c r="N53" i="5"/>
  <c r="M53" i="5"/>
  <c r="I53" i="5"/>
  <c r="O52" i="5"/>
  <c r="N52" i="5"/>
  <c r="M52" i="5"/>
  <c r="I52" i="5"/>
  <c r="O51" i="5"/>
  <c r="N51" i="5"/>
  <c r="M51" i="5"/>
  <c r="I51" i="5"/>
  <c r="O50" i="5"/>
  <c r="N50" i="5"/>
  <c r="M50" i="5"/>
  <c r="I50" i="5"/>
  <c r="O49" i="5"/>
  <c r="N49" i="5"/>
  <c r="M49" i="5"/>
  <c r="I49" i="5"/>
  <c r="O48" i="5"/>
  <c r="N48" i="5"/>
  <c r="M48" i="5"/>
  <c r="I48" i="5"/>
  <c r="O47" i="5"/>
  <c r="N47" i="5"/>
  <c r="M47" i="5"/>
  <c r="I47" i="5"/>
  <c r="O46" i="5"/>
  <c r="N46" i="5"/>
  <c r="M46" i="5"/>
  <c r="I46" i="5"/>
  <c r="O45" i="5"/>
  <c r="N45" i="5"/>
  <c r="M45" i="5"/>
  <c r="I45" i="5"/>
  <c r="O44" i="5"/>
  <c r="N44" i="5"/>
  <c r="M44" i="5"/>
  <c r="I44" i="5"/>
  <c r="O43" i="5"/>
  <c r="N43" i="5"/>
  <c r="M43" i="5"/>
  <c r="I43" i="5"/>
  <c r="O42" i="5"/>
  <c r="N42" i="5"/>
  <c r="M42" i="5"/>
  <c r="I42" i="5"/>
  <c r="O41" i="5"/>
  <c r="N41" i="5"/>
  <c r="M41" i="5"/>
  <c r="I41" i="5"/>
  <c r="O40" i="5"/>
  <c r="N40" i="5"/>
  <c r="M40" i="5"/>
  <c r="I40" i="5"/>
  <c r="O39" i="5"/>
  <c r="N39" i="5"/>
  <c r="M39" i="5"/>
  <c r="I39" i="5"/>
  <c r="O38" i="5"/>
  <c r="N38" i="5"/>
  <c r="M38" i="5"/>
  <c r="I38" i="5"/>
  <c r="O37" i="5"/>
  <c r="N37" i="5"/>
  <c r="M37" i="5"/>
  <c r="I37" i="5"/>
  <c r="O36" i="5"/>
  <c r="N36" i="5"/>
  <c r="M36" i="5"/>
  <c r="I36" i="5"/>
  <c r="O35" i="5"/>
  <c r="N35" i="5"/>
  <c r="M35" i="5"/>
  <c r="I35" i="5"/>
  <c r="O34" i="5"/>
  <c r="N34" i="5"/>
  <c r="M34" i="5"/>
  <c r="I34" i="5"/>
  <c r="O33" i="5"/>
  <c r="N33" i="5"/>
  <c r="M33" i="5"/>
  <c r="I33" i="5"/>
  <c r="O32" i="5"/>
  <c r="N32" i="5"/>
  <c r="M32" i="5"/>
  <c r="I32" i="5"/>
  <c r="O31" i="5"/>
  <c r="N31" i="5"/>
  <c r="M31" i="5"/>
  <c r="I31" i="5"/>
  <c r="O30" i="5"/>
  <c r="N30" i="5"/>
  <c r="M30" i="5"/>
  <c r="I30" i="5"/>
  <c r="O29" i="5"/>
  <c r="N29" i="5"/>
  <c r="M29" i="5"/>
  <c r="I29" i="5"/>
  <c r="O28" i="5"/>
  <c r="N28" i="5"/>
  <c r="M28" i="5"/>
  <c r="I28" i="5"/>
  <c r="O27" i="5"/>
  <c r="N27" i="5"/>
  <c r="M27" i="5"/>
  <c r="I27" i="5"/>
  <c r="O26" i="5"/>
  <c r="N26" i="5"/>
  <c r="M26" i="5"/>
  <c r="I26" i="5"/>
  <c r="O25" i="5"/>
  <c r="N25" i="5"/>
  <c r="M25" i="5"/>
  <c r="I25" i="5"/>
  <c r="O24" i="5"/>
  <c r="N24" i="5"/>
  <c r="M24" i="5"/>
  <c r="I24" i="5"/>
  <c r="O23" i="5"/>
  <c r="N23" i="5"/>
  <c r="M23" i="5"/>
  <c r="I23" i="5"/>
  <c r="O22" i="5"/>
  <c r="N22" i="5"/>
  <c r="M22" i="5"/>
  <c r="I22" i="5"/>
  <c r="O21" i="5"/>
  <c r="N21" i="5"/>
  <c r="M21" i="5"/>
  <c r="I21" i="5"/>
  <c r="O20" i="5"/>
  <c r="N20" i="5"/>
  <c r="M20" i="5"/>
  <c r="I20" i="5"/>
  <c r="O19" i="5"/>
  <c r="N19" i="5"/>
  <c r="M19" i="5"/>
  <c r="I19" i="5"/>
  <c r="O18" i="5"/>
  <c r="N18" i="5"/>
  <c r="M18" i="5"/>
  <c r="I18" i="5"/>
  <c r="O17" i="5"/>
  <c r="N17" i="5"/>
  <c r="M17" i="5"/>
  <c r="I17" i="5"/>
  <c r="O16" i="5"/>
  <c r="N16" i="5"/>
  <c r="M16" i="5"/>
  <c r="I16" i="5"/>
  <c r="O15" i="5"/>
  <c r="N15" i="5"/>
  <c r="M15" i="5"/>
  <c r="I15" i="5"/>
  <c r="O14" i="5"/>
  <c r="N14" i="5"/>
  <c r="M14" i="5"/>
  <c r="I14" i="5"/>
  <c r="O13" i="5"/>
  <c r="N13" i="5"/>
  <c r="M13" i="5"/>
  <c r="I13" i="5"/>
  <c r="O12" i="5"/>
  <c r="N12" i="5"/>
  <c r="M12" i="5"/>
  <c r="I12" i="5"/>
  <c r="O11" i="5"/>
  <c r="N11" i="5"/>
  <c r="M11" i="5"/>
  <c r="I11" i="5"/>
  <c r="O10" i="5"/>
  <c r="N10" i="5"/>
  <c r="M10" i="5"/>
  <c r="I10" i="5"/>
  <c r="O9" i="5"/>
  <c r="N9" i="5"/>
  <c r="M9" i="5"/>
  <c r="I9" i="5"/>
  <c r="O8" i="5"/>
  <c r="N8" i="5"/>
  <c r="M8" i="5"/>
  <c r="I8" i="5"/>
  <c r="O7" i="5"/>
  <c r="N7" i="5"/>
  <c r="M7" i="5"/>
  <c r="I7" i="5"/>
  <c r="O6" i="5"/>
  <c r="N6" i="5"/>
  <c r="M6" i="5"/>
  <c r="I6" i="5"/>
  <c r="O5" i="5"/>
  <c r="N5" i="5"/>
  <c r="M5" i="5"/>
  <c r="I5" i="5"/>
  <c r="O4" i="5"/>
  <c r="N4" i="5"/>
  <c r="M4" i="5"/>
  <c r="I4" i="5"/>
  <c r="O3" i="5"/>
  <c r="N3" i="5"/>
  <c r="M3" i="5"/>
  <c r="I3" i="5"/>
  <c r="O2" i="5"/>
  <c r="N2" i="5"/>
  <c r="M2" i="5"/>
  <c r="I2" i="5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E69" i="3" l="1"/>
  <c r="E68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6" i="3"/>
  <c r="E15" i="3"/>
  <c r="E81" i="3" s="1"/>
  <c r="H81" i="3" s="1"/>
  <c r="E14" i="3"/>
  <c r="E80" i="3" s="1"/>
  <c r="H80" i="3" s="1"/>
  <c r="E13" i="3"/>
  <c r="E79" i="3" s="1"/>
  <c r="H79" i="3" s="1"/>
  <c r="E12" i="3"/>
  <c r="E78" i="3" s="1"/>
  <c r="H78" i="3" s="1"/>
  <c r="E11" i="3"/>
  <c r="E77" i="3" s="1"/>
  <c r="H77" i="3" s="1"/>
  <c r="E10" i="3"/>
  <c r="E76" i="3" s="1"/>
  <c r="H76" i="3" s="1"/>
  <c r="E9" i="3"/>
  <c r="E75" i="3" s="1"/>
  <c r="H75" i="3" s="1"/>
  <c r="E8" i="3"/>
  <c r="E74" i="3" s="1"/>
  <c r="H74" i="3" s="1"/>
  <c r="E7" i="3"/>
  <c r="E73" i="3" s="1"/>
  <c r="H73" i="3" s="1"/>
  <c r="E6" i="3"/>
  <c r="E72" i="3" s="1"/>
  <c r="H72" i="3" s="1"/>
  <c r="E5" i="3"/>
  <c r="E71" i="3" s="1"/>
  <c r="H71" i="3" s="1"/>
  <c r="E4" i="3"/>
  <c r="E70" i="3" s="1"/>
  <c r="H70" i="3" s="1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I82" i="2"/>
  <c r="I81" i="2"/>
  <c r="I80" i="2"/>
  <c r="I79" i="2"/>
  <c r="I78" i="2"/>
  <c r="I7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F18" i="2"/>
  <c r="F17" i="2"/>
  <c r="K16" i="2"/>
  <c r="F16" i="2"/>
  <c r="K15" i="2"/>
  <c r="F15" i="2"/>
  <c r="K14" i="2"/>
  <c r="F14" i="2"/>
  <c r="K13" i="2"/>
  <c r="F13" i="2"/>
  <c r="K12" i="2"/>
  <c r="F12" i="2"/>
  <c r="I27" i="2" s="1"/>
  <c r="K11" i="2"/>
  <c r="F11" i="2"/>
  <c r="K10" i="2"/>
  <c r="F10" i="2"/>
  <c r="K9" i="2"/>
  <c r="F9" i="2"/>
  <c r="K8" i="2"/>
  <c r="F8" i="2"/>
  <c r="I23" i="2" s="1"/>
  <c r="K7" i="2"/>
  <c r="F7" i="2"/>
  <c r="I22" i="2" s="1"/>
  <c r="K6" i="2"/>
  <c r="F6" i="2"/>
  <c r="K5" i="2"/>
  <c r="F5" i="2"/>
  <c r="K4" i="2"/>
  <c r="F4" i="2"/>
  <c r="K3" i="2"/>
  <c r="K2" i="2"/>
  <c r="F26" i="2" l="1"/>
  <c r="I26" i="2"/>
  <c r="F31" i="2"/>
  <c r="I31" i="2"/>
  <c r="F20" i="2"/>
  <c r="I20" i="2"/>
  <c r="F30" i="2"/>
  <c r="I30" i="2"/>
  <c r="F28" i="2"/>
  <c r="I28" i="2"/>
  <c r="F24" i="2"/>
  <c r="I24" i="2"/>
  <c r="F21" i="2"/>
  <c r="I21" i="2"/>
  <c r="F25" i="2"/>
  <c r="I25" i="2"/>
  <c r="F29" i="2"/>
  <c r="I29" i="2"/>
  <c r="F27" i="2"/>
  <c r="F23" i="2"/>
  <c r="F22" i="2"/>
  <c r="F19" i="2"/>
</calcChain>
</file>

<file path=xl/sharedStrings.xml><?xml version="1.0" encoding="utf-8"?>
<sst xmlns="http://schemas.openxmlformats.org/spreadsheetml/2006/main" count="2031" uniqueCount="302">
  <si>
    <t>Utility</t>
  </si>
  <si>
    <t>Type</t>
  </si>
  <si>
    <t>Rate Name</t>
  </si>
  <si>
    <t>Year</t>
  </si>
  <si>
    <t>Generation Only</t>
  </si>
  <si>
    <t>Baseline Delivery + Other NBCs</t>
  </si>
  <si>
    <t>Franchise Fee Surcharge</t>
  </si>
  <si>
    <t>CCA PCIA ($/kWh)  or IOU bundled PCIA</t>
  </si>
  <si>
    <t>Total (Bundled) Tier 1 Rate ($/kWh)</t>
  </si>
  <si>
    <t>Fixed Monthly ($/mo)</t>
  </si>
  <si>
    <t>Monthly Minimum ($/mo)</t>
  </si>
  <si>
    <t>Source</t>
  </si>
  <si>
    <t>PG&amp;E</t>
  </si>
  <si>
    <t>IOU</t>
  </si>
  <si>
    <t>E-1</t>
  </si>
  <si>
    <t>PDFs</t>
  </si>
  <si>
    <t>https://www.pge.com/tariffs/assets/pdf/adviceletter/ELEC_3896-E-B.pdf</t>
  </si>
  <si>
    <t>https://www.pge.com/tariffs/assets/pdf/adviceletter/ELEC_4096-E-A.pdf</t>
  </si>
  <si>
    <t>https://www.pge.com/tariffs/assets/pdf/adviceletter/ELEC_4278-E-B.pdf</t>
  </si>
  <si>
    <t>https://www.pge.com/tariffs/assets/pdf/adviceletter/ELEC_4484-E-A.pdf</t>
  </si>
  <si>
    <t>https://www.pge.com/tariffs/assets/pdf/adviceletter/ELEC_4696-E-A.pdf</t>
  </si>
  <si>
    <t>https://www.pge.com/tariffs/assets/pdf/adviceletter/ELEC_4902-E-B.pdf</t>
  </si>
  <si>
    <t>https://www.pge.com/tariffs/assets/pdf/adviceletter/ELEC_5231-E.pdf had to use March 2018 because January 2018 was missing PCIA vintage tables</t>
  </si>
  <si>
    <t>https://www.pge.com/tariffs/assets/pdf/adviceletter/ELEC_5444-E.pdf</t>
  </si>
  <si>
    <t>https://www.pge.com/tariffs/assets/pdf/adviceletter/ELEC_5727-E.pdf</t>
  </si>
  <si>
    <t>https://www.pge.com/tariffs/assets/pdf/adviceletter/ELEC_6004-E-C.pdf</t>
  </si>
  <si>
    <t>https://www.pge.com/tariffs/assets/pdf/adviceletter/ELEC_6408-E-B.pdf</t>
  </si>
  <si>
    <t>https://www.pge.com/tariffs/assets/pdf/adviceletter/ELEC_6805-E.pdf</t>
  </si>
  <si>
    <t>https://www.pge.com/tariffs/assets/pdf/adviceletter/ELEC_7116-E.pdf</t>
  </si>
  <si>
    <t>MCE</t>
  </si>
  <si>
    <t>CCA</t>
  </si>
  <si>
    <t>https://www.mcecleanenergy.org/wp-content/uploads/2020/06/MCE-Board-Meeting-Packet-February_2013.pdf</t>
  </si>
  <si>
    <t>https://www.mcecleanenergy.org/wp-content/uploads/2020/06/MCE-Board-Meeting-Packet-April_2014.pdf</t>
  </si>
  <si>
    <t>https://www.mcecleanenergy.org/wp-content/uploads/2020/06/MCE-Board-Meeting-Packet-March_2015.pdf</t>
  </si>
  <si>
    <r>
      <rPr>
        <u/>
        <sz val="10"/>
        <color rgb="FF000000"/>
        <rFont val="Arial"/>
        <family val="2"/>
      </rPr>
      <t>https://www.mcecleanenergy.org/wp-content/uploads/2020/06/MCE-Board-Meeting-Packet-March_2016.pdf</t>
    </r>
    <r>
      <rPr>
        <sz val="10"/>
        <color theme="1"/>
        <rFont val="Arial"/>
        <family val="2"/>
      </rPr>
      <t xml:space="preserve"> p. 187 "Recommendation: No action needed. Maintain current rates through FY 2016/17." But then was actually reduced to $0.072 as of September 2016: </t>
    </r>
    <r>
      <rPr>
        <u/>
        <sz val="10"/>
        <color rgb="FF1155CC"/>
        <rFont val="Arial"/>
        <family val="2"/>
      </rPr>
      <t>https://www.mcecleanenergy.org/wp-content/uploads/2020/06/MCE-Board-Meeting-Packet-June_2016.pdf</t>
    </r>
  </si>
  <si>
    <t>https://www.mcecleanenergy.org/wp-content/uploads/2020/05/MCE-Board-Meeting-Packet-March_2017.pdf</t>
  </si>
  <si>
    <r>
      <rPr>
        <sz val="10"/>
        <color theme="1"/>
        <rFont val="Arial"/>
        <family val="2"/>
      </rPr>
      <t xml:space="preserve">May 2018 - </t>
    </r>
    <r>
      <rPr>
        <u/>
        <sz val="10"/>
        <color rgb="FF1155CC"/>
        <rFont val="Arial"/>
        <family val="2"/>
      </rPr>
      <t>https://www.mcecleanenergy.org/wp-content/uploads/2020/05/MCE-Board-Meeting-Packet-May_2018.pdf</t>
    </r>
  </si>
  <si>
    <t>https://www.mcecleanenergy.org/wp-content/uploads/2023/05/MCE-Residential-Rates-05052023.pdf</t>
  </si>
  <si>
    <t>https://mcecleanenergy.org/wp-content/uploads/2024/06/MCE-Residential-Rates-04022024.pdf</t>
  </si>
  <si>
    <t>SCE</t>
  </si>
  <si>
    <t>D</t>
  </si>
  <si>
    <t>PDFs (note: for Feb, not Jan)</t>
  </si>
  <si>
    <t>CPA-SC</t>
  </si>
  <si>
    <t>LADWP</t>
  </si>
  <si>
    <t>POU</t>
  </si>
  <si>
    <t>R-1A</t>
  </si>
  <si>
    <t>SMUD</t>
  </si>
  <si>
    <t>Residential Fixed (RF01)</t>
  </si>
  <si>
    <t>https://www.smud.org/-/media/Documents/Corporate/About-Us/Company-Information/Reports-and-Documents/GM-Reports/2015-GM-Rate-Report-Vol-1.ashx</t>
  </si>
  <si>
    <t>https://www.smud.org/-/media/Documents/Corporate/About-Us/Company-Information/Reports-and-Documents/GM-Reports/2017-GM-Rate-Report-Vol-2.ashx</t>
  </si>
  <si>
    <t>https://www.smud.org/-/media/Documents/Corporate/About-Us/Company-Information/Reports-and-Documents/GM-Reports/GM-Report-Volume-2.ashx</t>
  </si>
  <si>
    <t>March 2022: https://www.smud.org/-/media/Documents/Rate-Information/2021-Rate-Action/GM-Report-Volume-1.ashx</t>
  </si>
  <si>
    <t>https://www.smud.org/-/media/Documents/Corporate/About-Us/Company-Information/Reports-and-Documents/GM-Reports/2023-GM-Rate-Report-Vol-1.ashx</t>
  </si>
  <si>
    <t>SDG&amp;E</t>
  </si>
  <si>
    <t>DR</t>
  </si>
  <si>
    <t>General Notes</t>
  </si>
  <si>
    <t>Rates as of January 1</t>
  </si>
  <si>
    <t>Not including climate credit</t>
  </si>
  <si>
    <t>Single family home, where option available</t>
  </si>
  <si>
    <t>Fixed rate chosen where tiered rate not available</t>
  </si>
  <si>
    <t>LEGEND</t>
  </si>
  <si>
    <t>Data not available</t>
  </si>
  <si>
    <t>2017 PCIA ($/kWh)  or IOU bundled PCIA</t>
  </si>
  <si>
    <t>Total Flat/Tier1 Energy Charge  ($/kWh)</t>
  </si>
  <si>
    <t>Fixed Charge ($/mo)</t>
  </si>
  <si>
    <t>Note</t>
  </si>
  <si>
    <t>A1</t>
  </si>
  <si>
    <t>Single-phase</t>
  </si>
  <si>
    <t>GS-1</t>
  </si>
  <si>
    <t>A1-A</t>
  </si>
  <si>
    <t>Power rate master file, emailed</t>
  </si>
  <si>
    <t>GSN_T</t>
  </si>
  <si>
    <t>Note: solar, hydro surcharges not included</t>
  </si>
  <si>
    <t xml:space="preserve">CITS-0 </t>
  </si>
  <si>
    <t>See same sources from res tab.</t>
  </si>
  <si>
    <t>Winter rate may 2018 - https://www.mcecleanenergy.org/wp-content/uploads/2020/05/MCE-Board-Meeting-Packet-May_2018.pdf</t>
  </si>
  <si>
    <t>https://www.mcecleanenergy.org/wp-content/uploads/2021/12/MCE-Board-Meeting-Packet-December_2021-1.pdf</t>
  </si>
  <si>
    <t>https://mcecleanenergy.org/wp-content/uploads/2024/04/MCE-Commercial-Rates-04022024.pdf</t>
  </si>
  <si>
    <t>Total Operating &amp; Maintenance Expenses (nominal $)</t>
  </si>
  <si>
    <t>Total Operating &amp; Maintenance Expenses (real 2022$)</t>
  </si>
  <si>
    <t>Total Real O&amp;M Relative to 2010</t>
  </si>
  <si>
    <t>LSE</t>
  </si>
  <si>
    <t>Distribution O&amp;M (nominal $)</t>
  </si>
  <si>
    <t>Transmission O&amp;M (nominal $)</t>
  </si>
  <si>
    <t>Self-Owned Generation O&amp;M (nominal $)</t>
  </si>
  <si>
    <t>Purchased Power Operational Cost (nominal $)</t>
  </si>
  <si>
    <t>Total Generation O&amp;M (nominal $)</t>
  </si>
  <si>
    <t>Percentage of Generation from Purchased Power</t>
  </si>
  <si>
    <t>Distribution O&amp;M (real 2022$)</t>
  </si>
  <si>
    <t>Transmission O&amp;M (real 2022$)</t>
  </si>
  <si>
    <t>Total Generation O&amp;M (real 2022$)</t>
  </si>
  <si>
    <t>Distribution O&amp;M (real 2022$, 2010 normalized)</t>
  </si>
  <si>
    <t>Transmission O&amp;M (real 2022$, 2010 normalized)</t>
  </si>
  <si>
    <t>Total Generation O&amp;M (real 2022$, 2010 normalized)</t>
  </si>
  <si>
    <t>PG&amp;E CPUC Generation Rate Base (real 2022$, 2010 normalised)</t>
  </si>
  <si>
    <t>PG&amp;E FERC Transmission Rate Base (real 2022$, 2010 normalised)</t>
  </si>
  <si>
    <t>PG&amp;E CPUC Distribution Rate Base (real 2022$, 2010 normalised)</t>
  </si>
  <si>
    <t>SCE CPUC Generation Rate Base (real 2022$, 2010 normalised)</t>
  </si>
  <si>
    <t>SCE CPUC Distribution Rate Base (real 2022$, 2010 normalised)</t>
  </si>
  <si>
    <t>SCE FERC Transmission Rate Base (real 2022$, 2010 normalised)</t>
  </si>
  <si>
    <t>SDG&amp;E CPUC Generation Rate Base (real 2022$, 2010 normalised)</t>
  </si>
  <si>
    <t>SDG&amp;E CPUC Distribution Rate Base (real 2022$, 2010 normalised)</t>
  </si>
  <si>
    <t>SDG&amp;E FERC Transmission Rate Base (real 2022$, 2010 normalised)</t>
  </si>
  <si>
    <t>PG&amp;E CPUC Distribution Rate Base (nominal million $)</t>
  </si>
  <si>
    <t>PG&amp;E FERC Transmission Rate Base (nominal million $)</t>
  </si>
  <si>
    <t>SCE CPUC Generation Rate Base (nominal million $)</t>
  </si>
  <si>
    <t>SCE CPUC Distribution Rate Base (nominal million $)</t>
  </si>
  <si>
    <t>SCEFERC Transmission Rate Base (nominal million $)</t>
  </si>
  <si>
    <t>SDG&amp;E CPUC Generation Rate Base (nominal million $)</t>
  </si>
  <si>
    <t>SDG&amp;E CPUC Distribution Rate Base (nominal million $)</t>
  </si>
  <si>
    <t>SDG&amp;E FERC Transmission Rate Base (nominal million $)</t>
  </si>
  <si>
    <t>PG&amp;E CPUC Generation Rate Base (nominal million $)</t>
  </si>
  <si>
    <t>PG&amp;E CPUC Generation Rate Base (real 2022 million $)</t>
  </si>
  <si>
    <t>PG&amp;E CPUC Distribution Rate Base (real 2022 million $)</t>
  </si>
  <si>
    <t>PG&amp;E FERC Transmission Rate Base (real 2022 million $)</t>
  </si>
  <si>
    <t>SCE CPUC Generation Rate Base (real 2022 million $)</t>
  </si>
  <si>
    <t>SCE CPUC Distribution Rate Base (real 2022 million $)</t>
  </si>
  <si>
    <t>SCE FERC Transmission Rate Base (real 2022 million $)</t>
  </si>
  <si>
    <t>SDG&amp;E CPUC Generation Rate Base (real 2022 million $)</t>
  </si>
  <si>
    <t>SDG&amp;E CPUC Distribution Rate Base (real 2022 million $)</t>
  </si>
  <si>
    <t>SDG&amp;E FERC Transmission Rate Base (real 2022 million $)</t>
  </si>
  <si>
    <t>Generation (nominal$)</t>
  </si>
  <si>
    <t>Transmission (nominal$)</t>
  </si>
  <si>
    <t>Distribution (nominal$)</t>
  </si>
  <si>
    <t>Generation (real 2022$)</t>
  </si>
  <si>
    <t>Transmission (real 2022$)</t>
  </si>
  <si>
    <t>Distribution (real 2022$)</t>
  </si>
  <si>
    <t>Generation (real 2022$, 2010 normalised)</t>
  </si>
  <si>
    <t>Transmission (real 2022$, 2010 normalised)</t>
  </si>
  <si>
    <t>Distribution (real 2022$, 2010 normalised)</t>
  </si>
  <si>
    <t>PG&amp;E/MCE E1, SCE/CPA D, NORMAL PORTFOLIO ONLY</t>
  </si>
  <si>
    <t>Generation Rate ($/kWh)</t>
  </si>
  <si>
    <t>Delivery Rate ($/kWh)</t>
  </si>
  <si>
    <t>PCIA ($/kWh)</t>
  </si>
  <si>
    <t>CPA</t>
  </si>
  <si>
    <t>Total</t>
  </si>
  <si>
    <t>Data pulled from web scraped Joint Rate Comparison mailer PDFs</t>
  </si>
  <si>
    <t>Data Year</t>
  </si>
  <si>
    <t>Utility Number</t>
  </si>
  <si>
    <t>Utility Name</t>
  </si>
  <si>
    <t>Part</t>
  </si>
  <si>
    <t>Service Type</t>
  </si>
  <si>
    <t>Data Type
O = Observed
I = Imputed</t>
  </si>
  <si>
    <t>State</t>
  </si>
  <si>
    <t>Ownership</t>
  </si>
  <si>
    <t>BA Code</t>
  </si>
  <si>
    <t>Residential Sales (MWh)</t>
  </si>
  <si>
    <t>Commercial Sales (MWh)</t>
  </si>
  <si>
    <t>Industrial Sales (MWh)</t>
  </si>
  <si>
    <t>Total Sales (MWh)</t>
  </si>
  <si>
    <t>Los Angeles Department of Water &amp; Power</t>
  </si>
  <si>
    <t>A</t>
  </si>
  <si>
    <t>Bundled</t>
  </si>
  <si>
    <t>O</t>
  </si>
  <si>
    <t>CA</t>
  </si>
  <si>
    <t>Municipal</t>
  </si>
  <si>
    <t>LDWP</t>
  </si>
  <si>
    <t>Pacific Gas &amp; Electric Co.</t>
  </si>
  <si>
    <t>Investor Owned</t>
  </si>
  <si>
    <t>CISO</t>
  </si>
  <si>
    <t>Sacramento Municipal Util Dist</t>
  </si>
  <si>
    <t>Political Subdivision</t>
  </si>
  <si>
    <t>BANC</t>
  </si>
  <si>
    <t>San Diego Gas &amp; Electric Co</t>
  </si>
  <si>
    <t>Southern California Edison Co</t>
  </si>
  <si>
    <t>Marin Clean Energy</t>
  </si>
  <si>
    <t>B</t>
  </si>
  <si>
    <t>Energy</t>
  </si>
  <si>
    <t>Community Choice Aggregator</t>
  </si>
  <si>
    <t>Source:</t>
  </si>
  <si>
    <t>EIA 861, 2022 final release</t>
  </si>
  <si>
    <t>https://www.eia.gov/electricity/data/eia861/</t>
  </si>
  <si>
    <t>Distribution O&amp;M Total (nominal $)</t>
  </si>
  <si>
    <t>Total Distribution Maintenance (nominal $)</t>
  </si>
  <si>
    <t>Miscellaneous Distribution Operation Expenses (nominal $)</t>
  </si>
  <si>
    <t>Total Distribution Operation (nominal $)</t>
  </si>
  <si>
    <t>Maintenance of Overhead Transmission Lines</t>
  </si>
  <si>
    <t>Total Transmission Maintenance (nominal $)</t>
  </si>
  <si>
    <t>Maintenance of Overhead Distribution Lines (nominal $)</t>
  </si>
  <si>
    <t>Total Transmission Operation (nominal $)</t>
  </si>
  <si>
    <t>Transmission O&amp;M Total (nominal $)</t>
  </si>
  <si>
    <t>Purchased Power (nominal $)</t>
  </si>
  <si>
    <t>DATE</t>
  </si>
  <si>
    <t>CPILFESL</t>
  </si>
  <si>
    <t>Maintenance of Overhead Distribution Lines (real 2022$, billions)</t>
  </si>
  <si>
    <t>Alameda Municipal Power</t>
  </si>
  <si>
    <t>.</t>
  </si>
  <si>
    <t>City of Anaheim - (CA)</t>
  </si>
  <si>
    <t>City of Azusa</t>
  </si>
  <si>
    <t>City of Burbank Water and Power</t>
  </si>
  <si>
    <t>Calpine Power America LLC</t>
  </si>
  <si>
    <t>Retail Power Marketer</t>
  </si>
  <si>
    <t>City of Colton - (CA)</t>
  </si>
  <si>
    <t>City of Corona - (CA)</t>
  </si>
  <si>
    <t>Shell Energy North America (US), L.P.</t>
  </si>
  <si>
    <t>City of Glendale - (CA)</t>
  </si>
  <si>
    <t>Imperial Irrigation District</t>
  </si>
  <si>
    <t>IID</t>
  </si>
  <si>
    <t>Kings River Conservation Dist</t>
  </si>
  <si>
    <t>City of Lodi - (CA)</t>
  </si>
  <si>
    <t>Merced Irrigation District</t>
  </si>
  <si>
    <t>Modesto Irrigation District</t>
  </si>
  <si>
    <t>Constellation NewEnergy, Inc</t>
  </si>
  <si>
    <t>PacifiCorp</t>
  </si>
  <si>
    <t>PACW</t>
  </si>
  <si>
    <t>City of Palo Alto - (CA)</t>
  </si>
  <si>
    <t>City of Pasadena - (CA)</t>
  </si>
  <si>
    <t>Pilot Power Group, LLC</t>
  </si>
  <si>
    <t>City of Redding - (CA)</t>
  </si>
  <si>
    <t>City of Riverside - (CA)</t>
  </si>
  <si>
    <t>City of Roseville - (CA)</t>
  </si>
  <si>
    <t>City &amp; County of San Francisco</t>
  </si>
  <si>
    <t>City of Santa Clara - (CA)</t>
  </si>
  <si>
    <t>Calpine Energy Solutions, LLC</t>
  </si>
  <si>
    <t>Bear Valley Electric Service</t>
  </si>
  <si>
    <t>Direct Energy Business</t>
  </si>
  <si>
    <t>Surprise Valley Electrification</t>
  </si>
  <si>
    <t>Cooperative</t>
  </si>
  <si>
    <t>Turlock Irrigation District</t>
  </si>
  <si>
    <t>TIDC</t>
  </si>
  <si>
    <t>City of Vernon</t>
  </si>
  <si>
    <t>Valley Electric Assn, Inc</t>
  </si>
  <si>
    <t>NEVP</t>
  </si>
  <si>
    <t>3 Phases Renewables Inc</t>
  </si>
  <si>
    <t>WAPA-- Western Area Power Administration</t>
  </si>
  <si>
    <t>Federal</t>
  </si>
  <si>
    <t>WALC</t>
  </si>
  <si>
    <t>Northern California Power Agny</t>
  </si>
  <si>
    <t>City of Moreno Valley - (CA)</t>
  </si>
  <si>
    <t>Tesla Inc.</t>
  </si>
  <si>
    <t>Behind the Meter</t>
  </si>
  <si>
    <t>Liberty Utilities</t>
  </si>
  <si>
    <t>EDF Industrial Power Services (CA), LLC</t>
  </si>
  <si>
    <t>City of Cerritos - (CA)</t>
  </si>
  <si>
    <t>Constellation Solar Holding, LLC</t>
  </si>
  <si>
    <t>Sonoma Clean Power Authority</t>
  </si>
  <si>
    <t>Sunnova</t>
  </si>
  <si>
    <t>SunPower Capital, LLC</t>
  </si>
  <si>
    <t>Ahana Renewables, LLC</t>
  </si>
  <si>
    <t>Lancaster Choice Energy</t>
  </si>
  <si>
    <t>Sunrun Inc.</t>
  </si>
  <si>
    <t>Spruce Finance</t>
  </si>
  <si>
    <t>The Regents of the Univ. of California</t>
  </si>
  <si>
    <t>Greenbacker Renewable Energy Corporation</t>
  </si>
  <si>
    <t>CleanPowerSF</t>
  </si>
  <si>
    <t>Peninsula Clean Energy Authority</t>
  </si>
  <si>
    <t>Apple Valley Choice Energy</t>
  </si>
  <si>
    <t>Silicon Valley Clean Energy Authority</t>
  </si>
  <si>
    <t>Redwood Coast Energy Authority</t>
  </si>
  <si>
    <t>TerraForm US Energy Services, LLC</t>
  </si>
  <si>
    <t>Pico Rivera Innovative Municipal Energy</t>
  </si>
  <si>
    <t>Longroad Energy</t>
  </si>
  <si>
    <t>Pioneer Community Energy</t>
  </si>
  <si>
    <t>Central Coast Community Energy</t>
  </si>
  <si>
    <t>San Jacinto Power</t>
  </si>
  <si>
    <t>Valley Clean Energy Alliance</t>
  </si>
  <si>
    <t>Rancho Mirage Energy Authority</t>
  </si>
  <si>
    <t>East Bay Community Energy</t>
  </si>
  <si>
    <t>Clean Power Alliance of Southern Califor</t>
  </si>
  <si>
    <t>King City Community Power</t>
  </si>
  <si>
    <t>Greenskies Renewable Energy, LLC</t>
  </si>
  <si>
    <t>San Jose Clean Energy</t>
  </si>
  <si>
    <t>Commercial Energy of California</t>
  </si>
  <si>
    <t>BPROUD</t>
  </si>
  <si>
    <t>Pomona Choice Energy (PCE)</t>
  </si>
  <si>
    <t>Desert Community Energy</t>
  </si>
  <si>
    <t>San Diego Community Power</t>
  </si>
  <si>
    <t>Clean Energy Alliance</t>
  </si>
  <si>
    <t>Santa Barbara Clean Energy</t>
  </si>
  <si>
    <t>Orange County Power Authority</t>
  </si>
  <si>
    <t>Scale Sustainable I, LLC</t>
  </si>
  <si>
    <t>Energy for Palmdale's Independent Choice</t>
  </si>
  <si>
    <t>Adjustment 2022</t>
  </si>
  <si>
    <t>I</t>
  </si>
  <si>
    <t/>
  </si>
  <si>
    <t>Grand Total</t>
  </si>
  <si>
    <t>Sum of Total Sales (MWh)</t>
  </si>
  <si>
    <t>Percentage of Total Sales</t>
  </si>
  <si>
    <t>Adjustments</t>
  </si>
  <si>
    <t>LSE Ownership</t>
  </si>
  <si>
    <t>Investor Owned (IOU)</t>
  </si>
  <si>
    <t>Community Choice Aggregator (CCA)</t>
  </si>
  <si>
    <t>California Grand Total</t>
  </si>
  <si>
    <t>Sales as % of CA total</t>
  </si>
  <si>
    <t>Selected LSEs total</t>
  </si>
  <si>
    <t>CPA does not offer a tiered/flat commercial rate in any year, so it is omitted from this comparative analysis</t>
  </si>
  <si>
    <t>GSN_T rate no longer available</t>
  </si>
  <si>
    <t>PDFs (note leanpower gen. rate used)</t>
  </si>
  <si>
    <t>Power Rate Master file provided by LADWP over email</t>
  </si>
  <si>
    <t>Historical rates provided by SMUD over email</t>
  </si>
  <si>
    <t>Rates as of January 1, unless otherwise indicated</t>
  </si>
  <si>
    <t>We use 2010 vintage PCIA for MCE, 2017 vintage PCIA for CPA.</t>
  </si>
  <si>
    <t>May 2019 used for FFS - https://www.pge.com/tariffs/assets/pdf/adviceletter/ELEC_5528-E.pdf</t>
  </si>
  <si>
    <r>
      <rPr>
        <u/>
        <sz val="10"/>
        <color rgb="FF000000"/>
        <rFont val="Arial"/>
        <family val="2"/>
      </rPr>
      <t>https://www.mcecleanenergy.org/wp-content/uploads/2019/12/MCE-Board-Meeting-Packet-June_2019.pdf</t>
    </r>
    <r>
      <rPr>
        <sz val="10"/>
        <color theme="1"/>
        <rFont val="Arial"/>
        <family val="2"/>
      </rPr>
      <t xml:space="preserve"> As of July 1, 2019</t>
    </r>
    <r>
      <rPr>
        <u/>
        <sz val="10"/>
        <color theme="1"/>
        <rFont val="Arial"/>
        <family val="2"/>
      </rPr>
      <t xml:space="preserve">
May 2019 used for FFS - https://www.pge.com/tariffs/assets/pdf/adviceletter/ELEC_5528-E.pdf</t>
    </r>
  </si>
  <si>
    <t>May 2020 used for FFS - https://www.pge.com/tariffs/assets/pdf/adviceletter/ELEC_5661-E-A.pdf</t>
  </si>
  <si>
    <r>
      <rPr>
        <sz val="10"/>
        <color theme="1"/>
        <rFont val="Arial"/>
        <family val="2"/>
      </rPr>
      <t xml:space="preserve">Assumption based on p. 82 saying "MCE has not increased rates since 2019" in </t>
    </r>
    <r>
      <rPr>
        <u/>
        <sz val="10"/>
        <color rgb="FF1155CC"/>
        <rFont val="Arial"/>
        <family val="2"/>
      </rPr>
      <t>https://www.mcecleanenergy.org/wp-content/uploads/2021/12/MCE-Board-Meeting-Packet-December_2021-1.pdf</t>
    </r>
    <r>
      <rPr>
        <u/>
        <sz val="10"/>
        <color theme="1"/>
        <rFont val="Arial"/>
        <family val="2"/>
      </rPr>
      <t xml:space="preserve">
May 2020 used for FFS - https://www.pge.com/tariffs/assets/pdf/adviceletter/ELEC_5661-E-A.pdf</t>
    </r>
  </si>
  <si>
    <t>https://www.mcecleanenergy.org/wp-content/uploads/2021/12/MCE-Board-Meeting-Packet-December_2021-1.pdf
March 2022 rate used for FFS - https://www.pge.com/tariffs/assets/pdf/adviceletter/ELEC_6509-E.pdf</t>
  </si>
  <si>
    <t>https://www.mcecleanenergy.org/wp-content/uploads/2022/02/MCE-Residential-Rates-Updated_03012022.pdf
March 2022 rate used for FFS - https://www.pge.com/tariffs/assets/pdf/adviceletter/ELEC_6509-E.pdf</t>
  </si>
  <si>
    <t>Attached PDFs</t>
  </si>
  <si>
    <t>2010 vintage for PCIA and FF chosen for MCE</t>
  </si>
  <si>
    <t>SDG&amp;E does not offer a tiered/flat commercial rate after 2019, so it is omitted from this comparative analysis</t>
  </si>
  <si>
    <t>Rate chosen for &lt;20 kW peak demand and secondary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</si>
</sst>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0000_);_(&quot;$&quot;* \(#,##0.000000\);_(&quot;$&quot;* &quot;-&quot;??_);_(@_)"/>
    <numFmt numFmtId="165" formatCode="_(&quot;$&quot;* #,##0.0000_);_(&quot;$&quot;* \(#,##0.0000\);_(&quot;$&quot;* &quot;-&quot;??_);_(@_)"/>
    <numFmt numFmtId="166" formatCode="0.0%"/>
  </numFmts>
  <fonts count="3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2"/>
      <color theme="10"/>
      <name val="Aptos Narrow"/>
      <scheme val="minor"/>
    </font>
    <font>
      <u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Aptos Narrow"/>
      <scheme val="minor"/>
    </font>
    <font>
      <sz val="10"/>
      <color rgb="FF072D3D"/>
      <name val="Arial"/>
      <family val="2"/>
    </font>
    <font>
      <sz val="10"/>
      <color rgb="FF0B2430"/>
      <name val="Arial"/>
      <family val="2"/>
    </font>
    <font>
      <sz val="12"/>
      <color theme="1"/>
      <name val="Aptos Narrow"/>
    </font>
    <font>
      <b/>
      <sz val="12"/>
      <color theme="1"/>
      <name val="Aptos Narrow"/>
    </font>
    <font>
      <sz val="10"/>
      <color theme="1"/>
      <name val="Aptos Narrow"/>
    </font>
    <font>
      <b/>
      <sz val="10"/>
      <color theme="0"/>
      <name val="Aptos Narrow"/>
    </font>
    <font>
      <b/>
      <sz val="10"/>
      <color theme="0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indexed="8"/>
      <name val="Arial"/>
      <family val="2"/>
    </font>
    <font>
      <b/>
      <sz val="12"/>
      <color theme="1"/>
      <name val="Aptos Narrow"/>
      <scheme val="minor"/>
    </font>
    <font>
      <b/>
      <sz val="11"/>
      <color theme="0"/>
      <name val="Calibri"/>
      <family val="2"/>
    </font>
    <font>
      <i/>
      <sz val="12"/>
      <color theme="1"/>
      <name val="Aptos Narrow"/>
      <scheme val="minor"/>
    </font>
    <font>
      <b/>
      <i/>
      <sz val="10"/>
      <color indexed="8"/>
      <name val="Arial"/>
      <family val="2"/>
    </font>
    <font>
      <b/>
      <i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0"/>
      <color theme="1"/>
      <name val="Aptos Narrow"/>
      <scheme val="minor"/>
    </font>
    <font>
      <b/>
      <sz val="10"/>
      <color theme="1"/>
      <name val="Aptos Narrow"/>
    </font>
    <font>
      <u/>
      <sz val="10"/>
      <color theme="1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D0D0D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/>
    <xf numFmtId="0" fontId="20" fillId="0" borderId="0"/>
    <xf numFmtId="0" fontId="21" fillId="0" borderId="0" applyNumberFormat="0" applyFill="0" applyBorder="0" applyAlignment="0" applyProtection="0"/>
  </cellStyleXfs>
  <cellXfs count="106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0" fontId="15" fillId="0" borderId="0" xfId="3" applyFont="1" applyAlignment="1">
      <alignment wrapText="1"/>
    </xf>
    <xf numFmtId="0" fontId="12" fillId="0" borderId="0" xfId="3"/>
    <xf numFmtId="0" fontId="6" fillId="0" borderId="1" xfId="3" applyFont="1" applyBorder="1"/>
    <xf numFmtId="164" fontId="6" fillId="0" borderId="1" xfId="3" applyNumberFormat="1" applyFont="1" applyBorder="1"/>
    <xf numFmtId="164" fontId="7" fillId="0" borderId="1" xfId="3" applyNumberFormat="1" applyFont="1" applyBorder="1"/>
    <xf numFmtId="0" fontId="9" fillId="0" borderId="1" xfId="3" applyFont="1" applyBorder="1"/>
    <xf numFmtId="0" fontId="10" fillId="0" borderId="1" xfId="3" applyFont="1" applyBorder="1"/>
    <xf numFmtId="0" fontId="6" fillId="3" borderId="1" xfId="3" applyFont="1" applyFill="1" applyBorder="1"/>
    <xf numFmtId="164" fontId="6" fillId="3" borderId="1" xfId="3" applyNumberFormat="1" applyFont="1" applyFill="1" applyBorder="1"/>
    <xf numFmtId="164" fontId="13" fillId="0" borderId="1" xfId="3" applyNumberFormat="1" applyFont="1" applyBorder="1"/>
    <xf numFmtId="164" fontId="14" fillId="0" borderId="1" xfId="3" applyNumberFormat="1" applyFont="1" applyBorder="1"/>
    <xf numFmtId="164" fontId="6" fillId="0" borderId="1" xfId="3" applyNumberFormat="1" applyFont="1" applyBorder="1" applyAlignment="1">
      <alignment horizontal="right"/>
    </xf>
    <xf numFmtId="0" fontId="15" fillId="0" borderId="2" xfId="3" applyFont="1" applyBorder="1"/>
    <xf numFmtId="0" fontId="15" fillId="0" borderId="3" xfId="3" applyFont="1" applyBorder="1"/>
    <xf numFmtId="0" fontId="16" fillId="0" borderId="0" xfId="3" applyFont="1"/>
    <xf numFmtId="0" fontId="15" fillId="3" borderId="0" xfId="3" applyFont="1" applyFill="1"/>
    <xf numFmtId="0" fontId="17" fillId="0" borderId="1" xfId="3" applyFont="1" applyBorder="1"/>
    <xf numFmtId="165" fontId="7" fillId="0" borderId="1" xfId="3" applyNumberFormat="1" applyFont="1" applyBorder="1"/>
    <xf numFmtId="0" fontId="17" fillId="3" borderId="1" xfId="3" applyFont="1" applyFill="1" applyBorder="1"/>
    <xf numFmtId="165" fontId="17" fillId="3" borderId="1" xfId="3" applyNumberFormat="1" applyFont="1" applyFill="1" applyBorder="1"/>
    <xf numFmtId="165" fontId="6" fillId="0" borderId="1" xfId="3" applyNumberFormat="1" applyFont="1" applyBorder="1"/>
    <xf numFmtId="165" fontId="17" fillId="0" borderId="1" xfId="3" applyNumberFormat="1" applyFont="1" applyBorder="1"/>
    <xf numFmtId="0" fontId="18" fillId="4" borderId="1" xfId="3" applyFont="1" applyFill="1" applyBorder="1" applyAlignment="1">
      <alignment horizontal="center" vertical="center" wrapText="1"/>
    </xf>
    <xf numFmtId="0" fontId="19" fillId="4" borderId="1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6" fillId="0" borderId="4" xfId="3" applyFont="1" applyBorder="1" applyAlignment="1">
      <alignment vertical="top" wrapText="1"/>
    </xf>
    <xf numFmtId="0" fontId="15" fillId="0" borderId="5" xfId="3" applyFont="1" applyBorder="1" applyAlignment="1">
      <alignment vertical="top" wrapText="1"/>
    </xf>
    <xf numFmtId="0" fontId="15" fillId="0" borderId="6" xfId="3" applyFont="1" applyBorder="1" applyAlignment="1">
      <alignment vertical="top" wrapText="1"/>
    </xf>
    <xf numFmtId="0" fontId="12" fillId="5" borderId="0" xfId="3" applyFill="1"/>
    <xf numFmtId="0" fontId="19" fillId="4" borderId="7" xfId="3" applyFont="1" applyFill="1" applyBorder="1" applyAlignment="1">
      <alignment horizontal="center" vertical="center" wrapText="1"/>
    </xf>
    <xf numFmtId="0" fontId="17" fillId="0" borderId="7" xfId="3" applyFont="1" applyBorder="1"/>
    <xf numFmtId="0" fontId="17" fillId="3" borderId="7" xfId="3" applyFont="1" applyFill="1" applyBorder="1"/>
    <xf numFmtId="164" fontId="6" fillId="6" borderId="1" xfId="3" applyNumberFormat="1" applyFont="1" applyFill="1" applyBorder="1"/>
    <xf numFmtId="0" fontId="6" fillId="0" borderId="8" xfId="3" applyFont="1" applyBorder="1"/>
    <xf numFmtId="0" fontId="0" fillId="0" borderId="0" xfId="0" applyAlignment="1">
      <alignment wrapText="1"/>
    </xf>
    <xf numFmtId="0" fontId="3" fillId="7" borderId="9" xfId="0" applyFont="1" applyFill="1" applyBorder="1" applyAlignment="1">
      <alignment horizontal="center" vertical="center" wrapText="1"/>
    </xf>
    <xf numFmtId="0" fontId="0" fillId="0" borderId="9" xfId="0" applyBorder="1"/>
    <xf numFmtId="9" fontId="0" fillId="0" borderId="9" xfId="1" applyFont="1" applyBorder="1"/>
    <xf numFmtId="0" fontId="0" fillId="0" borderId="9" xfId="0" applyBorder="1" applyAlignment="1">
      <alignment wrapText="1"/>
    </xf>
    <xf numFmtId="0" fontId="20" fillId="0" borderId="0" xfId="5"/>
    <xf numFmtId="0" fontId="21" fillId="0" borderId="0" xfId="6"/>
    <xf numFmtId="0" fontId="20" fillId="0" borderId="9" xfId="5" applyBorder="1"/>
    <xf numFmtId="0" fontId="22" fillId="7" borderId="0" xfId="5" applyFont="1" applyFill="1" applyAlignment="1">
      <alignment horizontal="center" vertical="center" wrapText="1"/>
    </xf>
    <xf numFmtId="0" fontId="23" fillId="0" borderId="9" xfId="0" applyFont="1" applyBorder="1" applyAlignment="1">
      <alignment horizontal="center" wrapText="1"/>
    </xf>
    <xf numFmtId="0" fontId="23" fillId="0" borderId="9" xfId="0" applyFont="1" applyBorder="1" applyAlignment="1">
      <alignment horizontal="right" wrapText="1"/>
    </xf>
    <xf numFmtId="0" fontId="23" fillId="0" borderId="9" xfId="0" applyFont="1" applyBorder="1" applyAlignment="1">
      <alignment horizontal="left" wrapText="1"/>
    </xf>
    <xf numFmtId="3" fontId="23" fillId="8" borderId="9" xfId="0" applyNumberFormat="1" applyFont="1" applyFill="1" applyBorder="1" applyAlignment="1">
      <alignment horizontal="right" wrapText="1"/>
    </xf>
    <xf numFmtId="3" fontId="23" fillId="9" borderId="9" xfId="0" applyNumberFormat="1" applyFont="1" applyFill="1" applyBorder="1" applyAlignment="1">
      <alignment horizontal="right" wrapText="1"/>
    </xf>
    <xf numFmtId="3" fontId="23" fillId="10" borderId="9" xfId="0" applyNumberFormat="1" applyFont="1" applyFill="1" applyBorder="1" applyAlignment="1">
      <alignment horizontal="right" wrapText="1"/>
    </xf>
    <xf numFmtId="0" fontId="24" fillId="0" borderId="0" xfId="0" applyFont="1"/>
    <xf numFmtId="0" fontId="4" fillId="0" borderId="0" xfId="2"/>
    <xf numFmtId="0" fontId="25" fillId="7" borderId="9" xfId="0" applyFont="1" applyFill="1" applyBorder="1" applyAlignment="1">
      <alignment horizontal="center" vertical="center" wrapText="1"/>
    </xf>
    <xf numFmtId="9" fontId="0" fillId="0" borderId="0" xfId="0" applyNumberFormat="1"/>
    <xf numFmtId="14" fontId="0" fillId="0" borderId="9" xfId="0" applyNumberFormat="1" applyBorder="1"/>
    <xf numFmtId="2" fontId="0" fillId="0" borderId="0" xfId="0" applyNumberFormat="1"/>
    <xf numFmtId="2" fontId="2" fillId="6" borderId="0" xfId="0" applyNumberFormat="1" applyFont="1" applyFill="1"/>
    <xf numFmtId="0" fontId="19" fillId="7" borderId="9" xfId="0" applyFont="1" applyFill="1" applyBorder="1" applyAlignment="1">
      <alignment horizontal="center" vertical="center" wrapText="1"/>
    </xf>
    <xf numFmtId="3" fontId="19" fillId="7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11" borderId="0" xfId="0" applyFill="1"/>
    <xf numFmtId="0" fontId="26" fillId="6" borderId="9" xfId="0" applyFont="1" applyFill="1" applyBorder="1"/>
    <xf numFmtId="9" fontId="26" fillId="6" borderId="9" xfId="1" applyFont="1" applyFill="1" applyBorder="1"/>
    <xf numFmtId="166" fontId="0" fillId="0" borderId="9" xfId="1" applyNumberFormat="1" applyFont="1" applyBorder="1"/>
    <xf numFmtId="0" fontId="27" fillId="6" borderId="9" xfId="0" applyFont="1" applyFill="1" applyBorder="1" applyAlignment="1">
      <alignment horizontal="left" wrapText="1"/>
    </xf>
    <xf numFmtId="0" fontId="19" fillId="12" borderId="9" xfId="0" applyFont="1" applyFill="1" applyBorder="1" applyAlignment="1">
      <alignment horizontal="center" vertical="center" wrapText="1"/>
    </xf>
    <xf numFmtId="3" fontId="19" fillId="12" borderId="9" xfId="0" applyNumberFormat="1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/>
    </xf>
    <xf numFmtId="1" fontId="26" fillId="6" borderId="9" xfId="0" applyNumberFormat="1" applyFont="1" applyFill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 wrapText="1"/>
    </xf>
    <xf numFmtId="1" fontId="23" fillId="0" borderId="9" xfId="0" applyNumberFormat="1" applyFont="1" applyBorder="1" applyAlignment="1">
      <alignment horizontal="right" wrapText="1"/>
    </xf>
    <xf numFmtId="0" fontId="29" fillId="12" borderId="9" xfId="0" applyFont="1" applyFill="1" applyBorder="1" applyAlignment="1">
      <alignment horizontal="center" vertical="center" wrapText="1"/>
    </xf>
    <xf numFmtId="166" fontId="0" fillId="0" borderId="9" xfId="1" applyNumberFormat="1" applyFont="1" applyFill="1" applyBorder="1"/>
    <xf numFmtId="0" fontId="28" fillId="6" borderId="9" xfId="0" applyFont="1" applyFill="1" applyBorder="1" applyAlignment="1">
      <alignment wrapText="1"/>
    </xf>
    <xf numFmtId="9" fontId="28" fillId="6" borderId="9" xfId="1" applyFont="1" applyFill="1" applyBorder="1" applyAlignment="1">
      <alignment horizontal="center" vertical="center"/>
    </xf>
    <xf numFmtId="0" fontId="6" fillId="6" borderId="1" xfId="3" applyFont="1" applyFill="1" applyBorder="1"/>
    <xf numFmtId="0" fontId="17" fillId="6" borderId="1" xfId="3" applyFont="1" applyFill="1" applyBorder="1"/>
    <xf numFmtId="0" fontId="17" fillId="6" borderId="7" xfId="3" applyFont="1" applyFill="1" applyBorder="1"/>
    <xf numFmtId="164" fontId="7" fillId="6" borderId="1" xfId="3" applyNumberFormat="1" applyFont="1" applyFill="1" applyBorder="1"/>
    <xf numFmtId="0" fontId="16" fillId="0" borderId="10" xfId="3" applyFont="1" applyBorder="1"/>
    <xf numFmtId="0" fontId="15" fillId="3" borderId="11" xfId="3" applyFont="1" applyFill="1" applyBorder="1"/>
    <xf numFmtId="0" fontId="12" fillId="0" borderId="12" xfId="3" applyBorder="1"/>
    <xf numFmtId="0" fontId="10" fillId="0" borderId="1" xfId="3" applyFont="1" applyBorder="1" applyAlignment="1">
      <alignment wrapText="1"/>
    </xf>
    <xf numFmtId="0" fontId="10" fillId="0" borderId="7" xfId="3" applyFont="1" applyBorder="1" applyAlignment="1">
      <alignment wrapText="1"/>
    </xf>
    <xf numFmtId="0" fontId="6" fillId="0" borderId="7" xfId="3" applyFont="1" applyBorder="1"/>
    <xf numFmtId="0" fontId="10" fillId="0" borderId="7" xfId="3" applyFont="1" applyBorder="1"/>
    <xf numFmtId="0" fontId="17" fillId="0" borderId="13" xfId="3" applyFont="1" applyBorder="1"/>
    <xf numFmtId="165" fontId="17" fillId="0" borderId="14" xfId="3" applyNumberFormat="1" applyFont="1" applyBorder="1"/>
    <xf numFmtId="0" fontId="17" fillId="0" borderId="8" xfId="3" applyFont="1" applyBorder="1"/>
    <xf numFmtId="164" fontId="6" fillId="0" borderId="8" xfId="3" applyNumberFormat="1" applyFont="1" applyBorder="1"/>
    <xf numFmtId="164" fontId="6" fillId="0" borderId="15" xfId="3" applyNumberFormat="1" applyFont="1" applyBorder="1"/>
    <xf numFmtId="165" fontId="6" fillId="0" borderId="15" xfId="3" applyNumberFormat="1" applyFont="1" applyBorder="1"/>
    <xf numFmtId="0" fontId="17" fillId="0" borderId="9" xfId="3" applyFont="1" applyBorder="1"/>
    <xf numFmtId="164" fontId="6" fillId="0" borderId="9" xfId="3" applyNumberFormat="1" applyFont="1" applyBorder="1"/>
    <xf numFmtId="165" fontId="17" fillId="0" borderId="9" xfId="3" applyNumberFormat="1" applyFont="1" applyBorder="1"/>
    <xf numFmtId="0" fontId="30" fillId="0" borderId="9" xfId="3" applyFont="1" applyBorder="1"/>
    <xf numFmtId="0" fontId="31" fillId="0" borderId="4" xfId="3" applyFont="1" applyBorder="1" applyAlignment="1">
      <alignment horizontal="left" vertical="top" wrapText="1"/>
    </xf>
    <xf numFmtId="0" fontId="17" fillId="0" borderId="5" xfId="3" applyFont="1" applyBorder="1" applyAlignment="1">
      <alignment horizontal="left" vertical="top" wrapText="1"/>
    </xf>
    <xf numFmtId="0" fontId="17" fillId="0" borderId="6" xfId="3" applyFont="1" applyBorder="1" applyAlignment="1">
      <alignment horizontal="left" wrapText="1"/>
    </xf>
    <xf numFmtId="0" fontId="17" fillId="0" borderId="0" xfId="3" applyFont="1" applyAlignment="1">
      <alignment vertical="top" wrapText="1"/>
    </xf>
    <xf numFmtId="0" fontId="30" fillId="5" borderId="0" xfId="3" applyFont="1" applyFill="1"/>
    <xf numFmtId="0" fontId="30" fillId="0" borderId="0" xfId="3" applyFont="1"/>
    <xf numFmtId="0" fontId="32" fillId="0" borderId="1" xfId="2" applyFont="1" applyBorder="1"/>
    <xf numFmtId="164" fontId="30" fillId="0" borderId="1" xfId="3" applyNumberFormat="1" applyFont="1" applyBorder="1"/>
    <xf numFmtId="0" fontId="30" fillId="0" borderId="1" xfId="3" applyFont="1" applyBorder="1"/>
  </cellXfs>
  <cellStyles count="7">
    <cellStyle name="Hyperlink" xfId="2" builtinId="8"/>
    <cellStyle name="Hyperlink 2" xfId="4" xr:uid="{E9AB686B-FCEA-E048-AC89-53BD8AB4D3B9}"/>
    <cellStyle name="Hyperlink 3" xfId="6" xr:uid="{7004106E-23C7-E649-A300-7F78DBDF2DCF}"/>
    <cellStyle name="Normal" xfId="0" builtinId="0"/>
    <cellStyle name="Normal 2" xfId="3" xr:uid="{F7E06C58-6439-8448-B11A-1579CF085D3E}"/>
    <cellStyle name="Normal 3" xfId="5" xr:uid="{1AEC2E99-1B64-7C4D-ABF8-9CC707E42DEF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MCE</a:t>
            </a:r>
            <a:r>
              <a:rPr lang="en-US" baseline="0"/>
              <a:t> vs PG&amp;E Residential Rate (¢/kWh)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'Fig 10 - CCA JRCs'!$E$5</c:f>
              <c:strCache>
                <c:ptCount val="1"/>
                <c:pt idx="0">
                  <c:v>Delivery Rate ($/kWh)</c:v>
                </c:pt>
              </c:strCache>
            </c:strRef>
          </c:tx>
          <c:spPr>
            <a:solidFill>
              <a:srgbClr val="8B4511"/>
            </a:solidFill>
            <a:ln>
              <a:solidFill>
                <a:srgbClr val="8B451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F0-FB40-9E9F-0D7B5E469034}"/>
              </c:ext>
            </c:extLst>
          </c:dPt>
          <c:dPt>
            <c:idx val="3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F0-FB40-9E9F-0D7B5E469034}"/>
              </c:ext>
            </c:extLst>
          </c:dPt>
          <c:dPt>
            <c:idx val="5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F0-FB40-9E9F-0D7B5E469034}"/>
              </c:ext>
            </c:extLst>
          </c:dPt>
          <c:dPt>
            <c:idx val="7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F0-FB40-9E9F-0D7B5E469034}"/>
              </c:ext>
            </c:extLst>
          </c:dPt>
          <c:dPt>
            <c:idx val="9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F0-FB40-9E9F-0D7B5E469034}"/>
              </c:ext>
            </c:extLst>
          </c:dPt>
          <c:dPt>
            <c:idx val="11"/>
            <c:invertIfNegative val="0"/>
            <c:bubble3D val="0"/>
            <c:spPr>
              <a:solidFill>
                <a:srgbClr val="35A055"/>
              </a:solidFill>
              <a:ln>
                <a:solidFill>
                  <a:srgbClr val="35A05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1F0-FB40-9E9F-0D7B5E469034}"/>
              </c:ext>
            </c:extLst>
          </c:dPt>
          <c:cat>
            <c:multiLvlStrRef>
              <c:f>'Fig 10 - CCA JRCs'!$B$6:$C$17</c:f>
              <c:multiLvlStrCache>
                <c:ptCount val="12"/>
                <c:lvl>
                  <c:pt idx="0">
                    <c:v>PG&amp;E</c:v>
                  </c:pt>
                  <c:pt idx="1">
                    <c:v>MCE</c:v>
                  </c:pt>
                  <c:pt idx="2">
                    <c:v>PG&amp;E</c:v>
                  </c:pt>
                  <c:pt idx="3">
                    <c:v>MCE</c:v>
                  </c:pt>
                  <c:pt idx="4">
                    <c:v>PG&amp;E</c:v>
                  </c:pt>
                  <c:pt idx="5">
                    <c:v>MCE</c:v>
                  </c:pt>
                  <c:pt idx="6">
                    <c:v>PG&amp;E</c:v>
                  </c:pt>
                  <c:pt idx="7">
                    <c:v>MCE</c:v>
                  </c:pt>
                  <c:pt idx="8">
                    <c:v>PG&amp;E</c:v>
                  </c:pt>
                  <c:pt idx="9">
                    <c:v>MCE</c:v>
                  </c:pt>
                  <c:pt idx="10">
                    <c:v>PG&amp;E</c:v>
                  </c:pt>
                  <c:pt idx="11">
                    <c:v>MCE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2020</c:v>
                  </c:pt>
                  <c:pt idx="6">
                    <c:v>2021</c:v>
                  </c:pt>
                  <c:pt idx="8">
                    <c:v>2022</c:v>
                  </c:pt>
                  <c:pt idx="10">
                    <c:v>2023</c:v>
                  </c:pt>
                </c:lvl>
              </c:multiLvlStrCache>
            </c:multiLvlStrRef>
          </c:cat>
          <c:val>
            <c:numRef>
              <c:f>'Fig 10 - CCA JRCs'!$E$6:$E$17</c:f>
              <c:numCache>
                <c:formatCode>General</c:formatCode>
                <c:ptCount val="12"/>
                <c:pt idx="0">
                  <c:v>0.14049</c:v>
                </c:pt>
                <c:pt idx="1">
                  <c:v>0.14049</c:v>
                </c:pt>
                <c:pt idx="2">
                  <c:v>0.14147999999999999</c:v>
                </c:pt>
                <c:pt idx="3">
                  <c:v>0.14147999999999999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0.16694999999999999</c:v>
                </c:pt>
                <c:pt idx="7">
                  <c:v>0.16694999999999999</c:v>
                </c:pt>
                <c:pt idx="8">
                  <c:v>0.19425000000000001</c:v>
                </c:pt>
                <c:pt idx="9">
                  <c:v>0.19425000000000001</c:v>
                </c:pt>
                <c:pt idx="10">
                  <c:v>0.20915</c:v>
                </c:pt>
                <c:pt idx="11">
                  <c:v>0.20915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F0-FB40-9E9F-0D7B5E469034}"/>
            </c:ext>
          </c:extLst>
        </c:ser>
        <c:ser>
          <c:idx val="0"/>
          <c:order val="1"/>
          <c:tx>
            <c:strRef>
              <c:f>'Fig 10 - CCA JRCs'!$D$5</c:f>
              <c:strCache>
                <c:ptCount val="1"/>
                <c:pt idx="0">
                  <c:v>Generation Rate ($/kWh)</c:v>
                </c:pt>
              </c:strCache>
            </c:strRef>
          </c:tx>
          <c:spPr>
            <a:pattFill prst="dkDnDiag">
              <a:fgClr>
                <a:srgbClr val="35A055"/>
              </a:fgClr>
              <a:bgClr>
                <a:schemeClr val="bg1"/>
              </a:bgClr>
            </a:pattFill>
            <a:ln>
              <a:solidFill>
                <a:srgbClr val="35A055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1F0-FB40-9E9F-0D7B5E469034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1F0-FB40-9E9F-0D7B5E469034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1F0-FB40-9E9F-0D7B5E469034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1F0-FB40-9E9F-0D7B5E469034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1F0-FB40-9E9F-0D7B5E469034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srgbClr val="8B4511"/>
                </a:fgClr>
                <a:bgClr>
                  <a:schemeClr val="bg1"/>
                </a:bgClr>
              </a:pattFill>
              <a:ln>
                <a:solidFill>
                  <a:srgbClr val="8B451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1F0-FB40-9E9F-0D7B5E469034}"/>
              </c:ext>
            </c:extLst>
          </c:dPt>
          <c:cat>
            <c:multiLvlStrRef>
              <c:f>'Fig 10 - CCA JRCs'!$B$6:$C$17</c:f>
              <c:multiLvlStrCache>
                <c:ptCount val="12"/>
                <c:lvl>
                  <c:pt idx="0">
                    <c:v>PG&amp;E</c:v>
                  </c:pt>
                  <c:pt idx="1">
                    <c:v>MCE</c:v>
                  </c:pt>
                  <c:pt idx="2">
                    <c:v>PG&amp;E</c:v>
                  </c:pt>
                  <c:pt idx="3">
                    <c:v>MCE</c:v>
                  </c:pt>
                  <c:pt idx="4">
                    <c:v>PG&amp;E</c:v>
                  </c:pt>
                  <c:pt idx="5">
                    <c:v>MCE</c:v>
                  </c:pt>
                  <c:pt idx="6">
                    <c:v>PG&amp;E</c:v>
                  </c:pt>
                  <c:pt idx="7">
                    <c:v>MCE</c:v>
                  </c:pt>
                  <c:pt idx="8">
                    <c:v>PG&amp;E</c:v>
                  </c:pt>
                  <c:pt idx="9">
                    <c:v>MCE</c:v>
                  </c:pt>
                  <c:pt idx="10">
                    <c:v>PG&amp;E</c:v>
                  </c:pt>
                  <c:pt idx="11">
                    <c:v>MCE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2020</c:v>
                  </c:pt>
                  <c:pt idx="6">
                    <c:v>2021</c:v>
                  </c:pt>
                  <c:pt idx="8">
                    <c:v>2022</c:v>
                  </c:pt>
                  <c:pt idx="10">
                    <c:v>2023</c:v>
                  </c:pt>
                </c:lvl>
              </c:multiLvlStrCache>
            </c:multiLvlStrRef>
          </c:cat>
          <c:val>
            <c:numRef>
              <c:f>'Fig 10 - CCA JRCs'!$D$6:$D$17</c:f>
              <c:numCache>
                <c:formatCode>General</c:formatCode>
                <c:ptCount val="12"/>
                <c:pt idx="0">
                  <c:v>9.8379999999999995E-2</c:v>
                </c:pt>
                <c:pt idx="1">
                  <c:v>6.8000000000000005E-2</c:v>
                </c:pt>
                <c:pt idx="2">
                  <c:v>0.10780000000000001</c:v>
                </c:pt>
                <c:pt idx="3">
                  <c:v>6.8000000000000005E-2</c:v>
                </c:pt>
                <c:pt idx="4">
                  <c:v>0.11752</c:v>
                </c:pt>
                <c:pt idx="5">
                  <c:v>8.6999999999999994E-2</c:v>
                </c:pt>
                <c:pt idx="6">
                  <c:v>0.11209</c:v>
                </c:pt>
                <c:pt idx="7">
                  <c:v>8.6999999999999994E-2</c:v>
                </c:pt>
                <c:pt idx="8">
                  <c:v>0.12511</c:v>
                </c:pt>
                <c:pt idx="9">
                  <c:v>0.107</c:v>
                </c:pt>
                <c:pt idx="10">
                  <c:v>0.14202000000000001</c:v>
                </c:pt>
                <c:pt idx="11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1F0-FB40-9E9F-0D7B5E469034}"/>
            </c:ext>
          </c:extLst>
        </c:ser>
        <c:ser>
          <c:idx val="2"/>
          <c:order val="2"/>
          <c:tx>
            <c:strRef>
              <c:f>'Fig 10 - CCA JRCs'!$F$5</c:f>
              <c:strCache>
                <c:ptCount val="1"/>
                <c:pt idx="0">
                  <c:v>PCIA ($/kWh)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'Fig 10 - CCA JRCs'!$B$6:$C$17</c:f>
              <c:multiLvlStrCache>
                <c:ptCount val="12"/>
                <c:lvl>
                  <c:pt idx="0">
                    <c:v>PG&amp;E</c:v>
                  </c:pt>
                  <c:pt idx="1">
                    <c:v>MCE</c:v>
                  </c:pt>
                  <c:pt idx="2">
                    <c:v>PG&amp;E</c:v>
                  </c:pt>
                  <c:pt idx="3">
                    <c:v>MCE</c:v>
                  </c:pt>
                  <c:pt idx="4">
                    <c:v>PG&amp;E</c:v>
                  </c:pt>
                  <c:pt idx="5">
                    <c:v>MCE</c:v>
                  </c:pt>
                  <c:pt idx="6">
                    <c:v>PG&amp;E</c:v>
                  </c:pt>
                  <c:pt idx="7">
                    <c:v>MCE</c:v>
                  </c:pt>
                  <c:pt idx="8">
                    <c:v>PG&amp;E</c:v>
                  </c:pt>
                  <c:pt idx="9">
                    <c:v>MCE</c:v>
                  </c:pt>
                  <c:pt idx="10">
                    <c:v>PG&amp;E</c:v>
                  </c:pt>
                  <c:pt idx="11">
                    <c:v>MCE</c:v>
                  </c:pt>
                </c:lvl>
                <c:lvl>
                  <c:pt idx="0">
                    <c:v>2017</c:v>
                  </c:pt>
                  <c:pt idx="2">
                    <c:v>2018</c:v>
                  </c:pt>
                  <c:pt idx="4">
                    <c:v>2020</c:v>
                  </c:pt>
                  <c:pt idx="6">
                    <c:v>2021</c:v>
                  </c:pt>
                  <c:pt idx="8">
                    <c:v>2022</c:v>
                  </c:pt>
                  <c:pt idx="10">
                    <c:v>2023</c:v>
                  </c:pt>
                </c:lvl>
              </c:multiLvlStrCache>
            </c:multiLvlStrRef>
          </c:cat>
          <c:val>
            <c:numRef>
              <c:f>'Fig 10 - CCA JRCs'!$F$6:$F$17</c:f>
              <c:numCache>
                <c:formatCode>General</c:formatCode>
                <c:ptCount val="12"/>
                <c:pt idx="0">
                  <c:v>0</c:v>
                </c:pt>
                <c:pt idx="1">
                  <c:v>2.9770000000000001E-2</c:v>
                </c:pt>
                <c:pt idx="2">
                  <c:v>0</c:v>
                </c:pt>
                <c:pt idx="3">
                  <c:v>3.4009999999999999E-2</c:v>
                </c:pt>
                <c:pt idx="4">
                  <c:v>0</c:v>
                </c:pt>
                <c:pt idx="5">
                  <c:v>3.397E-2</c:v>
                </c:pt>
                <c:pt idx="6">
                  <c:v>0</c:v>
                </c:pt>
                <c:pt idx="7">
                  <c:v>4.4580000000000002E-2</c:v>
                </c:pt>
                <c:pt idx="8">
                  <c:v>2.6630000000000001E-2</c:v>
                </c:pt>
                <c:pt idx="9">
                  <c:v>2.0799999999999999E-2</c:v>
                </c:pt>
                <c:pt idx="10">
                  <c:v>1.4120000000000001E-2</c:v>
                </c:pt>
                <c:pt idx="11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1F0-FB40-9E9F-0D7B5E46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31564944"/>
        <c:axId val="832950176"/>
      </c:barChart>
      <c:catAx>
        <c:axId val="8315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950176"/>
        <c:crosses val="autoZero"/>
        <c:auto val="1"/>
        <c:lblAlgn val="ctr"/>
        <c:lblOffset val="100"/>
        <c:noMultiLvlLbl val="0"/>
      </c:catAx>
      <c:valAx>
        <c:axId val="8329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5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CPA vs SCE Residential</a:t>
            </a:r>
            <a:r>
              <a:rPr lang="en-US" baseline="0"/>
              <a:t> Rate (¢/kWh)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'Fig 10 - CCA JRCs'!$E$22</c:f>
              <c:strCache>
                <c:ptCount val="1"/>
                <c:pt idx="0">
                  <c:v>Delivery Rate ($/kWh)</c:v>
                </c:pt>
              </c:strCache>
            </c:strRef>
          </c:tx>
          <c:spPr>
            <a:solidFill>
              <a:srgbClr val="98D594"/>
            </a:solidFill>
            <a:ln>
              <a:solidFill>
                <a:srgbClr val="98D594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1691D"/>
              </a:solid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1-0D4E-B366-AEC75C1DB286}"/>
              </c:ext>
            </c:extLst>
          </c:dPt>
          <c:dPt>
            <c:idx val="2"/>
            <c:invertIfNegative val="0"/>
            <c:bubble3D val="0"/>
            <c:spPr>
              <a:solidFill>
                <a:srgbClr val="D1691D"/>
              </a:solid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1-0D4E-B366-AEC75C1DB286}"/>
              </c:ext>
            </c:extLst>
          </c:dPt>
          <c:dPt>
            <c:idx val="4"/>
            <c:invertIfNegative val="0"/>
            <c:bubble3D val="0"/>
            <c:spPr>
              <a:solidFill>
                <a:srgbClr val="D1691D"/>
              </a:solid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1-0D4E-B366-AEC75C1DB286}"/>
              </c:ext>
            </c:extLst>
          </c:dPt>
          <c:dPt>
            <c:idx val="6"/>
            <c:invertIfNegative val="0"/>
            <c:bubble3D val="0"/>
            <c:spPr>
              <a:solidFill>
                <a:srgbClr val="D1691D"/>
              </a:solid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11-0D4E-B366-AEC75C1DB286}"/>
              </c:ext>
            </c:extLst>
          </c:dPt>
          <c:dPt>
            <c:idx val="8"/>
            <c:invertIfNegative val="0"/>
            <c:bubble3D val="0"/>
            <c:spPr>
              <a:solidFill>
                <a:srgbClr val="D1691D"/>
              </a:solid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11-0D4E-B366-AEC75C1DB286}"/>
              </c:ext>
            </c:extLst>
          </c:dPt>
          <c:cat>
            <c:multiLvlStrRef>
              <c:f>'Fig 10 - CCA JRCs'!$B$23:$C$32</c:f>
              <c:multiLvlStrCache>
                <c:ptCount val="10"/>
                <c:lvl>
                  <c:pt idx="0">
                    <c:v>SCE</c:v>
                  </c:pt>
                  <c:pt idx="1">
                    <c:v>CPA</c:v>
                  </c:pt>
                  <c:pt idx="2">
                    <c:v>SCE</c:v>
                  </c:pt>
                  <c:pt idx="3">
                    <c:v>CPA</c:v>
                  </c:pt>
                  <c:pt idx="4">
                    <c:v>SCE</c:v>
                  </c:pt>
                  <c:pt idx="5">
                    <c:v>CPA</c:v>
                  </c:pt>
                  <c:pt idx="6">
                    <c:v>SCE</c:v>
                  </c:pt>
                  <c:pt idx="7">
                    <c:v>CPA</c:v>
                  </c:pt>
                  <c:pt idx="8">
                    <c:v>SCE</c:v>
                  </c:pt>
                  <c:pt idx="9">
                    <c:v>CPA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  <c:pt idx="4">
                    <c:v>2021</c:v>
                  </c:pt>
                  <c:pt idx="6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'Fig 10 - CCA JRCs'!$E$23:$E$32</c:f>
              <c:numCache>
                <c:formatCode>General</c:formatCode>
                <c:ptCount val="10"/>
                <c:pt idx="0">
                  <c:v>0.10888</c:v>
                </c:pt>
                <c:pt idx="1">
                  <c:v>0.10385</c:v>
                </c:pt>
                <c:pt idx="2">
                  <c:v>0.13453999999999999</c:v>
                </c:pt>
                <c:pt idx="3">
                  <c:v>0.13453999999999999</c:v>
                </c:pt>
                <c:pt idx="4">
                  <c:v>0.15795000000000001</c:v>
                </c:pt>
                <c:pt idx="5">
                  <c:v>0.15795000000000001</c:v>
                </c:pt>
                <c:pt idx="6">
                  <c:v>0.19273000000000001</c:v>
                </c:pt>
                <c:pt idx="7">
                  <c:v>0.19273000000000001</c:v>
                </c:pt>
                <c:pt idx="8">
                  <c:v>0.19</c:v>
                </c:pt>
                <c:pt idx="9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11-0D4E-B366-AEC75C1DB286}"/>
            </c:ext>
          </c:extLst>
        </c:ser>
        <c:ser>
          <c:idx val="0"/>
          <c:order val="1"/>
          <c:tx>
            <c:strRef>
              <c:f>'Fig 10 - CCA JRCs'!$D$22</c:f>
              <c:strCache>
                <c:ptCount val="1"/>
                <c:pt idx="0">
                  <c:v>Generation Rate ($/kWh)</c:v>
                </c:pt>
              </c:strCache>
            </c:strRef>
          </c:tx>
          <c:spPr>
            <a:pattFill prst="dkDnDiag">
              <a:fgClr>
                <a:srgbClr val="D1691D"/>
              </a:fgClr>
              <a:bgClr>
                <a:schemeClr val="bg1"/>
              </a:bgClr>
            </a:pattFill>
            <a:ln>
              <a:solidFill>
                <a:srgbClr val="98D594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D1691D"/>
                </a:fgClr>
                <a:bgClr>
                  <a:schemeClr val="bg1"/>
                </a:bgClr>
              </a:patt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211-0D4E-B366-AEC75C1DB286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srgbClr val="98D594"/>
                </a:fgClr>
                <a:bgClr>
                  <a:schemeClr val="bg1"/>
                </a:bgClr>
              </a:pattFill>
              <a:ln>
                <a:solidFill>
                  <a:srgbClr val="98D59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211-0D4E-B366-AEC75C1DB286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D1691D"/>
                </a:fgClr>
                <a:bgClr>
                  <a:schemeClr val="bg1"/>
                </a:bgClr>
              </a:patt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211-0D4E-B366-AEC75C1DB28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98D594"/>
                </a:fgClr>
                <a:bgClr>
                  <a:schemeClr val="bg1"/>
                </a:bgClr>
              </a:pattFill>
              <a:ln>
                <a:solidFill>
                  <a:srgbClr val="98D59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211-0D4E-B366-AEC75C1DB286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srgbClr val="D1691D"/>
                </a:fgClr>
                <a:bgClr>
                  <a:schemeClr val="bg1"/>
                </a:bgClr>
              </a:patt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211-0D4E-B366-AEC75C1DB286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srgbClr val="98D594"/>
                </a:fgClr>
                <a:bgClr>
                  <a:schemeClr val="bg1"/>
                </a:bgClr>
              </a:pattFill>
              <a:ln>
                <a:solidFill>
                  <a:srgbClr val="98D59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211-0D4E-B366-AEC75C1DB286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srgbClr val="D1691D"/>
                </a:fgClr>
                <a:bgClr>
                  <a:schemeClr val="bg1"/>
                </a:bgClr>
              </a:patt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211-0D4E-B366-AEC75C1DB286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srgbClr val="98D594"/>
                </a:fgClr>
                <a:bgClr>
                  <a:schemeClr val="bg1"/>
                </a:bgClr>
              </a:pattFill>
              <a:ln>
                <a:solidFill>
                  <a:srgbClr val="98D59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211-0D4E-B366-AEC75C1DB286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srgbClr val="D1691D"/>
                </a:fgClr>
                <a:bgClr>
                  <a:schemeClr val="bg1"/>
                </a:bgClr>
              </a:pattFill>
              <a:ln>
                <a:solidFill>
                  <a:srgbClr val="D1691D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211-0D4E-B366-AEC75C1DB286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srgbClr val="98D594"/>
                </a:fgClr>
                <a:bgClr>
                  <a:schemeClr val="bg1"/>
                </a:bgClr>
              </a:pattFill>
              <a:ln>
                <a:solidFill>
                  <a:srgbClr val="98D59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2211-0D4E-B366-AEC75C1DB286}"/>
              </c:ext>
            </c:extLst>
          </c:dPt>
          <c:cat>
            <c:multiLvlStrRef>
              <c:f>'Fig 10 - CCA JRCs'!$B$23:$C$32</c:f>
              <c:multiLvlStrCache>
                <c:ptCount val="10"/>
                <c:lvl>
                  <c:pt idx="0">
                    <c:v>SCE</c:v>
                  </c:pt>
                  <c:pt idx="1">
                    <c:v>CPA</c:v>
                  </c:pt>
                  <c:pt idx="2">
                    <c:v>SCE</c:v>
                  </c:pt>
                  <c:pt idx="3">
                    <c:v>CPA</c:v>
                  </c:pt>
                  <c:pt idx="4">
                    <c:v>SCE</c:v>
                  </c:pt>
                  <c:pt idx="5">
                    <c:v>CPA</c:v>
                  </c:pt>
                  <c:pt idx="6">
                    <c:v>SCE</c:v>
                  </c:pt>
                  <c:pt idx="7">
                    <c:v>CPA</c:v>
                  </c:pt>
                  <c:pt idx="8">
                    <c:v>SCE</c:v>
                  </c:pt>
                  <c:pt idx="9">
                    <c:v>CPA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  <c:pt idx="4">
                    <c:v>2021</c:v>
                  </c:pt>
                  <c:pt idx="6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'Fig 10 - CCA JRCs'!$D$23:$D$32</c:f>
              <c:numCache>
                <c:formatCode>General</c:formatCode>
                <c:ptCount val="10"/>
                <c:pt idx="0">
                  <c:v>9.146E-2</c:v>
                </c:pt>
                <c:pt idx="1">
                  <c:v>5.9249999999999997E-2</c:v>
                </c:pt>
                <c:pt idx="2">
                  <c:v>9.6089999999999995E-2</c:v>
                </c:pt>
                <c:pt idx="3">
                  <c:v>6.9889999999999994E-2</c:v>
                </c:pt>
                <c:pt idx="4">
                  <c:v>9.5449999999999993E-2</c:v>
                </c:pt>
                <c:pt idx="5">
                  <c:v>6.9919999999999996E-2</c:v>
                </c:pt>
                <c:pt idx="6">
                  <c:v>0.11259</c:v>
                </c:pt>
                <c:pt idx="7">
                  <c:v>0.10496</c:v>
                </c:pt>
                <c:pt idx="8">
                  <c:v>0.17</c:v>
                </c:pt>
                <c:pt idx="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211-0D4E-B366-AEC75C1DB286}"/>
            </c:ext>
          </c:extLst>
        </c:ser>
        <c:ser>
          <c:idx val="2"/>
          <c:order val="2"/>
          <c:tx>
            <c:strRef>
              <c:f>'Fig 10 - CCA JRCs'!$F$22</c:f>
              <c:strCache>
                <c:ptCount val="1"/>
                <c:pt idx="0">
                  <c:v>PCIA ($/kWh)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multiLvlStrRef>
              <c:f>'Fig 10 - CCA JRCs'!$B$23:$C$32</c:f>
              <c:multiLvlStrCache>
                <c:ptCount val="10"/>
                <c:lvl>
                  <c:pt idx="0">
                    <c:v>SCE</c:v>
                  </c:pt>
                  <c:pt idx="1">
                    <c:v>CPA</c:v>
                  </c:pt>
                  <c:pt idx="2">
                    <c:v>SCE</c:v>
                  </c:pt>
                  <c:pt idx="3">
                    <c:v>CPA</c:v>
                  </c:pt>
                  <c:pt idx="4">
                    <c:v>SCE</c:v>
                  </c:pt>
                  <c:pt idx="5">
                    <c:v>CPA</c:v>
                  </c:pt>
                  <c:pt idx="6">
                    <c:v>SCE</c:v>
                  </c:pt>
                  <c:pt idx="7">
                    <c:v>CPA</c:v>
                  </c:pt>
                  <c:pt idx="8">
                    <c:v>SCE</c:v>
                  </c:pt>
                  <c:pt idx="9">
                    <c:v>CPA</c:v>
                  </c:pt>
                </c:lvl>
                <c:lvl>
                  <c:pt idx="0">
                    <c:v>2019</c:v>
                  </c:pt>
                  <c:pt idx="2">
                    <c:v>2020</c:v>
                  </c:pt>
                  <c:pt idx="4">
                    <c:v>2021</c:v>
                  </c:pt>
                  <c:pt idx="6">
                    <c:v>2022</c:v>
                  </c:pt>
                  <c:pt idx="8">
                    <c:v>2023</c:v>
                  </c:pt>
                </c:lvl>
              </c:multiLvlStrCache>
            </c:multiLvlStrRef>
          </c:cat>
          <c:val>
            <c:numRef>
              <c:f>'Fig 10 - CCA JRCs'!$F$23:$F$32</c:f>
              <c:numCache>
                <c:formatCode>General</c:formatCode>
                <c:ptCount val="10"/>
                <c:pt idx="0">
                  <c:v>0</c:v>
                </c:pt>
                <c:pt idx="1">
                  <c:v>3.5400000000000001E-2</c:v>
                </c:pt>
                <c:pt idx="2">
                  <c:v>0</c:v>
                </c:pt>
                <c:pt idx="3">
                  <c:v>2.4230000000000002E-2</c:v>
                </c:pt>
                <c:pt idx="4">
                  <c:v>0</c:v>
                </c:pt>
                <c:pt idx="5">
                  <c:v>3.0779999999999998E-2</c:v>
                </c:pt>
                <c:pt idx="6">
                  <c:v>0</c:v>
                </c:pt>
                <c:pt idx="7">
                  <c:v>4.5500000000000002E-3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211-0D4E-B366-AEC75C1D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49604559"/>
        <c:axId val="1316281903"/>
      </c:barChart>
      <c:catAx>
        <c:axId val="114960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81903"/>
        <c:crosses val="autoZero"/>
        <c:auto val="1"/>
        <c:lblAlgn val="ctr"/>
        <c:lblOffset val="100"/>
        <c:noMultiLvlLbl val="0"/>
      </c:catAx>
      <c:valAx>
        <c:axId val="13162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0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609600</xdr:colOff>
      <xdr:row>2</xdr:row>
      <xdr:rowOff>184150</xdr:rowOff>
    </xdr:from>
    <xdr:to>
      <xdr:col>13</xdr:col>
      <xdr:colOff>139700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AD096-7E2E-9A45-95D3-58FF969E8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635000</xdr:colOff>
      <xdr:row>18</xdr:row>
      <xdr:rowOff>31750</xdr:rowOff>
    </xdr:from>
    <xdr:to>
      <xdr:col>13</xdr:col>
      <xdr:colOff>165100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3A3FD-98EC-D541-9187-A0FFBA8CB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electricity/data/eia861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ecleanenergy.org/wp-content/uploads/2021/12/MCE-Board-Meeting-Packet-December_2021-1.pdf" TargetMode="External"/><Relationship Id="rId13" Type="http://schemas.openxmlformats.org/officeDocument/2006/relationships/hyperlink" Target="https://www.mcecleanenergy.org/wp-content/uploads/2020/06/MCE-Board-Meeting-Packet-February_2013.pdf" TargetMode="External"/><Relationship Id="rId3" Type="http://schemas.openxmlformats.org/officeDocument/2006/relationships/hyperlink" Target="https://www.mcecleanenergy.org/wp-content/uploads/2020/06/MCE-Board-Meeting-Packet-March_2015.pdf" TargetMode="External"/><Relationship Id="rId7" Type="http://schemas.openxmlformats.org/officeDocument/2006/relationships/hyperlink" Target="https://www.mcecleanenergy.org/wp-content/uploads/2019/12/MCE-Board-Meeting-Packet-June_2019.pdf" TargetMode="External"/><Relationship Id="rId12" Type="http://schemas.openxmlformats.org/officeDocument/2006/relationships/hyperlink" Target="https://www.pge.com/tariffs/assets/pdf/adviceletter/ELEC_5231-E.pdf%20had%20to%20use%20March%202018%20because%20January%202018%20was%20missing%20PCIA%20vintage%20tables" TargetMode="External"/><Relationship Id="rId2" Type="http://schemas.openxmlformats.org/officeDocument/2006/relationships/hyperlink" Target="https://www.mcecleanenergy.org/wp-content/uploads/2020/06/MCE-Board-Meeting-Packet-April_2014.pdf" TargetMode="External"/><Relationship Id="rId1" Type="http://schemas.openxmlformats.org/officeDocument/2006/relationships/hyperlink" Target="https://www.mcecleanenergy.org/wp-content/uploads/2020/06/MCE-Board-Meeting-Packet-February_2013.pdf" TargetMode="External"/><Relationship Id="rId6" Type="http://schemas.openxmlformats.org/officeDocument/2006/relationships/hyperlink" Target="https://www.mcecleanenergy.org/wp-content/uploads/2020/05/MCE-Board-Meeting-Packet-May_2018.pdf" TargetMode="External"/><Relationship Id="rId11" Type="http://schemas.openxmlformats.org/officeDocument/2006/relationships/hyperlink" Target="https://www.mcecleanenergy.org/wp-content/uploads/2022/02/MCE-Residential-Rates-Updated_03012022.pdf" TargetMode="External"/><Relationship Id="rId5" Type="http://schemas.openxmlformats.org/officeDocument/2006/relationships/hyperlink" Target="https://www.mcecleanenergy.org/wp-content/uploads/2020/05/MCE-Board-Meeting-Packet-March_2017.pdf" TargetMode="External"/><Relationship Id="rId10" Type="http://schemas.openxmlformats.org/officeDocument/2006/relationships/hyperlink" Target="https://www.mcecleanenergy.org/wp-content/uploads/2023/05/MCE-Residential-Rates-05052023.pdf" TargetMode="External"/><Relationship Id="rId4" Type="http://schemas.openxmlformats.org/officeDocument/2006/relationships/hyperlink" Target="https://www.mcecleanenergy.org/wp-content/uploads/2020/06/MCE-Board-Meeting-Packet-March_2016.pdf" TargetMode="External"/><Relationship Id="rId9" Type="http://schemas.openxmlformats.org/officeDocument/2006/relationships/hyperlink" Target="https://mcecleanenergy.org/wp-content/uploads/2024/06/MCE-Residential-Rates-04022024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907B-4F6B-8B4D-B4E0-D385A3B3796B}">
  <dimension ref="A1:F67"/>
  <sheetViews>
    <sheetView topLeftCell="A40" workbookViewId="0">
      <selection activeCell="E65" sqref="E65"/>
    </sheetView>
  </sheetViews>
  <sheetFormatPr baseColWidth="10" defaultRowHeight="16" x14ac:dyDescent="0.2"/>
  <sheetData>
    <row r="1" spans="1:3" ht="46" customHeight="1" x14ac:dyDescent="0.2">
      <c r="A1" s="37" t="s">
        <v>182</v>
      </c>
      <c r="B1" s="37" t="s">
        <v>3</v>
      </c>
      <c r="C1" s="37" t="s">
        <v>183</v>
      </c>
    </row>
    <row r="2" spans="1:3" x14ac:dyDescent="0.2">
      <c r="A2" s="55">
        <v>21186</v>
      </c>
      <c r="B2" s="38">
        <v>1958</v>
      </c>
      <c r="C2" s="38">
        <v>29.591666669999999</v>
      </c>
    </row>
    <row r="3" spans="1:3" x14ac:dyDescent="0.2">
      <c r="A3" s="55">
        <v>21551</v>
      </c>
      <c r="B3" s="38">
        <v>1959</v>
      </c>
      <c r="C3" s="38">
        <v>30.175000000000001</v>
      </c>
    </row>
    <row r="4" spans="1:3" x14ac:dyDescent="0.2">
      <c r="A4" s="55">
        <v>21916</v>
      </c>
      <c r="B4" s="38">
        <v>1960</v>
      </c>
      <c r="C4" s="38">
        <v>30.641666669999999</v>
      </c>
    </row>
    <row r="5" spans="1:3" x14ac:dyDescent="0.2">
      <c r="A5" s="55">
        <v>22282</v>
      </c>
      <c r="B5" s="38">
        <v>1961</v>
      </c>
      <c r="C5" s="38">
        <v>31</v>
      </c>
    </row>
    <row r="6" spans="1:3" x14ac:dyDescent="0.2">
      <c r="A6" s="55">
        <v>22647</v>
      </c>
      <c r="B6" s="38">
        <v>1962</v>
      </c>
      <c r="C6" s="38">
        <v>31.4</v>
      </c>
    </row>
    <row r="7" spans="1:3" x14ac:dyDescent="0.2">
      <c r="A7" s="55">
        <v>23012</v>
      </c>
      <c r="B7" s="38">
        <v>1963</v>
      </c>
      <c r="C7" s="38">
        <v>31.80833333</v>
      </c>
    </row>
    <row r="8" spans="1:3" x14ac:dyDescent="0.2">
      <c r="A8" s="55">
        <v>23377</v>
      </c>
      <c r="B8" s="38">
        <v>1964</v>
      </c>
      <c r="C8" s="38">
        <v>32.299999999999997</v>
      </c>
    </row>
    <row r="9" spans="1:3" x14ac:dyDescent="0.2">
      <c r="A9" s="55">
        <v>23743</v>
      </c>
      <c r="B9" s="38">
        <v>1965</v>
      </c>
      <c r="C9" s="38">
        <v>32.733333330000001</v>
      </c>
    </row>
    <row r="10" spans="1:3" x14ac:dyDescent="0.2">
      <c r="A10" s="55">
        <v>24108</v>
      </c>
      <c r="B10" s="38">
        <v>1966</v>
      </c>
      <c r="C10" s="38">
        <v>33.549999999999997</v>
      </c>
    </row>
    <row r="11" spans="1:3" x14ac:dyDescent="0.2">
      <c r="A11" s="55">
        <v>24473</v>
      </c>
      <c r="B11" s="38">
        <v>1967</v>
      </c>
      <c r="C11" s="38">
        <v>34.708333330000002</v>
      </c>
    </row>
    <row r="12" spans="1:3" x14ac:dyDescent="0.2">
      <c r="A12" s="55">
        <v>24838</v>
      </c>
      <c r="B12" s="38">
        <v>1968</v>
      </c>
      <c r="C12" s="38">
        <v>36.325000000000003</v>
      </c>
    </row>
    <row r="13" spans="1:3" x14ac:dyDescent="0.2">
      <c r="A13" s="55">
        <v>25204</v>
      </c>
      <c r="B13" s="38">
        <v>1969</v>
      </c>
      <c r="C13" s="38">
        <v>38.416666669999998</v>
      </c>
    </row>
    <row r="14" spans="1:3" x14ac:dyDescent="0.2">
      <c r="A14" s="55">
        <v>25569</v>
      </c>
      <c r="B14" s="38">
        <v>1970</v>
      </c>
      <c r="C14" s="38">
        <v>40.816666669999996</v>
      </c>
    </row>
    <row r="15" spans="1:3" x14ac:dyDescent="0.2">
      <c r="A15" s="55">
        <v>25934</v>
      </c>
      <c r="B15" s="38">
        <v>1971</v>
      </c>
      <c r="C15" s="38">
        <v>42.733333330000001</v>
      </c>
    </row>
    <row r="16" spans="1:3" x14ac:dyDescent="0.2">
      <c r="A16" s="55">
        <v>26299</v>
      </c>
      <c r="B16" s="38">
        <v>1972</v>
      </c>
      <c r="C16" s="38">
        <v>44.041666669999998</v>
      </c>
    </row>
    <row r="17" spans="1:3" x14ac:dyDescent="0.2">
      <c r="A17" s="55">
        <v>26665</v>
      </c>
      <c r="B17" s="38">
        <v>1973</v>
      </c>
      <c r="C17" s="38">
        <v>45.575000000000003</v>
      </c>
    </row>
    <row r="18" spans="1:3" x14ac:dyDescent="0.2">
      <c r="A18" s="55">
        <v>27030</v>
      </c>
      <c r="B18" s="38">
        <v>1974</v>
      </c>
      <c r="C18" s="38">
        <v>49.358333330000001</v>
      </c>
    </row>
    <row r="19" spans="1:3" x14ac:dyDescent="0.2">
      <c r="A19" s="55">
        <v>27395</v>
      </c>
      <c r="B19" s="38">
        <v>1975</v>
      </c>
      <c r="C19" s="38">
        <v>53.908333329999998</v>
      </c>
    </row>
    <row r="20" spans="1:3" x14ac:dyDescent="0.2">
      <c r="A20" s="55">
        <v>27760</v>
      </c>
      <c r="B20" s="38">
        <v>1976</v>
      </c>
      <c r="C20" s="38">
        <v>57.441666669999996</v>
      </c>
    </row>
    <row r="21" spans="1:3" x14ac:dyDescent="0.2">
      <c r="A21" s="55">
        <v>28126</v>
      </c>
      <c r="B21" s="38">
        <v>1977</v>
      </c>
      <c r="C21" s="38">
        <v>61.033333329999998</v>
      </c>
    </row>
    <row r="22" spans="1:3" x14ac:dyDescent="0.2">
      <c r="A22" s="55">
        <v>28491</v>
      </c>
      <c r="B22" s="38">
        <v>1978</v>
      </c>
      <c r="C22" s="38">
        <v>65.474999999999994</v>
      </c>
    </row>
    <row r="23" spans="1:3" x14ac:dyDescent="0.2">
      <c r="A23" s="55">
        <v>28856</v>
      </c>
      <c r="B23" s="38">
        <v>1979</v>
      </c>
      <c r="C23" s="38">
        <v>71.858333329999994</v>
      </c>
    </row>
    <row r="24" spans="1:3" x14ac:dyDescent="0.2">
      <c r="A24" s="55">
        <v>29221</v>
      </c>
      <c r="B24" s="38">
        <v>1980</v>
      </c>
      <c r="C24" s="38">
        <v>80.783333330000005</v>
      </c>
    </row>
    <row r="25" spans="1:3" x14ac:dyDescent="0.2">
      <c r="A25" s="55">
        <v>29587</v>
      </c>
      <c r="B25" s="38">
        <v>1981</v>
      </c>
      <c r="C25" s="38">
        <v>89.25</v>
      </c>
    </row>
    <row r="26" spans="1:3" x14ac:dyDescent="0.2">
      <c r="A26" s="55">
        <v>29952</v>
      </c>
      <c r="B26" s="38">
        <v>1982</v>
      </c>
      <c r="C26" s="38">
        <v>95.85</v>
      </c>
    </row>
    <row r="27" spans="1:3" x14ac:dyDescent="0.2">
      <c r="A27" s="55">
        <v>30317</v>
      </c>
      <c r="B27" s="38">
        <v>1983</v>
      </c>
      <c r="C27" s="38">
        <v>99.6</v>
      </c>
    </row>
    <row r="28" spans="1:3" x14ac:dyDescent="0.2">
      <c r="A28" s="55">
        <v>30682</v>
      </c>
      <c r="B28" s="38">
        <v>1984</v>
      </c>
      <c r="C28" s="38">
        <v>104.7</v>
      </c>
    </row>
    <row r="29" spans="1:3" x14ac:dyDescent="0.2">
      <c r="A29" s="55">
        <v>31048</v>
      </c>
      <c r="B29" s="38">
        <v>1985</v>
      </c>
      <c r="C29" s="38">
        <v>109.2833333</v>
      </c>
    </row>
    <row r="30" spans="1:3" x14ac:dyDescent="0.2">
      <c r="A30" s="55">
        <v>31413</v>
      </c>
      <c r="B30" s="38">
        <v>1986</v>
      </c>
      <c r="C30" s="38">
        <v>113.70833330000001</v>
      </c>
    </row>
    <row r="31" spans="1:3" x14ac:dyDescent="0.2">
      <c r="A31" s="55">
        <v>31778</v>
      </c>
      <c r="B31" s="38">
        <v>1987</v>
      </c>
      <c r="C31" s="38">
        <v>118.175</v>
      </c>
    </row>
    <row r="32" spans="1:3" x14ac:dyDescent="0.2">
      <c r="A32" s="55">
        <v>32143</v>
      </c>
      <c r="B32" s="38">
        <v>1988</v>
      </c>
      <c r="C32" s="38">
        <v>123.425</v>
      </c>
    </row>
    <row r="33" spans="1:3" x14ac:dyDescent="0.2">
      <c r="A33" s="55">
        <v>32509</v>
      </c>
      <c r="B33" s="38">
        <v>1989</v>
      </c>
      <c r="C33" s="38">
        <v>128.96666669999999</v>
      </c>
    </row>
    <row r="34" spans="1:3" x14ac:dyDescent="0.2">
      <c r="A34" s="55">
        <v>32874</v>
      </c>
      <c r="B34" s="38">
        <v>1990</v>
      </c>
      <c r="C34" s="38">
        <v>135.45833329999999</v>
      </c>
    </row>
    <row r="35" spans="1:3" x14ac:dyDescent="0.2">
      <c r="A35" s="55">
        <v>33239</v>
      </c>
      <c r="B35" s="38">
        <v>1991</v>
      </c>
      <c r="C35" s="38">
        <v>142.1166667</v>
      </c>
    </row>
    <row r="36" spans="1:3" x14ac:dyDescent="0.2">
      <c r="A36" s="55">
        <v>33604</v>
      </c>
      <c r="B36" s="38">
        <v>1992</v>
      </c>
      <c r="C36" s="38">
        <v>147.31666670000001</v>
      </c>
    </row>
    <row r="37" spans="1:3" x14ac:dyDescent="0.2">
      <c r="A37" s="55">
        <v>33970</v>
      </c>
      <c r="B37" s="38">
        <v>1993</v>
      </c>
      <c r="C37" s="38">
        <v>152.19999999999999</v>
      </c>
    </row>
    <row r="38" spans="1:3" x14ac:dyDescent="0.2">
      <c r="A38" s="55">
        <v>34335</v>
      </c>
      <c r="B38" s="38">
        <v>1994</v>
      </c>
      <c r="C38" s="38">
        <v>156.5</v>
      </c>
    </row>
    <row r="39" spans="1:3" x14ac:dyDescent="0.2">
      <c r="A39" s="55">
        <v>34700</v>
      </c>
      <c r="B39" s="38">
        <v>1995</v>
      </c>
      <c r="C39" s="38">
        <v>161.22499999999999</v>
      </c>
    </row>
    <row r="40" spans="1:3" x14ac:dyDescent="0.2">
      <c r="A40" s="55">
        <v>35065</v>
      </c>
      <c r="B40" s="38">
        <v>1996</v>
      </c>
      <c r="C40" s="38">
        <v>165.55833329999999</v>
      </c>
    </row>
    <row r="41" spans="1:3" x14ac:dyDescent="0.2">
      <c r="A41" s="55">
        <v>35431</v>
      </c>
      <c r="B41" s="38">
        <v>1997</v>
      </c>
      <c r="C41" s="38">
        <v>169.5083333</v>
      </c>
    </row>
    <row r="42" spans="1:3" x14ac:dyDescent="0.2">
      <c r="A42" s="55">
        <v>35796</v>
      </c>
      <c r="B42" s="38">
        <v>1998</v>
      </c>
      <c r="C42" s="38">
        <v>173.3833333</v>
      </c>
    </row>
    <row r="43" spans="1:3" x14ac:dyDescent="0.2">
      <c r="A43" s="55">
        <v>36161</v>
      </c>
      <c r="B43" s="38">
        <v>1999</v>
      </c>
      <c r="C43" s="38">
        <v>176.97499999999999</v>
      </c>
    </row>
    <row r="44" spans="1:3" x14ac:dyDescent="0.2">
      <c r="A44" s="55">
        <v>36526</v>
      </c>
      <c r="B44" s="38">
        <v>2000</v>
      </c>
      <c r="C44" s="38">
        <v>181.29166670000001</v>
      </c>
    </row>
    <row r="45" spans="1:3" x14ac:dyDescent="0.2">
      <c r="A45" s="55">
        <v>36892</v>
      </c>
      <c r="B45" s="38">
        <v>2001</v>
      </c>
      <c r="C45" s="38">
        <v>186.125</v>
      </c>
    </row>
    <row r="46" spans="1:3" x14ac:dyDescent="0.2">
      <c r="A46" s="55">
        <v>37257</v>
      </c>
      <c r="B46" s="38">
        <v>2002</v>
      </c>
      <c r="C46" s="38">
        <v>190.44166670000001</v>
      </c>
    </row>
    <row r="47" spans="1:3" x14ac:dyDescent="0.2">
      <c r="A47" s="55">
        <v>37622</v>
      </c>
      <c r="B47" s="38">
        <v>2003</v>
      </c>
      <c r="C47" s="38">
        <v>193.22499999999999</v>
      </c>
    </row>
    <row r="48" spans="1:3" x14ac:dyDescent="0.2">
      <c r="A48" s="55">
        <v>37987</v>
      </c>
      <c r="B48" s="38">
        <v>2004</v>
      </c>
      <c r="C48" s="38">
        <v>196.6416667</v>
      </c>
    </row>
    <row r="49" spans="1:3" x14ac:dyDescent="0.2">
      <c r="A49" s="55">
        <v>38353</v>
      </c>
      <c r="B49" s="38">
        <v>2005</v>
      </c>
      <c r="C49" s="38">
        <v>200.8666667</v>
      </c>
    </row>
    <row r="50" spans="1:3" x14ac:dyDescent="0.2">
      <c r="A50" s="55">
        <v>38718</v>
      </c>
      <c r="B50" s="38">
        <v>2006</v>
      </c>
      <c r="C50" s="38">
        <v>205.91666670000001</v>
      </c>
    </row>
    <row r="51" spans="1:3" x14ac:dyDescent="0.2">
      <c r="A51" s="55">
        <v>39083</v>
      </c>
      <c r="B51" s="38">
        <v>2007</v>
      </c>
      <c r="C51" s="38">
        <v>210.72508329999999</v>
      </c>
    </row>
    <row r="52" spans="1:3" x14ac:dyDescent="0.2">
      <c r="A52" s="55">
        <v>39448</v>
      </c>
      <c r="B52" s="38">
        <v>2008</v>
      </c>
      <c r="C52" s="38">
        <v>215.5650833</v>
      </c>
    </row>
    <row r="53" spans="1:3" x14ac:dyDescent="0.2">
      <c r="A53" s="55">
        <v>39814</v>
      </c>
      <c r="B53" s="38">
        <v>2009</v>
      </c>
      <c r="C53" s="38">
        <v>219.2366667</v>
      </c>
    </row>
    <row r="54" spans="1:3" x14ac:dyDescent="0.2">
      <c r="A54" s="55">
        <v>40179</v>
      </c>
      <c r="B54" s="38">
        <v>2010</v>
      </c>
      <c r="C54" s="38">
        <v>221.33583329999999</v>
      </c>
    </row>
    <row r="55" spans="1:3" x14ac:dyDescent="0.2">
      <c r="A55" s="55">
        <v>40544</v>
      </c>
      <c r="B55" s="38">
        <v>2011</v>
      </c>
      <c r="C55" s="38">
        <v>225.00641669999999</v>
      </c>
    </row>
    <row r="56" spans="1:3" x14ac:dyDescent="0.2">
      <c r="A56" s="55">
        <v>40909</v>
      </c>
      <c r="B56" s="38">
        <v>2012</v>
      </c>
      <c r="C56" s="38">
        <v>229.75683330000001</v>
      </c>
    </row>
    <row r="57" spans="1:3" x14ac:dyDescent="0.2">
      <c r="A57" s="55">
        <v>41275</v>
      </c>
      <c r="B57" s="38">
        <v>2013</v>
      </c>
      <c r="C57" s="38">
        <v>233.81041669999999</v>
      </c>
    </row>
    <row r="58" spans="1:3" x14ac:dyDescent="0.2">
      <c r="A58" s="55">
        <v>41640</v>
      </c>
      <c r="B58" s="38">
        <v>2014</v>
      </c>
      <c r="C58" s="38">
        <v>237.90233330000001</v>
      </c>
    </row>
    <row r="59" spans="1:3" x14ac:dyDescent="0.2">
      <c r="A59" s="55">
        <v>42005</v>
      </c>
      <c r="B59" s="38">
        <v>2015</v>
      </c>
      <c r="C59" s="38">
        <v>242.25749999999999</v>
      </c>
    </row>
    <row r="60" spans="1:3" x14ac:dyDescent="0.2">
      <c r="A60" s="55">
        <v>42370</v>
      </c>
      <c r="B60" s="38">
        <v>2016</v>
      </c>
      <c r="C60" s="38">
        <v>247.6035833</v>
      </c>
    </row>
    <row r="61" spans="1:3" x14ac:dyDescent="0.2">
      <c r="A61" s="55">
        <v>42736</v>
      </c>
      <c r="B61" s="38">
        <v>2017</v>
      </c>
      <c r="C61" s="38">
        <v>252.1525</v>
      </c>
    </row>
    <row r="62" spans="1:3" x14ac:dyDescent="0.2">
      <c r="A62" s="55">
        <v>43101</v>
      </c>
      <c r="B62" s="38">
        <v>2018</v>
      </c>
      <c r="C62" s="38">
        <v>257.5614167</v>
      </c>
    </row>
    <row r="63" spans="1:3" x14ac:dyDescent="0.2">
      <c r="A63" s="55">
        <v>43466</v>
      </c>
      <c r="B63" s="38">
        <v>2019</v>
      </c>
      <c r="C63" s="38">
        <v>263.21291669999999</v>
      </c>
    </row>
    <row r="64" spans="1:3" x14ac:dyDescent="0.2">
      <c r="A64" s="55">
        <v>43831</v>
      </c>
      <c r="B64" s="38">
        <v>2020</v>
      </c>
      <c r="C64" s="38">
        <v>267.70949999999999</v>
      </c>
    </row>
    <row r="65" spans="1:6" x14ac:dyDescent="0.2">
      <c r="A65" s="55">
        <v>44197</v>
      </c>
      <c r="B65" s="38">
        <v>2021</v>
      </c>
      <c r="C65" s="38">
        <v>277.24933329999999</v>
      </c>
    </row>
    <row r="66" spans="1:6" x14ac:dyDescent="0.2">
      <c r="A66" s="55">
        <v>44562</v>
      </c>
      <c r="B66" s="38">
        <v>2022</v>
      </c>
      <c r="C66" s="38">
        <v>294.30599999999998</v>
      </c>
    </row>
    <row r="67" spans="1:6" x14ac:dyDescent="0.2">
      <c r="A67" s="55">
        <v>44927</v>
      </c>
      <c r="B67" s="38">
        <v>2023</v>
      </c>
      <c r="C67" s="38">
        <v>308.38066670000001</v>
      </c>
      <c r="E67" s="54"/>
      <c r="F67" s="5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C45F-E9B5-6349-9039-D2D74EFD1CE5}">
  <dimension ref="A1:Q120"/>
  <sheetViews>
    <sheetView topLeftCell="B79" workbookViewId="0">
      <selection activeCell="E94" sqref="E94:Q94"/>
    </sheetView>
  </sheetViews>
  <sheetFormatPr baseColWidth="10" defaultRowHeight="16" x14ac:dyDescent="0.2"/>
  <cols>
    <col min="1" max="1" width="25" customWidth="1"/>
    <col min="2" max="2" width="22.1640625" bestFit="1" customWidth="1"/>
    <col min="4" max="4" width="10.83203125" style="61"/>
    <col min="7" max="7" width="36" customWidth="1"/>
    <col min="12" max="12" width="23.1640625" customWidth="1"/>
  </cols>
  <sheetData>
    <row r="1" spans="1:17" ht="93" customHeight="1" x14ac:dyDescent="0.2">
      <c r="A1" s="37" t="s">
        <v>279</v>
      </c>
      <c r="B1" s="37" t="s">
        <v>276</v>
      </c>
      <c r="C1" s="37" t="s">
        <v>277</v>
      </c>
      <c r="E1" s="58" t="s">
        <v>137</v>
      </c>
      <c r="F1" s="58" t="s">
        <v>138</v>
      </c>
      <c r="G1" s="58" t="s">
        <v>139</v>
      </c>
      <c r="H1" s="58" t="s">
        <v>140</v>
      </c>
      <c r="I1" s="58" t="s">
        <v>141</v>
      </c>
      <c r="J1" s="58" t="s">
        <v>142</v>
      </c>
      <c r="K1" s="58" t="s">
        <v>143</v>
      </c>
      <c r="L1" s="58" t="s">
        <v>144</v>
      </c>
      <c r="M1" s="58" t="s">
        <v>145</v>
      </c>
      <c r="N1" s="59" t="s">
        <v>146</v>
      </c>
      <c r="O1" s="59" t="s">
        <v>147</v>
      </c>
      <c r="P1" s="59" t="s">
        <v>148</v>
      </c>
      <c r="Q1" s="59" t="s">
        <v>149</v>
      </c>
    </row>
    <row r="2" spans="1:17" ht="20" customHeight="1" x14ac:dyDescent="0.2">
      <c r="A2" s="38" t="s">
        <v>280</v>
      </c>
      <c r="B2" s="38">
        <v>95281111</v>
      </c>
      <c r="C2" s="64">
        <f t="shared" ref="C2:C10" si="0">B2/B$12</f>
        <v>0.3782960965888254</v>
      </c>
      <c r="E2" s="45">
        <v>2022</v>
      </c>
      <c r="F2" s="46">
        <v>207</v>
      </c>
      <c r="G2" s="47" t="s">
        <v>185</v>
      </c>
      <c r="H2" s="45" t="s">
        <v>151</v>
      </c>
      <c r="I2" s="47" t="s">
        <v>152</v>
      </c>
      <c r="J2" s="45" t="s">
        <v>153</v>
      </c>
      <c r="K2" s="47" t="s">
        <v>154</v>
      </c>
      <c r="L2" s="47" t="s">
        <v>155</v>
      </c>
      <c r="M2" s="47" t="s">
        <v>159</v>
      </c>
      <c r="N2" s="48">
        <v>133445</v>
      </c>
      <c r="O2" s="49">
        <v>200602</v>
      </c>
      <c r="P2" s="50" t="s">
        <v>186</v>
      </c>
      <c r="Q2" s="48">
        <v>334047</v>
      </c>
    </row>
    <row r="3" spans="1:17" ht="30" customHeight="1" x14ac:dyDescent="0.2">
      <c r="A3" s="40" t="s">
        <v>281</v>
      </c>
      <c r="B3" s="38">
        <v>57396720</v>
      </c>
      <c r="C3" s="64">
        <f t="shared" si="0"/>
        <v>0.22788310196132963</v>
      </c>
      <c r="E3" s="45">
        <v>2022</v>
      </c>
      <c r="F3" s="46">
        <v>590</v>
      </c>
      <c r="G3" s="47" t="s">
        <v>187</v>
      </c>
      <c r="H3" s="45" t="s">
        <v>151</v>
      </c>
      <c r="I3" s="47" t="s">
        <v>152</v>
      </c>
      <c r="J3" s="45" t="s">
        <v>153</v>
      </c>
      <c r="K3" s="47" t="s">
        <v>154</v>
      </c>
      <c r="L3" s="47" t="s">
        <v>155</v>
      </c>
      <c r="M3" s="47" t="s">
        <v>159</v>
      </c>
      <c r="N3" s="48">
        <v>618231</v>
      </c>
      <c r="O3" s="49">
        <v>727427</v>
      </c>
      <c r="P3" s="50">
        <v>876269</v>
      </c>
      <c r="Q3" s="48">
        <v>2221927</v>
      </c>
    </row>
    <row r="4" spans="1:17" ht="20" customHeight="1" x14ac:dyDescent="0.2">
      <c r="A4" s="38" t="s">
        <v>155</v>
      </c>
      <c r="B4" s="38">
        <v>40380300</v>
      </c>
      <c r="C4" s="64">
        <f t="shared" si="0"/>
        <v>0.16032254146454847</v>
      </c>
      <c r="E4" s="45">
        <v>2022</v>
      </c>
      <c r="F4" s="46">
        <v>1050</v>
      </c>
      <c r="G4" s="47" t="s">
        <v>188</v>
      </c>
      <c r="H4" s="45" t="s">
        <v>151</v>
      </c>
      <c r="I4" s="47" t="s">
        <v>152</v>
      </c>
      <c r="J4" s="45" t="s">
        <v>153</v>
      </c>
      <c r="K4" s="47" t="s">
        <v>154</v>
      </c>
      <c r="L4" s="47" t="s">
        <v>155</v>
      </c>
      <c r="M4" s="47" t="s">
        <v>159</v>
      </c>
      <c r="N4" s="48">
        <v>90894</v>
      </c>
      <c r="O4" s="49">
        <v>80633</v>
      </c>
      <c r="P4" s="50">
        <v>65817</v>
      </c>
      <c r="Q4" s="48">
        <v>237344</v>
      </c>
    </row>
    <row r="5" spans="1:17" ht="20" customHeight="1" x14ac:dyDescent="0.2">
      <c r="A5" s="38" t="s">
        <v>191</v>
      </c>
      <c r="B5" s="38">
        <v>27798580</v>
      </c>
      <c r="C5" s="64">
        <f t="shared" si="0"/>
        <v>0.11036914026655494</v>
      </c>
      <c r="E5" s="45">
        <v>2022</v>
      </c>
      <c r="F5" s="46">
        <v>2507</v>
      </c>
      <c r="G5" s="47" t="s">
        <v>189</v>
      </c>
      <c r="H5" s="45" t="s">
        <v>151</v>
      </c>
      <c r="I5" s="47" t="s">
        <v>152</v>
      </c>
      <c r="J5" s="45" t="s">
        <v>153</v>
      </c>
      <c r="K5" s="47" t="s">
        <v>154</v>
      </c>
      <c r="L5" s="47" t="s">
        <v>155</v>
      </c>
      <c r="M5" s="47" t="s">
        <v>156</v>
      </c>
      <c r="N5" s="48">
        <v>274745</v>
      </c>
      <c r="O5" s="49">
        <v>704221</v>
      </c>
      <c r="P5" s="50" t="s">
        <v>186</v>
      </c>
      <c r="Q5" s="48">
        <v>978966</v>
      </c>
    </row>
    <row r="6" spans="1:17" ht="20" customHeight="1" x14ac:dyDescent="0.2">
      <c r="A6" s="38" t="s">
        <v>161</v>
      </c>
      <c r="B6" s="38">
        <v>19778035</v>
      </c>
      <c r="C6" s="64">
        <f t="shared" si="0"/>
        <v>7.8525044053035536E-2</v>
      </c>
      <c r="E6" s="45">
        <v>2022</v>
      </c>
      <c r="F6" s="46">
        <v>2830</v>
      </c>
      <c r="G6" s="47" t="s">
        <v>190</v>
      </c>
      <c r="H6" s="45" t="s">
        <v>166</v>
      </c>
      <c r="I6" s="47" t="s">
        <v>167</v>
      </c>
      <c r="J6" s="45" t="s">
        <v>153</v>
      </c>
      <c r="K6" s="47" t="s">
        <v>154</v>
      </c>
      <c r="L6" s="47" t="s">
        <v>191</v>
      </c>
      <c r="M6" s="47" t="s">
        <v>159</v>
      </c>
      <c r="N6" s="48" t="s">
        <v>186</v>
      </c>
      <c r="O6" s="49">
        <v>1386663</v>
      </c>
      <c r="P6" s="50" t="s">
        <v>186</v>
      </c>
      <c r="Q6" s="48">
        <v>1386663</v>
      </c>
    </row>
    <row r="7" spans="1:17" ht="20" customHeight="1" x14ac:dyDescent="0.2">
      <c r="A7" s="38" t="s">
        <v>230</v>
      </c>
      <c r="B7" s="38">
        <v>4610801</v>
      </c>
      <c r="C7" s="64">
        <f t="shared" si="0"/>
        <v>1.8306335874356594E-2</v>
      </c>
      <c r="E7" s="45">
        <v>2022</v>
      </c>
      <c r="F7" s="46">
        <v>4003</v>
      </c>
      <c r="G7" s="47" t="s">
        <v>192</v>
      </c>
      <c r="H7" s="45" t="s">
        <v>151</v>
      </c>
      <c r="I7" s="47" t="s">
        <v>152</v>
      </c>
      <c r="J7" s="45" t="s">
        <v>153</v>
      </c>
      <c r="K7" s="47" t="s">
        <v>154</v>
      </c>
      <c r="L7" s="47" t="s">
        <v>155</v>
      </c>
      <c r="M7" s="47" t="s">
        <v>159</v>
      </c>
      <c r="N7" s="48">
        <v>110736</v>
      </c>
      <c r="O7" s="49">
        <v>78352</v>
      </c>
      <c r="P7" s="50">
        <v>164655</v>
      </c>
      <c r="Q7" s="48">
        <v>353743</v>
      </c>
    </row>
    <row r="8" spans="1:17" ht="20" customHeight="1" x14ac:dyDescent="0.2">
      <c r="A8" s="60" t="s">
        <v>278</v>
      </c>
      <c r="B8" s="38">
        <v>4064116</v>
      </c>
      <c r="C8" s="64">
        <f t="shared" si="0"/>
        <v>1.6135823803357947E-2</v>
      </c>
      <c r="E8" s="45">
        <v>2022</v>
      </c>
      <c r="F8" s="46">
        <v>4390</v>
      </c>
      <c r="G8" s="47" t="s">
        <v>193</v>
      </c>
      <c r="H8" s="45" t="s">
        <v>151</v>
      </c>
      <c r="I8" s="47" t="s">
        <v>152</v>
      </c>
      <c r="J8" s="45" t="s">
        <v>153</v>
      </c>
      <c r="K8" s="47" t="s">
        <v>154</v>
      </c>
      <c r="L8" s="47" t="s">
        <v>155</v>
      </c>
      <c r="M8" s="47" t="s">
        <v>159</v>
      </c>
      <c r="N8" s="48">
        <v>8653</v>
      </c>
      <c r="O8" s="49">
        <v>45396</v>
      </c>
      <c r="P8" s="50">
        <v>28745</v>
      </c>
      <c r="Q8" s="48">
        <v>82794</v>
      </c>
    </row>
    <row r="9" spans="1:17" ht="20" customHeight="1" x14ac:dyDescent="0.2">
      <c r="A9" s="38" t="s">
        <v>225</v>
      </c>
      <c r="B9" s="38">
        <v>2428771</v>
      </c>
      <c r="C9" s="64">
        <f t="shared" si="0"/>
        <v>9.6429877775893909E-3</v>
      </c>
      <c r="E9" s="45">
        <v>2022</v>
      </c>
      <c r="F9" s="46">
        <v>4390</v>
      </c>
      <c r="G9" s="47" t="s">
        <v>193</v>
      </c>
      <c r="H9" s="45" t="s">
        <v>166</v>
      </c>
      <c r="I9" s="47" t="s">
        <v>167</v>
      </c>
      <c r="J9" s="45" t="s">
        <v>153</v>
      </c>
      <c r="K9" s="47" t="s">
        <v>154</v>
      </c>
      <c r="L9" s="47" t="s">
        <v>155</v>
      </c>
      <c r="M9" s="47" t="s">
        <v>159</v>
      </c>
      <c r="N9" s="48">
        <v>0</v>
      </c>
      <c r="O9" s="49">
        <v>20942</v>
      </c>
      <c r="P9" s="50">
        <v>38386</v>
      </c>
      <c r="Q9" s="48">
        <v>59328</v>
      </c>
    </row>
    <row r="10" spans="1:17" ht="20" customHeight="1" x14ac:dyDescent="0.2">
      <c r="A10" s="38" t="s">
        <v>217</v>
      </c>
      <c r="B10" s="38">
        <v>130702</v>
      </c>
      <c r="C10" s="64">
        <f t="shared" si="0"/>
        <v>5.1892821040208756E-4</v>
      </c>
      <c r="E10" s="45">
        <v>2022</v>
      </c>
      <c r="F10" s="46">
        <v>4410</v>
      </c>
      <c r="G10" s="47" t="s">
        <v>194</v>
      </c>
      <c r="H10" s="45" t="s">
        <v>166</v>
      </c>
      <c r="I10" s="47" t="s">
        <v>167</v>
      </c>
      <c r="J10" s="45" t="s">
        <v>153</v>
      </c>
      <c r="K10" s="47" t="s">
        <v>154</v>
      </c>
      <c r="L10" s="47" t="s">
        <v>191</v>
      </c>
      <c r="M10" s="47" t="s">
        <v>159</v>
      </c>
      <c r="N10" s="48">
        <v>0</v>
      </c>
      <c r="O10" s="49">
        <v>2836710</v>
      </c>
      <c r="P10" s="50">
        <v>3064800</v>
      </c>
      <c r="Q10" s="48">
        <v>5901510</v>
      </c>
    </row>
    <row r="11" spans="1:17" ht="20" customHeight="1" x14ac:dyDescent="0.2">
      <c r="E11" s="45">
        <v>2022</v>
      </c>
      <c r="F11" s="46">
        <v>7294</v>
      </c>
      <c r="G11" s="47" t="s">
        <v>195</v>
      </c>
      <c r="H11" s="45" t="s">
        <v>151</v>
      </c>
      <c r="I11" s="47" t="s">
        <v>152</v>
      </c>
      <c r="J11" s="45" t="s">
        <v>153</v>
      </c>
      <c r="K11" s="47" t="s">
        <v>154</v>
      </c>
      <c r="L11" s="47" t="s">
        <v>155</v>
      </c>
      <c r="M11" s="47" t="s">
        <v>156</v>
      </c>
      <c r="N11" s="48">
        <v>407214</v>
      </c>
      <c r="O11" s="49">
        <v>598974</v>
      </c>
      <c r="P11" s="50">
        <v>20847</v>
      </c>
      <c r="Q11" s="48">
        <v>1027035</v>
      </c>
    </row>
    <row r="12" spans="1:17" ht="20" customHeight="1" x14ac:dyDescent="0.2">
      <c r="A12" s="62" t="s">
        <v>275</v>
      </c>
      <c r="B12" s="62">
        <v>251869136</v>
      </c>
      <c r="C12" s="63">
        <f>B12/B$12</f>
        <v>1</v>
      </c>
      <c r="E12" s="45">
        <v>2022</v>
      </c>
      <c r="F12" s="46">
        <v>9216</v>
      </c>
      <c r="G12" s="47" t="s">
        <v>196</v>
      </c>
      <c r="H12" s="45" t="s">
        <v>151</v>
      </c>
      <c r="I12" s="47" t="s">
        <v>152</v>
      </c>
      <c r="J12" s="45" t="s">
        <v>153</v>
      </c>
      <c r="K12" s="47" t="s">
        <v>154</v>
      </c>
      <c r="L12" s="47" t="s">
        <v>161</v>
      </c>
      <c r="M12" s="47" t="s">
        <v>197</v>
      </c>
      <c r="N12" s="48">
        <v>1949606</v>
      </c>
      <c r="O12" s="49">
        <v>1556508</v>
      </c>
      <c r="P12" s="50">
        <v>78257</v>
      </c>
      <c r="Q12" s="48">
        <v>3584371</v>
      </c>
    </row>
    <row r="13" spans="1:17" ht="20" customHeight="1" x14ac:dyDescent="0.2">
      <c r="E13" s="45">
        <v>2022</v>
      </c>
      <c r="F13" s="46">
        <v>10325</v>
      </c>
      <c r="G13" s="47" t="s">
        <v>198</v>
      </c>
      <c r="H13" s="45" t="s">
        <v>151</v>
      </c>
      <c r="I13" s="47" t="s">
        <v>152</v>
      </c>
      <c r="J13" s="45" t="s">
        <v>153</v>
      </c>
      <c r="K13" s="47" t="s">
        <v>154</v>
      </c>
      <c r="L13" s="47" t="s">
        <v>161</v>
      </c>
      <c r="M13" s="47" t="s">
        <v>159</v>
      </c>
      <c r="N13" s="48" t="s">
        <v>186</v>
      </c>
      <c r="O13" s="49">
        <v>109144</v>
      </c>
      <c r="P13" s="50" t="s">
        <v>186</v>
      </c>
      <c r="Q13" s="48">
        <v>109144</v>
      </c>
    </row>
    <row r="14" spans="1:17" ht="20" customHeight="1" x14ac:dyDescent="0.2">
      <c r="E14" s="45">
        <v>2022</v>
      </c>
      <c r="F14" s="46">
        <v>11124</v>
      </c>
      <c r="G14" s="47" t="s">
        <v>199</v>
      </c>
      <c r="H14" s="45" t="s">
        <v>151</v>
      </c>
      <c r="I14" s="47" t="s">
        <v>152</v>
      </c>
      <c r="J14" s="45" t="s">
        <v>153</v>
      </c>
      <c r="K14" s="47" t="s">
        <v>154</v>
      </c>
      <c r="L14" s="47" t="s">
        <v>155</v>
      </c>
      <c r="M14" s="47" t="s">
        <v>159</v>
      </c>
      <c r="N14" s="48">
        <v>167427</v>
      </c>
      <c r="O14" s="49">
        <v>169122</v>
      </c>
      <c r="P14" s="50">
        <v>117952</v>
      </c>
      <c r="Q14" s="48">
        <v>454501</v>
      </c>
    </row>
    <row r="15" spans="1:17" ht="20" customHeight="1" x14ac:dyDescent="0.2">
      <c r="E15" s="45">
        <v>2022</v>
      </c>
      <c r="F15" s="46">
        <v>11208</v>
      </c>
      <c r="G15" s="47" t="s">
        <v>150</v>
      </c>
      <c r="H15" s="45" t="s">
        <v>151</v>
      </c>
      <c r="I15" s="47" t="s">
        <v>152</v>
      </c>
      <c r="J15" s="45" t="s">
        <v>153</v>
      </c>
      <c r="K15" s="47" t="s">
        <v>154</v>
      </c>
      <c r="L15" s="47" t="s">
        <v>155</v>
      </c>
      <c r="M15" s="47" t="s">
        <v>156</v>
      </c>
      <c r="N15" s="48">
        <v>8508902</v>
      </c>
      <c r="O15" s="49">
        <v>12054043</v>
      </c>
      <c r="P15" s="50">
        <v>1186395</v>
      </c>
      <c r="Q15" s="48">
        <v>21855334</v>
      </c>
    </row>
    <row r="16" spans="1:17" ht="20" customHeight="1" x14ac:dyDescent="0.2">
      <c r="E16" s="45">
        <v>2022</v>
      </c>
      <c r="F16" s="46">
        <v>12312</v>
      </c>
      <c r="G16" s="47" t="s">
        <v>200</v>
      </c>
      <c r="H16" s="45" t="s">
        <v>151</v>
      </c>
      <c r="I16" s="47" t="s">
        <v>152</v>
      </c>
      <c r="J16" s="45" t="s">
        <v>153</v>
      </c>
      <c r="K16" s="47" t="s">
        <v>154</v>
      </c>
      <c r="L16" s="47" t="s">
        <v>161</v>
      </c>
      <c r="M16" s="47" t="s">
        <v>159</v>
      </c>
      <c r="N16" s="48">
        <v>83283</v>
      </c>
      <c r="O16" s="49">
        <v>250243</v>
      </c>
      <c r="P16" s="50">
        <v>202152</v>
      </c>
      <c r="Q16" s="48">
        <v>535678</v>
      </c>
    </row>
    <row r="17" spans="5:17" ht="20" customHeight="1" x14ac:dyDescent="0.2">
      <c r="E17" s="45">
        <v>2022</v>
      </c>
      <c r="F17" s="46">
        <v>12745</v>
      </c>
      <c r="G17" s="47" t="s">
        <v>201</v>
      </c>
      <c r="H17" s="45" t="s">
        <v>151</v>
      </c>
      <c r="I17" s="47" t="s">
        <v>152</v>
      </c>
      <c r="J17" s="45" t="s">
        <v>153</v>
      </c>
      <c r="K17" s="47" t="s">
        <v>154</v>
      </c>
      <c r="L17" s="47" t="s">
        <v>161</v>
      </c>
      <c r="M17" s="47" t="s">
        <v>162</v>
      </c>
      <c r="N17" s="48">
        <v>982856</v>
      </c>
      <c r="O17" s="49">
        <v>850513</v>
      </c>
      <c r="P17" s="50">
        <v>803740</v>
      </c>
      <c r="Q17" s="48">
        <v>2637109</v>
      </c>
    </row>
    <row r="18" spans="5:17" ht="20" customHeight="1" x14ac:dyDescent="0.2">
      <c r="E18" s="45">
        <v>2022</v>
      </c>
      <c r="F18" s="46">
        <v>13374</v>
      </c>
      <c r="G18" s="47" t="s">
        <v>202</v>
      </c>
      <c r="H18" s="45" t="s">
        <v>166</v>
      </c>
      <c r="I18" s="47" t="s">
        <v>167</v>
      </c>
      <c r="J18" s="45" t="s">
        <v>153</v>
      </c>
      <c r="K18" s="47" t="s">
        <v>154</v>
      </c>
      <c r="L18" s="47" t="s">
        <v>191</v>
      </c>
      <c r="M18" s="47" t="s">
        <v>159</v>
      </c>
      <c r="N18" s="48">
        <v>0</v>
      </c>
      <c r="O18" s="49">
        <v>6847231</v>
      </c>
      <c r="P18" s="50">
        <v>726560</v>
      </c>
      <c r="Q18" s="48">
        <v>7573791</v>
      </c>
    </row>
    <row r="19" spans="5:17" ht="20" customHeight="1" x14ac:dyDescent="0.2">
      <c r="E19" s="45">
        <v>2022</v>
      </c>
      <c r="F19" s="46">
        <v>14328</v>
      </c>
      <c r="G19" s="47" t="s">
        <v>157</v>
      </c>
      <c r="H19" s="45" t="s">
        <v>151</v>
      </c>
      <c r="I19" s="47" t="s">
        <v>152</v>
      </c>
      <c r="J19" s="45" t="s">
        <v>153</v>
      </c>
      <c r="K19" s="47" t="s">
        <v>154</v>
      </c>
      <c r="L19" s="47" t="s">
        <v>158</v>
      </c>
      <c r="M19" s="47" t="s">
        <v>159</v>
      </c>
      <c r="N19" s="48">
        <v>11983409</v>
      </c>
      <c r="O19" s="49">
        <v>7380298</v>
      </c>
      <c r="P19" s="50">
        <v>11783241</v>
      </c>
      <c r="Q19" s="48">
        <v>31146948</v>
      </c>
    </row>
    <row r="20" spans="5:17" ht="20" customHeight="1" x14ac:dyDescent="0.2">
      <c r="E20" s="45">
        <v>2022</v>
      </c>
      <c r="F20" s="46">
        <v>14354</v>
      </c>
      <c r="G20" s="47" t="s">
        <v>203</v>
      </c>
      <c r="H20" s="45" t="s">
        <v>151</v>
      </c>
      <c r="I20" s="47" t="s">
        <v>152</v>
      </c>
      <c r="J20" s="45" t="s">
        <v>153</v>
      </c>
      <c r="K20" s="47" t="s">
        <v>154</v>
      </c>
      <c r="L20" s="47" t="s">
        <v>158</v>
      </c>
      <c r="M20" s="47" t="s">
        <v>204</v>
      </c>
      <c r="N20" s="48">
        <v>392938</v>
      </c>
      <c r="O20" s="49">
        <v>241343</v>
      </c>
      <c r="P20" s="50">
        <v>165247</v>
      </c>
      <c r="Q20" s="48">
        <v>799528</v>
      </c>
    </row>
    <row r="21" spans="5:17" ht="20" customHeight="1" x14ac:dyDescent="0.2">
      <c r="E21" s="45">
        <v>2022</v>
      </c>
      <c r="F21" s="46">
        <v>14401</v>
      </c>
      <c r="G21" s="47" t="s">
        <v>205</v>
      </c>
      <c r="H21" s="45" t="s">
        <v>151</v>
      </c>
      <c r="I21" s="47" t="s">
        <v>152</v>
      </c>
      <c r="J21" s="45" t="s">
        <v>153</v>
      </c>
      <c r="K21" s="47" t="s">
        <v>154</v>
      </c>
      <c r="L21" s="47" t="s">
        <v>155</v>
      </c>
      <c r="M21" s="47" t="s">
        <v>159</v>
      </c>
      <c r="N21" s="48">
        <v>157370</v>
      </c>
      <c r="O21" s="49">
        <v>557259</v>
      </c>
      <c r="P21" s="50">
        <v>112841</v>
      </c>
      <c r="Q21" s="48">
        <v>827470</v>
      </c>
    </row>
    <row r="22" spans="5:17" ht="20" customHeight="1" x14ac:dyDescent="0.2">
      <c r="E22" s="45">
        <v>2022</v>
      </c>
      <c r="F22" s="46">
        <v>14534</v>
      </c>
      <c r="G22" s="47" t="s">
        <v>206</v>
      </c>
      <c r="H22" s="45" t="s">
        <v>151</v>
      </c>
      <c r="I22" s="47" t="s">
        <v>152</v>
      </c>
      <c r="J22" s="45" t="s">
        <v>153</v>
      </c>
      <c r="K22" s="47" t="s">
        <v>154</v>
      </c>
      <c r="L22" s="47" t="s">
        <v>155</v>
      </c>
      <c r="M22" s="47" t="s">
        <v>159</v>
      </c>
      <c r="N22" s="48">
        <v>350158</v>
      </c>
      <c r="O22" s="49">
        <v>687013</v>
      </c>
      <c r="P22" s="50" t="s">
        <v>186</v>
      </c>
      <c r="Q22" s="48">
        <v>1044139</v>
      </c>
    </row>
    <row r="23" spans="5:17" ht="20" customHeight="1" x14ac:dyDescent="0.2">
      <c r="E23" s="45">
        <v>2022</v>
      </c>
      <c r="F23" s="46">
        <v>14999</v>
      </c>
      <c r="G23" s="47" t="s">
        <v>207</v>
      </c>
      <c r="H23" s="45" t="s">
        <v>166</v>
      </c>
      <c r="I23" s="47" t="s">
        <v>167</v>
      </c>
      <c r="J23" s="45" t="s">
        <v>153</v>
      </c>
      <c r="K23" s="47" t="s">
        <v>154</v>
      </c>
      <c r="L23" s="47" t="s">
        <v>191</v>
      </c>
      <c r="M23" s="47" t="s">
        <v>159</v>
      </c>
      <c r="N23" s="48">
        <v>30697</v>
      </c>
      <c r="O23" s="49">
        <v>464534</v>
      </c>
      <c r="P23" s="50">
        <v>555712</v>
      </c>
      <c r="Q23" s="48">
        <v>1050943</v>
      </c>
    </row>
    <row r="24" spans="5:17" ht="20" customHeight="1" x14ac:dyDescent="0.2">
      <c r="E24" s="45">
        <v>2022</v>
      </c>
      <c r="F24" s="46">
        <v>15783</v>
      </c>
      <c r="G24" s="47" t="s">
        <v>208</v>
      </c>
      <c r="H24" s="45" t="s">
        <v>151</v>
      </c>
      <c r="I24" s="47" t="s">
        <v>152</v>
      </c>
      <c r="J24" s="45" t="s">
        <v>153</v>
      </c>
      <c r="K24" s="47" t="s">
        <v>154</v>
      </c>
      <c r="L24" s="47" t="s">
        <v>155</v>
      </c>
      <c r="M24" s="47" t="s">
        <v>162</v>
      </c>
      <c r="N24" s="48">
        <v>381721</v>
      </c>
      <c r="O24" s="49">
        <v>352758</v>
      </c>
      <c r="P24" s="50">
        <v>12254</v>
      </c>
      <c r="Q24" s="48">
        <v>746733</v>
      </c>
    </row>
    <row r="25" spans="5:17" ht="20" customHeight="1" x14ac:dyDescent="0.2">
      <c r="E25" s="45">
        <v>2022</v>
      </c>
      <c r="F25" s="46">
        <v>16088</v>
      </c>
      <c r="G25" s="47" t="s">
        <v>209</v>
      </c>
      <c r="H25" s="45" t="s">
        <v>151</v>
      </c>
      <c r="I25" s="47" t="s">
        <v>152</v>
      </c>
      <c r="J25" s="45" t="s">
        <v>153</v>
      </c>
      <c r="K25" s="47" t="s">
        <v>154</v>
      </c>
      <c r="L25" s="47" t="s">
        <v>155</v>
      </c>
      <c r="M25" s="47" t="s">
        <v>159</v>
      </c>
      <c r="N25" s="48">
        <v>795300</v>
      </c>
      <c r="O25" s="49">
        <v>465458</v>
      </c>
      <c r="P25" s="50">
        <v>945352</v>
      </c>
      <c r="Q25" s="48">
        <v>2206110</v>
      </c>
    </row>
    <row r="26" spans="5:17" ht="20" customHeight="1" x14ac:dyDescent="0.2">
      <c r="E26" s="45">
        <v>2022</v>
      </c>
      <c r="F26" s="46">
        <v>16295</v>
      </c>
      <c r="G26" s="47" t="s">
        <v>210</v>
      </c>
      <c r="H26" s="45" t="s">
        <v>151</v>
      </c>
      <c r="I26" s="47" t="s">
        <v>152</v>
      </c>
      <c r="J26" s="45" t="s">
        <v>153</v>
      </c>
      <c r="K26" s="47" t="s">
        <v>154</v>
      </c>
      <c r="L26" s="47" t="s">
        <v>155</v>
      </c>
      <c r="M26" s="47" t="s">
        <v>162</v>
      </c>
      <c r="N26" s="48">
        <v>503863</v>
      </c>
      <c r="O26" s="49">
        <v>416158</v>
      </c>
      <c r="P26" s="50">
        <v>255022</v>
      </c>
      <c r="Q26" s="48">
        <v>1175043</v>
      </c>
    </row>
    <row r="27" spans="5:17" ht="20" customHeight="1" x14ac:dyDescent="0.2">
      <c r="E27" s="45">
        <v>2022</v>
      </c>
      <c r="F27" s="46">
        <v>16534</v>
      </c>
      <c r="G27" s="47" t="s">
        <v>160</v>
      </c>
      <c r="H27" s="45" t="s">
        <v>151</v>
      </c>
      <c r="I27" s="47" t="s">
        <v>152</v>
      </c>
      <c r="J27" s="45" t="s">
        <v>153</v>
      </c>
      <c r="K27" s="47" t="s">
        <v>154</v>
      </c>
      <c r="L27" s="47" t="s">
        <v>161</v>
      </c>
      <c r="M27" s="47" t="s">
        <v>162</v>
      </c>
      <c r="N27" s="48">
        <v>4766334</v>
      </c>
      <c r="O27" s="49">
        <v>3686711</v>
      </c>
      <c r="P27" s="50">
        <v>2142891</v>
      </c>
      <c r="Q27" s="48">
        <v>10622383</v>
      </c>
    </row>
    <row r="28" spans="5:17" ht="20" customHeight="1" x14ac:dyDescent="0.2">
      <c r="E28" s="45">
        <v>2022</v>
      </c>
      <c r="F28" s="46">
        <v>16609</v>
      </c>
      <c r="G28" s="47" t="s">
        <v>163</v>
      </c>
      <c r="H28" s="45" t="s">
        <v>151</v>
      </c>
      <c r="I28" s="47" t="s">
        <v>152</v>
      </c>
      <c r="J28" s="45" t="s">
        <v>153</v>
      </c>
      <c r="K28" s="47" t="s">
        <v>154</v>
      </c>
      <c r="L28" s="47" t="s">
        <v>158</v>
      </c>
      <c r="M28" s="47" t="s">
        <v>159</v>
      </c>
      <c r="N28" s="48">
        <v>3939825</v>
      </c>
      <c r="O28" s="49">
        <v>2605726</v>
      </c>
      <c r="P28" s="50">
        <v>1175333</v>
      </c>
      <c r="Q28" s="48">
        <v>7800012</v>
      </c>
    </row>
    <row r="29" spans="5:17" ht="20" customHeight="1" x14ac:dyDescent="0.2">
      <c r="E29" s="45">
        <v>2022</v>
      </c>
      <c r="F29" s="46">
        <v>16612</v>
      </c>
      <c r="G29" s="47" t="s">
        <v>211</v>
      </c>
      <c r="H29" s="45" t="s">
        <v>151</v>
      </c>
      <c r="I29" s="47" t="s">
        <v>152</v>
      </c>
      <c r="J29" s="45" t="s">
        <v>153</v>
      </c>
      <c r="K29" s="47" t="s">
        <v>154</v>
      </c>
      <c r="L29" s="47" t="s">
        <v>155</v>
      </c>
      <c r="M29" s="47" t="s">
        <v>159</v>
      </c>
      <c r="N29" s="48">
        <v>18317</v>
      </c>
      <c r="O29" s="49">
        <v>793301</v>
      </c>
      <c r="P29" s="50">
        <v>21812</v>
      </c>
      <c r="Q29" s="48">
        <v>927238</v>
      </c>
    </row>
    <row r="30" spans="5:17" ht="20" customHeight="1" x14ac:dyDescent="0.2">
      <c r="E30" s="45">
        <v>2022</v>
      </c>
      <c r="F30" s="46">
        <v>16655</v>
      </c>
      <c r="G30" s="47" t="s">
        <v>212</v>
      </c>
      <c r="H30" s="45" t="s">
        <v>151</v>
      </c>
      <c r="I30" s="47" t="s">
        <v>152</v>
      </c>
      <c r="J30" s="45" t="s">
        <v>153</v>
      </c>
      <c r="K30" s="47" t="s">
        <v>154</v>
      </c>
      <c r="L30" s="47" t="s">
        <v>155</v>
      </c>
      <c r="M30" s="47" t="s">
        <v>159</v>
      </c>
      <c r="N30" s="48">
        <v>261798</v>
      </c>
      <c r="O30" s="49">
        <v>110842</v>
      </c>
      <c r="P30" s="50">
        <v>4040609</v>
      </c>
      <c r="Q30" s="48">
        <v>4414158</v>
      </c>
    </row>
    <row r="31" spans="5:17" ht="20" customHeight="1" x14ac:dyDescent="0.2">
      <c r="E31" s="45">
        <v>2022</v>
      </c>
      <c r="F31" s="46">
        <v>16840</v>
      </c>
      <c r="G31" s="47" t="s">
        <v>213</v>
      </c>
      <c r="H31" s="45" t="s">
        <v>166</v>
      </c>
      <c r="I31" s="47" t="s">
        <v>167</v>
      </c>
      <c r="J31" s="45" t="s">
        <v>153</v>
      </c>
      <c r="K31" s="47" t="s">
        <v>154</v>
      </c>
      <c r="L31" s="47" t="s">
        <v>191</v>
      </c>
      <c r="M31" s="47" t="s">
        <v>159</v>
      </c>
      <c r="N31" s="48">
        <v>0</v>
      </c>
      <c r="O31" s="49">
        <v>4793016</v>
      </c>
      <c r="P31" s="50">
        <v>706090</v>
      </c>
      <c r="Q31" s="48">
        <v>5499106</v>
      </c>
    </row>
    <row r="32" spans="5:17" ht="20" customHeight="1" x14ac:dyDescent="0.2">
      <c r="E32" s="45">
        <v>2022</v>
      </c>
      <c r="F32" s="46">
        <v>17609</v>
      </c>
      <c r="G32" s="47" t="s">
        <v>164</v>
      </c>
      <c r="H32" s="45" t="s">
        <v>151</v>
      </c>
      <c r="I32" s="47" t="s">
        <v>152</v>
      </c>
      <c r="J32" s="45" t="s">
        <v>153</v>
      </c>
      <c r="K32" s="47" t="s">
        <v>154</v>
      </c>
      <c r="L32" s="47" t="s">
        <v>158</v>
      </c>
      <c r="M32" s="47" t="s">
        <v>159</v>
      </c>
      <c r="N32" s="48">
        <v>22517867</v>
      </c>
      <c r="O32" s="49">
        <v>28360357</v>
      </c>
      <c r="P32" s="50">
        <v>3952239</v>
      </c>
      <c r="Q32" s="48">
        <v>54830463</v>
      </c>
    </row>
    <row r="33" spans="5:17" ht="20" customHeight="1" x14ac:dyDescent="0.2">
      <c r="E33" s="45">
        <v>2022</v>
      </c>
      <c r="F33" s="46">
        <v>17612</v>
      </c>
      <c r="G33" s="47" t="s">
        <v>214</v>
      </c>
      <c r="H33" s="45" t="s">
        <v>151</v>
      </c>
      <c r="I33" s="47" t="s">
        <v>152</v>
      </c>
      <c r="J33" s="45" t="s">
        <v>153</v>
      </c>
      <c r="K33" s="47" t="s">
        <v>154</v>
      </c>
      <c r="L33" s="47" t="s">
        <v>158</v>
      </c>
      <c r="M33" s="47" t="s">
        <v>159</v>
      </c>
      <c r="N33" s="48">
        <v>85587</v>
      </c>
      <c r="O33" s="49">
        <v>33596</v>
      </c>
      <c r="P33" s="50">
        <v>23250</v>
      </c>
      <c r="Q33" s="48">
        <v>142433</v>
      </c>
    </row>
    <row r="34" spans="5:17" ht="20" customHeight="1" x14ac:dyDescent="0.2">
      <c r="E34" s="45">
        <v>2022</v>
      </c>
      <c r="F34" s="46">
        <v>18193</v>
      </c>
      <c r="G34" s="47" t="s">
        <v>215</v>
      </c>
      <c r="H34" s="45" t="s">
        <v>166</v>
      </c>
      <c r="I34" s="47" t="s">
        <v>167</v>
      </c>
      <c r="J34" s="45" t="s">
        <v>153</v>
      </c>
      <c r="K34" s="47" t="s">
        <v>154</v>
      </c>
      <c r="L34" s="47" t="s">
        <v>191</v>
      </c>
      <c r="M34" s="47" t="s">
        <v>159</v>
      </c>
      <c r="N34" s="48">
        <v>0</v>
      </c>
      <c r="O34" s="49">
        <v>3342832</v>
      </c>
      <c r="P34" s="50">
        <v>116588</v>
      </c>
      <c r="Q34" s="48">
        <v>3459420</v>
      </c>
    </row>
    <row r="35" spans="5:17" ht="20" customHeight="1" x14ac:dyDescent="0.2">
      <c r="E35" s="45">
        <v>2022</v>
      </c>
      <c r="F35" s="46">
        <v>18260</v>
      </c>
      <c r="G35" s="47" t="s">
        <v>216</v>
      </c>
      <c r="H35" s="45" t="s">
        <v>151</v>
      </c>
      <c r="I35" s="47" t="s">
        <v>152</v>
      </c>
      <c r="J35" s="45" t="s">
        <v>153</v>
      </c>
      <c r="K35" s="47" t="s">
        <v>154</v>
      </c>
      <c r="L35" s="47" t="s">
        <v>217</v>
      </c>
      <c r="M35" s="47" t="s">
        <v>204</v>
      </c>
      <c r="N35" s="48">
        <v>35932</v>
      </c>
      <c r="O35" s="49">
        <v>10869</v>
      </c>
      <c r="P35" s="50">
        <v>72264</v>
      </c>
      <c r="Q35" s="48">
        <v>119065</v>
      </c>
    </row>
    <row r="36" spans="5:17" ht="20" customHeight="1" x14ac:dyDescent="0.2">
      <c r="E36" s="45">
        <v>2022</v>
      </c>
      <c r="F36" s="46">
        <v>19281</v>
      </c>
      <c r="G36" s="47" t="s">
        <v>218</v>
      </c>
      <c r="H36" s="45" t="s">
        <v>151</v>
      </c>
      <c r="I36" s="47" t="s">
        <v>152</v>
      </c>
      <c r="J36" s="45" t="s">
        <v>153</v>
      </c>
      <c r="K36" s="47" t="s">
        <v>154</v>
      </c>
      <c r="L36" s="47" t="s">
        <v>161</v>
      </c>
      <c r="M36" s="47" t="s">
        <v>219</v>
      </c>
      <c r="N36" s="48">
        <v>813781</v>
      </c>
      <c r="O36" s="49">
        <v>551246</v>
      </c>
      <c r="P36" s="50">
        <v>887515</v>
      </c>
      <c r="Q36" s="48">
        <v>2252542</v>
      </c>
    </row>
    <row r="37" spans="5:17" ht="20" customHeight="1" x14ac:dyDescent="0.2">
      <c r="E37" s="45">
        <v>2022</v>
      </c>
      <c r="F37" s="46">
        <v>19798</v>
      </c>
      <c r="G37" s="47" t="s">
        <v>220</v>
      </c>
      <c r="H37" s="45" t="s">
        <v>151</v>
      </c>
      <c r="I37" s="47" t="s">
        <v>152</v>
      </c>
      <c r="J37" s="45" t="s">
        <v>153</v>
      </c>
      <c r="K37" s="47" t="s">
        <v>154</v>
      </c>
      <c r="L37" s="47" t="s">
        <v>155</v>
      </c>
      <c r="M37" s="47" t="s">
        <v>159</v>
      </c>
      <c r="N37" s="48">
        <v>326</v>
      </c>
      <c r="O37" s="49">
        <v>416736</v>
      </c>
      <c r="P37" s="50">
        <v>733573</v>
      </c>
      <c r="Q37" s="48">
        <v>1150635</v>
      </c>
    </row>
    <row r="38" spans="5:17" ht="20" customHeight="1" x14ac:dyDescent="0.2">
      <c r="E38" s="45">
        <v>2022</v>
      </c>
      <c r="F38" s="46">
        <v>19840</v>
      </c>
      <c r="G38" s="47" t="s">
        <v>221</v>
      </c>
      <c r="H38" s="45" t="s">
        <v>151</v>
      </c>
      <c r="I38" s="47" t="s">
        <v>152</v>
      </c>
      <c r="J38" s="45" t="s">
        <v>153</v>
      </c>
      <c r="K38" s="47" t="s">
        <v>154</v>
      </c>
      <c r="L38" s="47" t="s">
        <v>217</v>
      </c>
      <c r="M38" s="47" t="s">
        <v>222</v>
      </c>
      <c r="N38" s="48">
        <v>117</v>
      </c>
      <c r="O38" s="49">
        <v>11</v>
      </c>
      <c r="P38" s="50">
        <v>11509</v>
      </c>
      <c r="Q38" s="48">
        <v>11637</v>
      </c>
    </row>
    <row r="39" spans="5:17" ht="20" customHeight="1" x14ac:dyDescent="0.2">
      <c r="E39" s="45">
        <v>2022</v>
      </c>
      <c r="F39" s="46">
        <v>21093</v>
      </c>
      <c r="G39" s="47" t="s">
        <v>223</v>
      </c>
      <c r="H39" s="45" t="s">
        <v>166</v>
      </c>
      <c r="I39" s="47" t="s">
        <v>167</v>
      </c>
      <c r="J39" s="45" t="s">
        <v>153</v>
      </c>
      <c r="K39" s="47" t="s">
        <v>154</v>
      </c>
      <c r="L39" s="47" t="s">
        <v>191</v>
      </c>
      <c r="M39" s="47" t="s">
        <v>159</v>
      </c>
      <c r="N39" s="48">
        <v>399</v>
      </c>
      <c r="O39" s="49">
        <v>510132</v>
      </c>
      <c r="P39" s="50">
        <v>66434</v>
      </c>
      <c r="Q39" s="48">
        <v>576965</v>
      </c>
    </row>
    <row r="40" spans="5:17" ht="20" customHeight="1" x14ac:dyDescent="0.2">
      <c r="E40" s="45">
        <v>2022</v>
      </c>
      <c r="F40" s="46">
        <v>27000</v>
      </c>
      <c r="G40" s="47" t="s">
        <v>224</v>
      </c>
      <c r="H40" s="45" t="s">
        <v>151</v>
      </c>
      <c r="I40" s="47" t="s">
        <v>152</v>
      </c>
      <c r="J40" s="45" t="s">
        <v>153</v>
      </c>
      <c r="K40" s="47" t="s">
        <v>154</v>
      </c>
      <c r="L40" s="47" t="s">
        <v>225</v>
      </c>
      <c r="M40" s="47" t="s">
        <v>226</v>
      </c>
      <c r="N40" s="48">
        <v>0</v>
      </c>
      <c r="O40" s="49">
        <v>940876</v>
      </c>
      <c r="P40" s="50">
        <v>1484204</v>
      </c>
      <c r="Q40" s="48">
        <v>2428771</v>
      </c>
    </row>
    <row r="41" spans="5:17" ht="20" customHeight="1" x14ac:dyDescent="0.2">
      <c r="E41" s="45">
        <v>2022</v>
      </c>
      <c r="F41" s="46">
        <v>40613</v>
      </c>
      <c r="G41" s="47" t="s">
        <v>227</v>
      </c>
      <c r="H41" s="45" t="s">
        <v>166</v>
      </c>
      <c r="I41" s="47" t="s">
        <v>167</v>
      </c>
      <c r="J41" s="45" t="s">
        <v>153</v>
      </c>
      <c r="K41" s="47" t="s">
        <v>154</v>
      </c>
      <c r="L41" s="47" t="s">
        <v>161</v>
      </c>
      <c r="M41" s="47" t="s">
        <v>159</v>
      </c>
      <c r="N41" s="48" t="s">
        <v>186</v>
      </c>
      <c r="O41" s="49" t="s">
        <v>186</v>
      </c>
      <c r="P41" s="50" t="s">
        <v>186</v>
      </c>
      <c r="Q41" s="48">
        <v>36808</v>
      </c>
    </row>
    <row r="42" spans="5:17" ht="20" customHeight="1" x14ac:dyDescent="0.2">
      <c r="E42" s="45">
        <v>2022</v>
      </c>
      <c r="F42" s="46">
        <v>55787</v>
      </c>
      <c r="G42" s="47" t="s">
        <v>228</v>
      </c>
      <c r="H42" s="45" t="s">
        <v>151</v>
      </c>
      <c r="I42" s="47" t="s">
        <v>152</v>
      </c>
      <c r="J42" s="45" t="s">
        <v>153</v>
      </c>
      <c r="K42" s="47" t="s">
        <v>154</v>
      </c>
      <c r="L42" s="47" t="s">
        <v>155</v>
      </c>
      <c r="M42" s="47" t="s">
        <v>159</v>
      </c>
      <c r="N42" s="48">
        <v>48753</v>
      </c>
      <c r="O42" s="49">
        <v>152411</v>
      </c>
      <c r="P42" s="50">
        <v>13520</v>
      </c>
      <c r="Q42" s="48">
        <v>214684</v>
      </c>
    </row>
    <row r="43" spans="5:17" ht="20" customHeight="1" x14ac:dyDescent="0.2">
      <c r="E43" s="45">
        <v>2022</v>
      </c>
      <c r="F43" s="46">
        <v>56692</v>
      </c>
      <c r="G43" s="47" t="s">
        <v>165</v>
      </c>
      <c r="H43" s="45" t="s">
        <v>166</v>
      </c>
      <c r="I43" s="47" t="s">
        <v>167</v>
      </c>
      <c r="J43" s="45" t="s">
        <v>153</v>
      </c>
      <c r="K43" s="47" t="s">
        <v>154</v>
      </c>
      <c r="L43" s="47" t="s">
        <v>168</v>
      </c>
      <c r="M43" s="47" t="s">
        <v>159</v>
      </c>
      <c r="N43" s="48">
        <v>2797083</v>
      </c>
      <c r="O43" s="49">
        <v>2638343</v>
      </c>
      <c r="P43" s="50">
        <v>0</v>
      </c>
      <c r="Q43" s="48">
        <v>5435426</v>
      </c>
    </row>
    <row r="44" spans="5:17" ht="20" customHeight="1" x14ac:dyDescent="0.2">
      <c r="E44" s="45">
        <v>2022</v>
      </c>
      <c r="F44" s="46">
        <v>57313</v>
      </c>
      <c r="G44" s="47" t="s">
        <v>229</v>
      </c>
      <c r="H44" s="45" t="s">
        <v>151</v>
      </c>
      <c r="I44" s="47" t="s">
        <v>152</v>
      </c>
      <c r="J44" s="45" t="s">
        <v>153</v>
      </c>
      <c r="K44" s="47" t="s">
        <v>154</v>
      </c>
      <c r="L44" s="47" t="s">
        <v>230</v>
      </c>
      <c r="M44" s="47" t="s">
        <v>159</v>
      </c>
      <c r="N44" s="48">
        <v>914176</v>
      </c>
      <c r="O44" s="49">
        <v>340537</v>
      </c>
      <c r="P44" s="50">
        <v>0</v>
      </c>
      <c r="Q44" s="48">
        <v>1254713</v>
      </c>
    </row>
    <row r="45" spans="5:17" ht="20" customHeight="1" x14ac:dyDescent="0.2">
      <c r="E45" s="45">
        <v>2022</v>
      </c>
      <c r="F45" s="46">
        <v>57313</v>
      </c>
      <c r="G45" s="47" t="s">
        <v>229</v>
      </c>
      <c r="H45" s="45" t="s">
        <v>151</v>
      </c>
      <c r="I45" s="47" t="s">
        <v>152</v>
      </c>
      <c r="J45" s="45" t="s">
        <v>153</v>
      </c>
      <c r="K45" s="47" t="s">
        <v>154</v>
      </c>
      <c r="L45" s="47" t="s">
        <v>230</v>
      </c>
      <c r="M45" s="47" t="s">
        <v>197</v>
      </c>
      <c r="N45" s="48">
        <v>15092</v>
      </c>
      <c r="O45" s="49">
        <v>879</v>
      </c>
      <c r="P45" s="50">
        <v>0</v>
      </c>
      <c r="Q45" s="48">
        <v>15971</v>
      </c>
    </row>
    <row r="46" spans="5:17" ht="20" customHeight="1" x14ac:dyDescent="0.2">
      <c r="E46" s="45">
        <v>2022</v>
      </c>
      <c r="F46" s="46">
        <v>57313</v>
      </c>
      <c r="G46" s="47" t="s">
        <v>229</v>
      </c>
      <c r="H46" s="45" t="s">
        <v>151</v>
      </c>
      <c r="I46" s="47" t="s">
        <v>152</v>
      </c>
      <c r="J46" s="45" t="s">
        <v>153</v>
      </c>
      <c r="K46" s="47" t="s">
        <v>154</v>
      </c>
      <c r="L46" s="47" t="s">
        <v>230</v>
      </c>
      <c r="M46" s="47" t="s">
        <v>156</v>
      </c>
      <c r="N46" s="48">
        <v>57676</v>
      </c>
      <c r="O46" s="49">
        <v>1196</v>
      </c>
      <c r="P46" s="50">
        <v>0</v>
      </c>
      <c r="Q46" s="48">
        <v>58872</v>
      </c>
    </row>
    <row r="47" spans="5:17" ht="20" customHeight="1" x14ac:dyDescent="0.2">
      <c r="E47" s="45">
        <v>2022</v>
      </c>
      <c r="F47" s="46">
        <v>57313</v>
      </c>
      <c r="G47" s="47" t="s">
        <v>229</v>
      </c>
      <c r="H47" s="45" t="s">
        <v>151</v>
      </c>
      <c r="I47" s="47" t="s">
        <v>152</v>
      </c>
      <c r="J47" s="45" t="s">
        <v>153</v>
      </c>
      <c r="K47" s="47" t="s">
        <v>154</v>
      </c>
      <c r="L47" s="47" t="s">
        <v>230</v>
      </c>
      <c r="M47" s="47" t="s">
        <v>204</v>
      </c>
      <c r="N47" s="48">
        <v>14</v>
      </c>
      <c r="O47" s="49">
        <v>886</v>
      </c>
      <c r="P47" s="50">
        <v>0</v>
      </c>
      <c r="Q47" s="48">
        <v>900</v>
      </c>
    </row>
    <row r="48" spans="5:17" ht="20" customHeight="1" x14ac:dyDescent="0.2">
      <c r="E48" s="45">
        <v>2022</v>
      </c>
      <c r="F48" s="46">
        <v>57313</v>
      </c>
      <c r="G48" s="47" t="s">
        <v>229</v>
      </c>
      <c r="H48" s="45" t="s">
        <v>151</v>
      </c>
      <c r="I48" s="47" t="s">
        <v>152</v>
      </c>
      <c r="J48" s="45" t="s">
        <v>153</v>
      </c>
      <c r="K48" s="47" t="s">
        <v>154</v>
      </c>
      <c r="L48" s="47" t="s">
        <v>230</v>
      </c>
      <c r="M48" s="47" t="s">
        <v>219</v>
      </c>
      <c r="N48" s="48">
        <v>3127</v>
      </c>
      <c r="O48" s="49">
        <v>1037</v>
      </c>
      <c r="P48" s="50">
        <v>0</v>
      </c>
      <c r="Q48" s="48">
        <v>4164</v>
      </c>
    </row>
    <row r="49" spans="5:17" ht="20" customHeight="1" x14ac:dyDescent="0.2">
      <c r="E49" s="45">
        <v>2022</v>
      </c>
      <c r="F49" s="46">
        <v>57313</v>
      </c>
      <c r="G49" s="47" t="s">
        <v>229</v>
      </c>
      <c r="H49" s="45" t="s">
        <v>151</v>
      </c>
      <c r="I49" s="47" t="s">
        <v>152</v>
      </c>
      <c r="J49" s="45" t="s">
        <v>153</v>
      </c>
      <c r="K49" s="47" t="s">
        <v>154</v>
      </c>
      <c r="L49" s="47" t="s">
        <v>230</v>
      </c>
      <c r="M49" s="47" t="s">
        <v>226</v>
      </c>
      <c r="N49" s="48">
        <v>18</v>
      </c>
      <c r="O49" s="49">
        <v>0</v>
      </c>
      <c r="P49" s="50">
        <v>0</v>
      </c>
      <c r="Q49" s="48">
        <v>18</v>
      </c>
    </row>
    <row r="50" spans="5:17" ht="20" customHeight="1" x14ac:dyDescent="0.2">
      <c r="E50" s="45">
        <v>2022</v>
      </c>
      <c r="F50" s="46">
        <v>57313</v>
      </c>
      <c r="G50" s="47" t="s">
        <v>229</v>
      </c>
      <c r="H50" s="45" t="s">
        <v>151</v>
      </c>
      <c r="I50" s="47" t="s">
        <v>152</v>
      </c>
      <c r="J50" s="45" t="s">
        <v>153</v>
      </c>
      <c r="K50" s="47" t="s">
        <v>154</v>
      </c>
      <c r="L50" s="47" t="s">
        <v>230</v>
      </c>
      <c r="M50" s="47" t="s">
        <v>162</v>
      </c>
      <c r="N50" s="48">
        <v>69331</v>
      </c>
      <c r="O50" s="49">
        <v>14319</v>
      </c>
      <c r="P50" s="50">
        <v>0</v>
      </c>
      <c r="Q50" s="48">
        <v>83650</v>
      </c>
    </row>
    <row r="51" spans="5:17" ht="20" customHeight="1" x14ac:dyDescent="0.2">
      <c r="E51" s="45">
        <v>2022</v>
      </c>
      <c r="F51" s="46">
        <v>57483</v>
      </c>
      <c r="G51" s="47" t="s">
        <v>231</v>
      </c>
      <c r="H51" s="45" t="s">
        <v>151</v>
      </c>
      <c r="I51" s="47" t="s">
        <v>152</v>
      </c>
      <c r="J51" s="45" t="s">
        <v>153</v>
      </c>
      <c r="K51" s="47" t="s">
        <v>154</v>
      </c>
      <c r="L51" s="47" t="s">
        <v>158</v>
      </c>
      <c r="M51" s="47" t="s">
        <v>159</v>
      </c>
      <c r="N51" s="48">
        <v>294017</v>
      </c>
      <c r="O51" s="49">
        <v>267710</v>
      </c>
      <c r="P51" s="50" t="s">
        <v>186</v>
      </c>
      <c r="Q51" s="48">
        <v>561727</v>
      </c>
    </row>
    <row r="52" spans="5:17" ht="20" customHeight="1" x14ac:dyDescent="0.2">
      <c r="E52" s="45">
        <v>2022</v>
      </c>
      <c r="F52" s="46">
        <v>58457</v>
      </c>
      <c r="G52" s="47" t="s">
        <v>232</v>
      </c>
      <c r="H52" s="45" t="s">
        <v>166</v>
      </c>
      <c r="I52" s="47" t="s">
        <v>167</v>
      </c>
      <c r="J52" s="45" t="s">
        <v>153</v>
      </c>
      <c r="K52" s="47" t="s">
        <v>154</v>
      </c>
      <c r="L52" s="47" t="s">
        <v>191</v>
      </c>
      <c r="M52" s="47" t="s">
        <v>159</v>
      </c>
      <c r="N52" s="48">
        <v>0</v>
      </c>
      <c r="O52" s="49">
        <v>727399</v>
      </c>
      <c r="P52" s="50">
        <v>451493</v>
      </c>
      <c r="Q52" s="48">
        <v>1178892</v>
      </c>
    </row>
    <row r="53" spans="5:17" ht="20" customHeight="1" x14ac:dyDescent="0.2">
      <c r="E53" s="45">
        <v>2022</v>
      </c>
      <c r="F53" s="46">
        <v>58851</v>
      </c>
      <c r="G53" s="47" t="s">
        <v>233</v>
      </c>
      <c r="H53" s="45" t="s">
        <v>166</v>
      </c>
      <c r="I53" s="47" t="s">
        <v>167</v>
      </c>
      <c r="J53" s="45" t="s">
        <v>153</v>
      </c>
      <c r="K53" s="47" t="s">
        <v>154</v>
      </c>
      <c r="L53" s="47" t="s">
        <v>155</v>
      </c>
      <c r="M53" s="47" t="s">
        <v>159</v>
      </c>
      <c r="N53" s="48">
        <v>0</v>
      </c>
      <c r="O53" s="49">
        <v>51745</v>
      </c>
      <c r="P53" s="50">
        <v>17326</v>
      </c>
      <c r="Q53" s="48">
        <v>69071</v>
      </c>
    </row>
    <row r="54" spans="5:17" ht="20" customHeight="1" x14ac:dyDescent="0.2">
      <c r="E54" s="45">
        <v>2022</v>
      </c>
      <c r="F54" s="46">
        <v>59086</v>
      </c>
      <c r="G54" s="47" t="s">
        <v>234</v>
      </c>
      <c r="H54" s="45" t="s">
        <v>151</v>
      </c>
      <c r="I54" s="47" t="s">
        <v>152</v>
      </c>
      <c r="J54" s="45" t="s">
        <v>153</v>
      </c>
      <c r="K54" s="47" t="s">
        <v>154</v>
      </c>
      <c r="L54" s="47" t="s">
        <v>230</v>
      </c>
      <c r="M54" s="47" t="s">
        <v>159</v>
      </c>
      <c r="N54" s="48">
        <v>0</v>
      </c>
      <c r="O54" s="49">
        <v>92626</v>
      </c>
      <c r="P54" s="50">
        <v>1102</v>
      </c>
      <c r="Q54" s="48">
        <v>93728</v>
      </c>
    </row>
    <row r="55" spans="5:17" ht="20" customHeight="1" x14ac:dyDescent="0.2">
      <c r="E55" s="45">
        <v>2022</v>
      </c>
      <c r="F55" s="46">
        <v>59126</v>
      </c>
      <c r="G55" s="47" t="s">
        <v>235</v>
      </c>
      <c r="H55" s="45" t="s">
        <v>166</v>
      </c>
      <c r="I55" s="47" t="s">
        <v>167</v>
      </c>
      <c r="J55" s="45" t="s">
        <v>153</v>
      </c>
      <c r="K55" s="47" t="s">
        <v>154</v>
      </c>
      <c r="L55" s="47" t="s">
        <v>168</v>
      </c>
      <c r="M55" s="47" t="s">
        <v>159</v>
      </c>
      <c r="N55" s="48">
        <v>1085640</v>
      </c>
      <c r="O55" s="49">
        <v>951076</v>
      </c>
      <c r="P55" s="50">
        <v>142509</v>
      </c>
      <c r="Q55" s="48">
        <v>2179225</v>
      </c>
    </row>
    <row r="56" spans="5:17" ht="20" customHeight="1" x14ac:dyDescent="0.2">
      <c r="E56" s="45">
        <v>2022</v>
      </c>
      <c r="F56" s="46">
        <v>59579</v>
      </c>
      <c r="G56" s="47" t="s">
        <v>236</v>
      </c>
      <c r="H56" s="45" t="s">
        <v>151</v>
      </c>
      <c r="I56" s="47" t="s">
        <v>152</v>
      </c>
      <c r="J56" s="45" t="s">
        <v>153</v>
      </c>
      <c r="K56" s="47" t="s">
        <v>154</v>
      </c>
      <c r="L56" s="47" t="s">
        <v>230</v>
      </c>
      <c r="M56" s="47" t="s">
        <v>159</v>
      </c>
      <c r="N56" s="48">
        <v>405547</v>
      </c>
      <c r="O56" s="49">
        <v>0</v>
      </c>
      <c r="P56" s="50">
        <v>0</v>
      </c>
      <c r="Q56" s="48">
        <v>405547</v>
      </c>
    </row>
    <row r="57" spans="5:17" ht="20" customHeight="1" x14ac:dyDescent="0.2">
      <c r="E57" s="45">
        <v>2022</v>
      </c>
      <c r="F57" s="46">
        <v>59579</v>
      </c>
      <c r="G57" s="47" t="s">
        <v>236</v>
      </c>
      <c r="H57" s="45" t="s">
        <v>151</v>
      </c>
      <c r="I57" s="47" t="s">
        <v>152</v>
      </c>
      <c r="J57" s="45" t="s">
        <v>153</v>
      </c>
      <c r="K57" s="47" t="s">
        <v>154</v>
      </c>
      <c r="L57" s="47" t="s">
        <v>230</v>
      </c>
      <c r="M57" s="47" t="s">
        <v>197</v>
      </c>
      <c r="N57" s="48">
        <v>578</v>
      </c>
      <c r="O57" s="49">
        <v>0</v>
      </c>
      <c r="P57" s="50">
        <v>0</v>
      </c>
      <c r="Q57" s="48">
        <v>578</v>
      </c>
    </row>
    <row r="58" spans="5:17" ht="20" customHeight="1" x14ac:dyDescent="0.2">
      <c r="E58" s="45">
        <v>2022</v>
      </c>
      <c r="F58" s="46">
        <v>59579</v>
      </c>
      <c r="G58" s="47" t="s">
        <v>236</v>
      </c>
      <c r="H58" s="45" t="s">
        <v>151</v>
      </c>
      <c r="I58" s="47" t="s">
        <v>152</v>
      </c>
      <c r="J58" s="45" t="s">
        <v>153</v>
      </c>
      <c r="K58" s="47" t="s">
        <v>154</v>
      </c>
      <c r="L58" s="47" t="s">
        <v>230</v>
      </c>
      <c r="M58" s="47" t="s">
        <v>156</v>
      </c>
      <c r="N58" s="48">
        <v>7941</v>
      </c>
      <c r="O58" s="49">
        <v>0</v>
      </c>
      <c r="P58" s="50">
        <v>0</v>
      </c>
      <c r="Q58" s="48">
        <v>7941</v>
      </c>
    </row>
    <row r="59" spans="5:17" ht="20" customHeight="1" x14ac:dyDescent="0.2">
      <c r="E59" s="45">
        <v>2022</v>
      </c>
      <c r="F59" s="46">
        <v>59579</v>
      </c>
      <c r="G59" s="47" t="s">
        <v>236</v>
      </c>
      <c r="H59" s="45" t="s">
        <v>151</v>
      </c>
      <c r="I59" s="47" t="s">
        <v>152</v>
      </c>
      <c r="J59" s="45" t="s">
        <v>153</v>
      </c>
      <c r="K59" s="47" t="s">
        <v>154</v>
      </c>
      <c r="L59" s="47" t="s">
        <v>230</v>
      </c>
      <c r="M59" s="47" t="s">
        <v>219</v>
      </c>
      <c r="N59" s="48">
        <v>874</v>
      </c>
      <c r="O59" s="49">
        <v>0</v>
      </c>
      <c r="P59" s="50">
        <v>0</v>
      </c>
      <c r="Q59" s="48">
        <v>874</v>
      </c>
    </row>
    <row r="60" spans="5:17" ht="20" customHeight="1" x14ac:dyDescent="0.2">
      <c r="E60" s="45">
        <v>2022</v>
      </c>
      <c r="F60" s="46">
        <v>59579</v>
      </c>
      <c r="G60" s="47" t="s">
        <v>236</v>
      </c>
      <c r="H60" s="45" t="s">
        <v>151</v>
      </c>
      <c r="I60" s="47" t="s">
        <v>152</v>
      </c>
      <c r="J60" s="45" t="s">
        <v>153</v>
      </c>
      <c r="K60" s="47" t="s">
        <v>154</v>
      </c>
      <c r="L60" s="47" t="s">
        <v>230</v>
      </c>
      <c r="M60" s="47" t="s">
        <v>162</v>
      </c>
      <c r="N60" s="48">
        <v>12166</v>
      </c>
      <c r="O60" s="49">
        <v>0</v>
      </c>
      <c r="P60" s="50">
        <v>0</v>
      </c>
      <c r="Q60" s="48">
        <v>12166</v>
      </c>
    </row>
    <row r="61" spans="5:17" ht="20" customHeight="1" x14ac:dyDescent="0.2">
      <c r="E61" s="45">
        <v>2022</v>
      </c>
      <c r="F61" s="46">
        <v>59580</v>
      </c>
      <c r="G61" s="47" t="s">
        <v>237</v>
      </c>
      <c r="H61" s="45" t="s">
        <v>151</v>
      </c>
      <c r="I61" s="47" t="s">
        <v>152</v>
      </c>
      <c r="J61" s="45" t="s">
        <v>153</v>
      </c>
      <c r="K61" s="47" t="s">
        <v>154</v>
      </c>
      <c r="L61" s="47" t="s">
        <v>230</v>
      </c>
      <c r="M61" s="47" t="s">
        <v>159</v>
      </c>
      <c r="N61" s="48">
        <v>358082</v>
      </c>
      <c r="O61" s="49">
        <v>0</v>
      </c>
      <c r="P61" s="50">
        <v>0</v>
      </c>
      <c r="Q61" s="48">
        <v>358082</v>
      </c>
    </row>
    <row r="62" spans="5:17" ht="20" customHeight="1" x14ac:dyDescent="0.2">
      <c r="E62" s="45">
        <v>2022</v>
      </c>
      <c r="F62" s="46">
        <v>59580</v>
      </c>
      <c r="G62" s="47" t="s">
        <v>237</v>
      </c>
      <c r="H62" s="45" t="s">
        <v>151</v>
      </c>
      <c r="I62" s="47" t="s">
        <v>152</v>
      </c>
      <c r="J62" s="45" t="s">
        <v>153</v>
      </c>
      <c r="K62" s="47" t="s">
        <v>154</v>
      </c>
      <c r="L62" s="47" t="s">
        <v>230</v>
      </c>
      <c r="M62" s="47" t="s">
        <v>197</v>
      </c>
      <c r="N62" s="48">
        <v>7195</v>
      </c>
      <c r="O62" s="49">
        <v>0</v>
      </c>
      <c r="P62" s="50">
        <v>0</v>
      </c>
      <c r="Q62" s="48">
        <v>7195</v>
      </c>
    </row>
    <row r="63" spans="5:17" ht="20" customHeight="1" x14ac:dyDescent="0.2">
      <c r="E63" s="45">
        <v>2022</v>
      </c>
      <c r="F63" s="46">
        <v>59580</v>
      </c>
      <c r="G63" s="47" t="s">
        <v>237</v>
      </c>
      <c r="H63" s="45" t="s">
        <v>151</v>
      </c>
      <c r="I63" s="47" t="s">
        <v>152</v>
      </c>
      <c r="J63" s="45" t="s">
        <v>153</v>
      </c>
      <c r="K63" s="47" t="s">
        <v>154</v>
      </c>
      <c r="L63" s="47" t="s">
        <v>230</v>
      </c>
      <c r="M63" s="47" t="s">
        <v>156</v>
      </c>
      <c r="N63" s="48">
        <v>24419</v>
      </c>
      <c r="O63" s="49">
        <v>0</v>
      </c>
      <c r="P63" s="50">
        <v>0</v>
      </c>
      <c r="Q63" s="48">
        <v>24419</v>
      </c>
    </row>
    <row r="64" spans="5:17" ht="20" customHeight="1" x14ac:dyDescent="0.2">
      <c r="E64" s="45">
        <v>2022</v>
      </c>
      <c r="F64" s="46">
        <v>59580</v>
      </c>
      <c r="G64" s="47" t="s">
        <v>237</v>
      </c>
      <c r="H64" s="45" t="s">
        <v>151</v>
      </c>
      <c r="I64" s="47" t="s">
        <v>152</v>
      </c>
      <c r="J64" s="45" t="s">
        <v>153</v>
      </c>
      <c r="K64" s="47" t="s">
        <v>154</v>
      </c>
      <c r="L64" s="47" t="s">
        <v>230</v>
      </c>
      <c r="M64" s="47" t="s">
        <v>222</v>
      </c>
      <c r="N64" s="48">
        <v>80</v>
      </c>
      <c r="O64" s="49">
        <v>0</v>
      </c>
      <c r="P64" s="50">
        <v>0</v>
      </c>
      <c r="Q64" s="48">
        <v>80</v>
      </c>
    </row>
    <row r="65" spans="5:17" ht="20" customHeight="1" x14ac:dyDescent="0.2">
      <c r="E65" s="45">
        <v>2022</v>
      </c>
      <c r="F65" s="46">
        <v>59580</v>
      </c>
      <c r="G65" s="47" t="s">
        <v>237</v>
      </c>
      <c r="H65" s="45" t="s">
        <v>151</v>
      </c>
      <c r="I65" s="47" t="s">
        <v>152</v>
      </c>
      <c r="J65" s="45" t="s">
        <v>153</v>
      </c>
      <c r="K65" s="47" t="s">
        <v>154</v>
      </c>
      <c r="L65" s="47" t="s">
        <v>230</v>
      </c>
      <c r="M65" s="47" t="s">
        <v>204</v>
      </c>
      <c r="N65" s="48">
        <v>295</v>
      </c>
      <c r="O65" s="49">
        <v>0</v>
      </c>
      <c r="P65" s="50">
        <v>0</v>
      </c>
      <c r="Q65" s="48">
        <v>295</v>
      </c>
    </row>
    <row r="66" spans="5:17" ht="20" customHeight="1" x14ac:dyDescent="0.2">
      <c r="E66" s="45">
        <v>2022</v>
      </c>
      <c r="F66" s="46">
        <v>59580</v>
      </c>
      <c r="G66" s="47" t="s">
        <v>237</v>
      </c>
      <c r="H66" s="45" t="s">
        <v>151</v>
      </c>
      <c r="I66" s="47" t="s">
        <v>152</v>
      </c>
      <c r="J66" s="45" t="s">
        <v>153</v>
      </c>
      <c r="K66" s="47" t="s">
        <v>154</v>
      </c>
      <c r="L66" s="47" t="s">
        <v>230</v>
      </c>
      <c r="M66" s="47" t="s">
        <v>219</v>
      </c>
      <c r="N66" s="48">
        <v>19070</v>
      </c>
      <c r="O66" s="49">
        <v>0</v>
      </c>
      <c r="P66" s="50">
        <v>0</v>
      </c>
      <c r="Q66" s="48">
        <v>19070</v>
      </c>
    </row>
    <row r="67" spans="5:17" ht="20" customHeight="1" x14ac:dyDescent="0.2">
      <c r="E67" s="45">
        <v>2022</v>
      </c>
      <c r="F67" s="46">
        <v>59580</v>
      </c>
      <c r="G67" s="47" t="s">
        <v>237</v>
      </c>
      <c r="H67" s="45" t="s">
        <v>151</v>
      </c>
      <c r="I67" s="47" t="s">
        <v>152</v>
      </c>
      <c r="J67" s="45" t="s">
        <v>153</v>
      </c>
      <c r="K67" s="47" t="s">
        <v>154</v>
      </c>
      <c r="L67" s="47" t="s">
        <v>230</v>
      </c>
      <c r="M67" s="47" t="s">
        <v>226</v>
      </c>
      <c r="N67" s="48">
        <v>718</v>
      </c>
      <c r="O67" s="49">
        <v>0</v>
      </c>
      <c r="P67" s="50">
        <v>0</v>
      </c>
      <c r="Q67" s="48">
        <v>718</v>
      </c>
    </row>
    <row r="68" spans="5:17" ht="20" customHeight="1" x14ac:dyDescent="0.2">
      <c r="E68" s="45">
        <v>2022</v>
      </c>
      <c r="F68" s="46">
        <v>59580</v>
      </c>
      <c r="G68" s="47" t="s">
        <v>237</v>
      </c>
      <c r="H68" s="45" t="s">
        <v>151</v>
      </c>
      <c r="I68" s="47" t="s">
        <v>152</v>
      </c>
      <c r="J68" s="45" t="s">
        <v>153</v>
      </c>
      <c r="K68" s="47" t="s">
        <v>154</v>
      </c>
      <c r="L68" s="47" t="s">
        <v>230</v>
      </c>
      <c r="M68" s="47" t="s">
        <v>162</v>
      </c>
      <c r="N68" s="48">
        <v>27</v>
      </c>
      <c r="O68" s="49">
        <v>0</v>
      </c>
      <c r="P68" s="50">
        <v>0</v>
      </c>
      <c r="Q68" s="48">
        <v>27</v>
      </c>
    </row>
    <row r="69" spans="5:17" ht="20" customHeight="1" x14ac:dyDescent="0.2">
      <c r="E69" s="45">
        <v>2022</v>
      </c>
      <c r="F69" s="46">
        <v>59622</v>
      </c>
      <c r="G69" s="47" t="s">
        <v>238</v>
      </c>
      <c r="H69" s="45" t="s">
        <v>151</v>
      </c>
      <c r="I69" s="47" t="s">
        <v>152</v>
      </c>
      <c r="J69" s="45" t="s">
        <v>153</v>
      </c>
      <c r="K69" s="47" t="s">
        <v>154</v>
      </c>
      <c r="L69" s="47" t="s">
        <v>230</v>
      </c>
      <c r="M69" s="47" t="s">
        <v>159</v>
      </c>
      <c r="N69" s="48">
        <v>0</v>
      </c>
      <c r="O69" s="49">
        <v>10720</v>
      </c>
      <c r="P69" s="50">
        <v>0</v>
      </c>
      <c r="Q69" s="48">
        <v>10720</v>
      </c>
    </row>
    <row r="70" spans="5:17" ht="20" customHeight="1" x14ac:dyDescent="0.2">
      <c r="E70" s="45">
        <v>2022</v>
      </c>
      <c r="F70" s="46">
        <v>59625</v>
      </c>
      <c r="G70" s="47" t="s">
        <v>239</v>
      </c>
      <c r="H70" s="45" t="s">
        <v>166</v>
      </c>
      <c r="I70" s="47" t="s">
        <v>167</v>
      </c>
      <c r="J70" s="45" t="s">
        <v>153</v>
      </c>
      <c r="K70" s="47" t="s">
        <v>154</v>
      </c>
      <c r="L70" s="47" t="s">
        <v>168</v>
      </c>
      <c r="M70" s="47" t="s">
        <v>159</v>
      </c>
      <c r="N70" s="48">
        <v>354992</v>
      </c>
      <c r="O70" s="49">
        <v>192642</v>
      </c>
      <c r="P70" s="50">
        <v>76427</v>
      </c>
      <c r="Q70" s="48">
        <v>624061</v>
      </c>
    </row>
    <row r="71" spans="5:17" ht="20" customHeight="1" x14ac:dyDescent="0.2">
      <c r="E71" s="45">
        <v>2022</v>
      </c>
      <c r="F71" s="46">
        <v>59647</v>
      </c>
      <c r="G71" s="47" t="s">
        <v>240</v>
      </c>
      <c r="H71" s="45" t="s">
        <v>151</v>
      </c>
      <c r="I71" s="47" t="s">
        <v>152</v>
      </c>
      <c r="J71" s="45" t="s">
        <v>153</v>
      </c>
      <c r="K71" s="47" t="s">
        <v>154</v>
      </c>
      <c r="L71" s="47" t="s">
        <v>230</v>
      </c>
      <c r="M71" s="47" t="s">
        <v>159</v>
      </c>
      <c r="N71" s="48">
        <v>1869608</v>
      </c>
      <c r="O71" s="49">
        <v>0</v>
      </c>
      <c r="P71" s="50">
        <v>0</v>
      </c>
      <c r="Q71" s="48">
        <v>1869608</v>
      </c>
    </row>
    <row r="72" spans="5:17" ht="20" customHeight="1" x14ac:dyDescent="0.2">
      <c r="E72" s="45">
        <v>2022</v>
      </c>
      <c r="F72" s="46">
        <v>59647</v>
      </c>
      <c r="G72" s="47" t="s">
        <v>240</v>
      </c>
      <c r="H72" s="45" t="s">
        <v>151</v>
      </c>
      <c r="I72" s="47" t="s">
        <v>152</v>
      </c>
      <c r="J72" s="45" t="s">
        <v>153</v>
      </c>
      <c r="K72" s="47" t="s">
        <v>154</v>
      </c>
      <c r="L72" s="47" t="s">
        <v>230</v>
      </c>
      <c r="M72" s="47" t="s">
        <v>197</v>
      </c>
      <c r="N72" s="48">
        <v>3632</v>
      </c>
      <c r="O72" s="49">
        <v>0</v>
      </c>
      <c r="P72" s="50">
        <v>0</v>
      </c>
      <c r="Q72" s="48">
        <v>3632</v>
      </c>
    </row>
    <row r="73" spans="5:17" ht="20" customHeight="1" x14ac:dyDescent="0.2">
      <c r="E73" s="45">
        <v>2022</v>
      </c>
      <c r="F73" s="46">
        <v>59647</v>
      </c>
      <c r="G73" s="47" t="s">
        <v>240</v>
      </c>
      <c r="H73" s="45" t="s">
        <v>151</v>
      </c>
      <c r="I73" s="47" t="s">
        <v>152</v>
      </c>
      <c r="J73" s="45" t="s">
        <v>153</v>
      </c>
      <c r="K73" s="47" t="s">
        <v>154</v>
      </c>
      <c r="L73" s="47" t="s">
        <v>230</v>
      </c>
      <c r="M73" s="47" t="s">
        <v>156</v>
      </c>
      <c r="N73" s="48">
        <v>68012</v>
      </c>
      <c r="O73" s="49">
        <v>0</v>
      </c>
      <c r="P73" s="50">
        <v>0</v>
      </c>
      <c r="Q73" s="48">
        <v>68012</v>
      </c>
    </row>
    <row r="74" spans="5:17" ht="20" customHeight="1" x14ac:dyDescent="0.2">
      <c r="E74" s="45">
        <v>2022</v>
      </c>
      <c r="F74" s="46">
        <v>59647</v>
      </c>
      <c r="G74" s="47" t="s">
        <v>240</v>
      </c>
      <c r="H74" s="45" t="s">
        <v>151</v>
      </c>
      <c r="I74" s="47" t="s">
        <v>152</v>
      </c>
      <c r="J74" s="45" t="s">
        <v>153</v>
      </c>
      <c r="K74" s="47" t="s">
        <v>154</v>
      </c>
      <c r="L74" s="47" t="s">
        <v>230</v>
      </c>
      <c r="M74" s="47" t="s">
        <v>219</v>
      </c>
      <c r="N74" s="48">
        <v>179</v>
      </c>
      <c r="O74" s="49">
        <v>0</v>
      </c>
      <c r="P74" s="50">
        <v>0</v>
      </c>
      <c r="Q74" s="48">
        <v>179</v>
      </c>
    </row>
    <row r="75" spans="5:17" ht="20" customHeight="1" x14ac:dyDescent="0.2">
      <c r="E75" s="45">
        <v>2022</v>
      </c>
      <c r="F75" s="46">
        <v>59647</v>
      </c>
      <c r="G75" s="47" t="s">
        <v>240</v>
      </c>
      <c r="H75" s="45" t="s">
        <v>151</v>
      </c>
      <c r="I75" s="47" t="s">
        <v>152</v>
      </c>
      <c r="J75" s="45" t="s">
        <v>153</v>
      </c>
      <c r="K75" s="47" t="s">
        <v>154</v>
      </c>
      <c r="L75" s="47" t="s">
        <v>230</v>
      </c>
      <c r="M75" s="47" t="s">
        <v>162</v>
      </c>
      <c r="N75" s="48">
        <v>51239</v>
      </c>
      <c r="O75" s="49">
        <v>0</v>
      </c>
      <c r="P75" s="50">
        <v>0</v>
      </c>
      <c r="Q75" s="48">
        <v>51239</v>
      </c>
    </row>
    <row r="76" spans="5:17" ht="20" customHeight="1" x14ac:dyDescent="0.2">
      <c r="E76" s="45">
        <v>2022</v>
      </c>
      <c r="F76" s="46">
        <v>59943</v>
      </c>
      <c r="G76" s="47" t="s">
        <v>241</v>
      </c>
      <c r="H76" s="45" t="s">
        <v>151</v>
      </c>
      <c r="I76" s="47" t="s">
        <v>152</v>
      </c>
      <c r="J76" s="45" t="s">
        <v>153</v>
      </c>
      <c r="K76" s="47" t="s">
        <v>154</v>
      </c>
      <c r="L76" s="47" t="s">
        <v>230</v>
      </c>
      <c r="M76" s="47" t="s">
        <v>159</v>
      </c>
      <c r="N76" s="48">
        <v>153412</v>
      </c>
      <c r="O76" s="49">
        <v>0</v>
      </c>
      <c r="P76" s="50">
        <v>0</v>
      </c>
      <c r="Q76" s="48">
        <v>153412</v>
      </c>
    </row>
    <row r="77" spans="5:17" ht="20" customHeight="1" x14ac:dyDescent="0.2">
      <c r="E77" s="45">
        <v>2022</v>
      </c>
      <c r="F77" s="46">
        <v>59972</v>
      </c>
      <c r="G77" s="47" t="s">
        <v>242</v>
      </c>
      <c r="H77" s="45" t="s">
        <v>166</v>
      </c>
      <c r="I77" s="47" t="s">
        <v>167</v>
      </c>
      <c r="J77" s="45" t="s">
        <v>153</v>
      </c>
      <c r="K77" s="47" t="s">
        <v>154</v>
      </c>
      <c r="L77" s="47" t="s">
        <v>191</v>
      </c>
      <c r="M77" s="47" t="s">
        <v>159</v>
      </c>
      <c r="N77" s="48">
        <v>0</v>
      </c>
      <c r="O77" s="49">
        <v>478002</v>
      </c>
      <c r="P77" s="50">
        <v>0</v>
      </c>
      <c r="Q77" s="48">
        <v>478002</v>
      </c>
    </row>
    <row r="78" spans="5:17" ht="20" customHeight="1" x14ac:dyDescent="0.2">
      <c r="E78" s="45">
        <v>2022</v>
      </c>
      <c r="F78" s="46">
        <v>60025</v>
      </c>
      <c r="G78" s="47" t="s">
        <v>243</v>
      </c>
      <c r="H78" s="45" t="s">
        <v>151</v>
      </c>
      <c r="I78" s="47" t="s">
        <v>152</v>
      </c>
      <c r="J78" s="45" t="s">
        <v>153</v>
      </c>
      <c r="K78" s="47" t="s">
        <v>154</v>
      </c>
      <c r="L78" s="47" t="s">
        <v>230</v>
      </c>
      <c r="M78" s="47" t="s">
        <v>159</v>
      </c>
      <c r="N78" s="48">
        <v>0</v>
      </c>
      <c r="O78" s="49">
        <v>10825</v>
      </c>
      <c r="P78" s="50">
        <v>0</v>
      </c>
      <c r="Q78" s="48">
        <v>10825</v>
      </c>
    </row>
    <row r="79" spans="5:17" ht="20" customHeight="1" x14ac:dyDescent="0.2">
      <c r="E79" s="45">
        <v>2022</v>
      </c>
      <c r="F79" s="46">
        <v>60181</v>
      </c>
      <c r="G79" s="47" t="s">
        <v>244</v>
      </c>
      <c r="H79" s="45" t="s">
        <v>166</v>
      </c>
      <c r="I79" s="47" t="s">
        <v>167</v>
      </c>
      <c r="J79" s="45" t="s">
        <v>153</v>
      </c>
      <c r="K79" s="47" t="s">
        <v>154</v>
      </c>
      <c r="L79" s="47" t="s">
        <v>168</v>
      </c>
      <c r="M79" s="47" t="s">
        <v>159</v>
      </c>
      <c r="N79" s="48">
        <v>1221826</v>
      </c>
      <c r="O79" s="49">
        <v>1381749</v>
      </c>
      <c r="P79" s="50">
        <v>245609</v>
      </c>
      <c r="Q79" s="48">
        <v>2849184</v>
      </c>
    </row>
    <row r="80" spans="5:17" ht="20" customHeight="1" x14ac:dyDescent="0.2">
      <c r="E80" s="45">
        <v>2022</v>
      </c>
      <c r="F80" s="46">
        <v>60402</v>
      </c>
      <c r="G80" s="47" t="s">
        <v>245</v>
      </c>
      <c r="H80" s="45" t="s">
        <v>166</v>
      </c>
      <c r="I80" s="47" t="s">
        <v>167</v>
      </c>
      <c r="J80" s="45" t="s">
        <v>153</v>
      </c>
      <c r="K80" s="47" t="s">
        <v>154</v>
      </c>
      <c r="L80" s="47" t="s">
        <v>168</v>
      </c>
      <c r="M80" s="47" t="s">
        <v>159</v>
      </c>
      <c r="N80" s="48">
        <v>1530250</v>
      </c>
      <c r="O80" s="49">
        <v>1832765</v>
      </c>
      <c r="P80" s="50">
        <v>252264</v>
      </c>
      <c r="Q80" s="48">
        <v>3615279</v>
      </c>
    </row>
    <row r="81" spans="5:17" ht="20" customHeight="1" x14ac:dyDescent="0.2">
      <c r="E81" s="45">
        <v>2022</v>
      </c>
      <c r="F81" s="46">
        <v>60758</v>
      </c>
      <c r="G81" s="47" t="s">
        <v>246</v>
      </c>
      <c r="H81" s="45" t="s">
        <v>166</v>
      </c>
      <c r="I81" s="47" t="s">
        <v>167</v>
      </c>
      <c r="J81" s="45" t="s">
        <v>153</v>
      </c>
      <c r="K81" s="47" t="s">
        <v>154</v>
      </c>
      <c r="L81" s="47" t="s">
        <v>168</v>
      </c>
      <c r="M81" s="47" t="s">
        <v>159</v>
      </c>
      <c r="N81" s="48">
        <v>178267</v>
      </c>
      <c r="O81" s="49">
        <v>63969</v>
      </c>
      <c r="P81" s="50">
        <v>16987</v>
      </c>
      <c r="Q81" s="48">
        <v>259223</v>
      </c>
    </row>
    <row r="82" spans="5:17" ht="20" customHeight="1" x14ac:dyDescent="0.2">
      <c r="E82" s="45">
        <v>2022</v>
      </c>
      <c r="F82" s="46">
        <v>60759</v>
      </c>
      <c r="G82" s="47" t="s">
        <v>247</v>
      </c>
      <c r="H82" s="45" t="s">
        <v>166</v>
      </c>
      <c r="I82" s="47" t="s">
        <v>167</v>
      </c>
      <c r="J82" s="45" t="s">
        <v>153</v>
      </c>
      <c r="K82" s="47" t="s">
        <v>154</v>
      </c>
      <c r="L82" s="47" t="s">
        <v>168</v>
      </c>
      <c r="M82" s="47" t="s">
        <v>159</v>
      </c>
      <c r="N82" s="48">
        <v>1353155</v>
      </c>
      <c r="O82" s="49">
        <v>1677272</v>
      </c>
      <c r="P82" s="50">
        <v>761557</v>
      </c>
      <c r="Q82" s="48">
        <v>3791984</v>
      </c>
    </row>
    <row r="83" spans="5:17" ht="20" customHeight="1" x14ac:dyDescent="0.2">
      <c r="E83" s="45">
        <v>2022</v>
      </c>
      <c r="F83" s="46">
        <v>60868</v>
      </c>
      <c r="G83" s="47" t="s">
        <v>248</v>
      </c>
      <c r="H83" s="45" t="s">
        <v>166</v>
      </c>
      <c r="I83" s="47" t="s">
        <v>167</v>
      </c>
      <c r="J83" s="45" t="s">
        <v>153</v>
      </c>
      <c r="K83" s="47" t="s">
        <v>154</v>
      </c>
      <c r="L83" s="47" t="s">
        <v>168</v>
      </c>
      <c r="M83" s="47" t="s">
        <v>159</v>
      </c>
      <c r="N83" s="48">
        <v>300405</v>
      </c>
      <c r="O83" s="49">
        <v>203084</v>
      </c>
      <c r="P83" s="50">
        <v>94865</v>
      </c>
      <c r="Q83" s="48">
        <v>598354</v>
      </c>
    </row>
    <row r="84" spans="5:17" ht="20" customHeight="1" x14ac:dyDescent="0.2">
      <c r="E84" s="45">
        <v>2022</v>
      </c>
      <c r="F84" s="46">
        <v>60981</v>
      </c>
      <c r="G84" s="47" t="s">
        <v>249</v>
      </c>
      <c r="H84" s="45" t="s">
        <v>151</v>
      </c>
      <c r="I84" s="47" t="s">
        <v>152</v>
      </c>
      <c r="J84" s="45" t="s">
        <v>153</v>
      </c>
      <c r="K84" s="47" t="s">
        <v>154</v>
      </c>
      <c r="L84" s="47" t="s">
        <v>230</v>
      </c>
      <c r="M84" s="47" t="s">
        <v>159</v>
      </c>
      <c r="N84" s="48">
        <v>0</v>
      </c>
      <c r="O84" s="49">
        <v>36333</v>
      </c>
      <c r="P84" s="50">
        <v>0</v>
      </c>
      <c r="Q84" s="48">
        <v>36333</v>
      </c>
    </row>
    <row r="85" spans="5:17" ht="20" customHeight="1" x14ac:dyDescent="0.2">
      <c r="E85" s="45">
        <v>2022</v>
      </c>
      <c r="F85" s="46">
        <v>61083</v>
      </c>
      <c r="G85" s="47" t="s">
        <v>250</v>
      </c>
      <c r="H85" s="45" t="s">
        <v>166</v>
      </c>
      <c r="I85" s="47" t="s">
        <v>167</v>
      </c>
      <c r="J85" s="45" t="s">
        <v>153</v>
      </c>
      <c r="K85" s="47" t="s">
        <v>154</v>
      </c>
      <c r="L85" s="47" t="s">
        <v>168</v>
      </c>
      <c r="M85" s="47" t="s">
        <v>159</v>
      </c>
      <c r="N85" s="48">
        <v>94572</v>
      </c>
      <c r="O85" s="49">
        <v>91059</v>
      </c>
      <c r="P85" s="50">
        <v>35621</v>
      </c>
      <c r="Q85" s="48">
        <v>221252</v>
      </c>
    </row>
    <row r="86" spans="5:17" ht="20" customHeight="1" x14ac:dyDescent="0.2">
      <c r="E86" s="45">
        <v>2022</v>
      </c>
      <c r="F86" s="46">
        <v>61098</v>
      </c>
      <c r="G86" s="47" t="s">
        <v>251</v>
      </c>
      <c r="H86" s="45" t="s">
        <v>151</v>
      </c>
      <c r="I86" s="47" t="s">
        <v>152</v>
      </c>
      <c r="J86" s="45" t="s">
        <v>153</v>
      </c>
      <c r="K86" s="47" t="s">
        <v>154</v>
      </c>
      <c r="L86" s="47" t="s">
        <v>230</v>
      </c>
      <c r="M86" s="47" t="s">
        <v>159</v>
      </c>
      <c r="N86" s="48" t="s">
        <v>186</v>
      </c>
      <c r="O86" s="49">
        <v>40027</v>
      </c>
      <c r="P86" s="50" t="s">
        <v>186</v>
      </c>
      <c r="Q86" s="48">
        <v>40027</v>
      </c>
    </row>
    <row r="87" spans="5:17" ht="20" customHeight="1" x14ac:dyDescent="0.2">
      <c r="E87" s="45">
        <v>2022</v>
      </c>
      <c r="F87" s="46">
        <v>61098</v>
      </c>
      <c r="G87" s="47" t="s">
        <v>251</v>
      </c>
      <c r="H87" s="45" t="s">
        <v>151</v>
      </c>
      <c r="I87" s="47" t="s">
        <v>152</v>
      </c>
      <c r="J87" s="45" t="s">
        <v>153</v>
      </c>
      <c r="K87" s="47" t="s">
        <v>154</v>
      </c>
      <c r="L87" s="47" t="s">
        <v>230</v>
      </c>
      <c r="M87" s="47" t="s">
        <v>156</v>
      </c>
      <c r="N87" s="48" t="s">
        <v>186</v>
      </c>
      <c r="O87" s="49">
        <v>456</v>
      </c>
      <c r="P87" s="50" t="s">
        <v>186</v>
      </c>
      <c r="Q87" s="48">
        <v>456</v>
      </c>
    </row>
    <row r="88" spans="5:17" ht="20" customHeight="1" x14ac:dyDescent="0.2">
      <c r="E88" s="45">
        <v>2022</v>
      </c>
      <c r="F88" s="46">
        <v>61431</v>
      </c>
      <c r="G88" s="47" t="s">
        <v>252</v>
      </c>
      <c r="H88" s="45" t="s">
        <v>166</v>
      </c>
      <c r="I88" s="47" t="s">
        <v>167</v>
      </c>
      <c r="J88" s="45" t="s">
        <v>153</v>
      </c>
      <c r="K88" s="47" t="s">
        <v>154</v>
      </c>
      <c r="L88" s="47" t="s">
        <v>168</v>
      </c>
      <c r="M88" s="47" t="s">
        <v>159</v>
      </c>
      <c r="N88" s="48">
        <v>942829</v>
      </c>
      <c r="O88" s="49">
        <v>513593</v>
      </c>
      <c r="P88" s="50">
        <v>119246</v>
      </c>
      <c r="Q88" s="48">
        <v>1575668</v>
      </c>
    </row>
    <row r="89" spans="5:17" ht="20" customHeight="1" x14ac:dyDescent="0.2">
      <c r="E89" s="45">
        <v>2022</v>
      </c>
      <c r="F89" s="46">
        <v>61432</v>
      </c>
      <c r="G89" s="47" t="s">
        <v>253</v>
      </c>
      <c r="H89" s="45" t="s">
        <v>166</v>
      </c>
      <c r="I89" s="47" t="s">
        <v>167</v>
      </c>
      <c r="J89" s="45" t="s">
        <v>153</v>
      </c>
      <c r="K89" s="47" t="s">
        <v>154</v>
      </c>
      <c r="L89" s="47" t="s">
        <v>168</v>
      </c>
      <c r="M89" s="47" t="s">
        <v>159</v>
      </c>
      <c r="N89" s="48">
        <v>1757498</v>
      </c>
      <c r="O89" s="49">
        <v>1911901</v>
      </c>
      <c r="P89" s="50">
        <v>1366207</v>
      </c>
      <c r="Q89" s="48">
        <v>5035606</v>
      </c>
    </row>
    <row r="90" spans="5:17" ht="20" customHeight="1" x14ac:dyDescent="0.2">
      <c r="E90" s="45">
        <v>2022</v>
      </c>
      <c r="F90" s="46">
        <v>61433</v>
      </c>
      <c r="G90" s="47" t="s">
        <v>254</v>
      </c>
      <c r="H90" s="45" t="s">
        <v>166</v>
      </c>
      <c r="I90" s="47" t="s">
        <v>167</v>
      </c>
      <c r="J90" s="45" t="s">
        <v>153</v>
      </c>
      <c r="K90" s="47" t="s">
        <v>154</v>
      </c>
      <c r="L90" s="47" t="s">
        <v>168</v>
      </c>
      <c r="M90" s="47" t="s">
        <v>159</v>
      </c>
      <c r="N90" s="48">
        <v>110088</v>
      </c>
      <c r="O90" s="49">
        <v>46728</v>
      </c>
      <c r="P90" s="50">
        <v>24880</v>
      </c>
      <c r="Q90" s="48">
        <v>181696</v>
      </c>
    </row>
    <row r="91" spans="5:17" ht="20" customHeight="1" x14ac:dyDescent="0.2">
      <c r="E91" s="45">
        <v>2022</v>
      </c>
      <c r="F91" s="46">
        <v>61462</v>
      </c>
      <c r="G91" s="47" t="s">
        <v>255</v>
      </c>
      <c r="H91" s="45" t="s">
        <v>166</v>
      </c>
      <c r="I91" s="47" t="s">
        <v>167</v>
      </c>
      <c r="J91" s="45" t="s">
        <v>153</v>
      </c>
      <c r="K91" s="47" t="s">
        <v>154</v>
      </c>
      <c r="L91" s="47" t="s">
        <v>168</v>
      </c>
      <c r="M91" s="47" t="s">
        <v>159</v>
      </c>
      <c r="N91" s="48">
        <v>301363</v>
      </c>
      <c r="O91" s="49">
        <v>279685</v>
      </c>
      <c r="P91" s="50">
        <v>160824</v>
      </c>
      <c r="Q91" s="48">
        <v>741872</v>
      </c>
    </row>
    <row r="92" spans="5:17" ht="20" customHeight="1" x14ac:dyDescent="0.2">
      <c r="E92" s="45">
        <v>2022</v>
      </c>
      <c r="F92" s="46">
        <v>61471</v>
      </c>
      <c r="G92" s="47" t="s">
        <v>256</v>
      </c>
      <c r="H92" s="45" t="s">
        <v>166</v>
      </c>
      <c r="I92" s="47" t="s">
        <v>167</v>
      </c>
      <c r="J92" s="45" t="s">
        <v>153</v>
      </c>
      <c r="K92" s="47" t="s">
        <v>154</v>
      </c>
      <c r="L92" s="47" t="s">
        <v>168</v>
      </c>
      <c r="M92" s="47" t="s">
        <v>159</v>
      </c>
      <c r="N92" s="48">
        <v>144440</v>
      </c>
      <c r="O92" s="49">
        <v>69279</v>
      </c>
      <c r="P92" s="50">
        <v>74656</v>
      </c>
      <c r="Q92" s="48">
        <v>288375</v>
      </c>
    </row>
    <row r="93" spans="5:17" ht="20" customHeight="1" x14ac:dyDescent="0.2">
      <c r="E93" s="45">
        <v>2022</v>
      </c>
      <c r="F93" s="46">
        <v>61475</v>
      </c>
      <c r="G93" s="47" t="s">
        <v>257</v>
      </c>
      <c r="H93" s="45" t="s">
        <v>166</v>
      </c>
      <c r="I93" s="47" t="s">
        <v>167</v>
      </c>
      <c r="J93" s="45" t="s">
        <v>153</v>
      </c>
      <c r="K93" s="47" t="s">
        <v>154</v>
      </c>
      <c r="L93" s="47" t="s">
        <v>168</v>
      </c>
      <c r="M93" s="47" t="s">
        <v>159</v>
      </c>
      <c r="N93" s="48">
        <v>2651484</v>
      </c>
      <c r="O93" s="49">
        <v>2818799</v>
      </c>
      <c r="P93" s="50">
        <v>1053056</v>
      </c>
      <c r="Q93" s="48">
        <v>6523339</v>
      </c>
    </row>
    <row r="94" spans="5:17" ht="20" customHeight="1" x14ac:dyDescent="0.2">
      <c r="E94" s="45">
        <v>2022</v>
      </c>
      <c r="F94" s="46">
        <v>61526</v>
      </c>
      <c r="G94" s="47" t="s">
        <v>258</v>
      </c>
      <c r="H94" s="45" t="s">
        <v>166</v>
      </c>
      <c r="I94" s="47" t="s">
        <v>167</v>
      </c>
      <c r="J94" s="45" t="s">
        <v>153</v>
      </c>
      <c r="K94" s="47" t="s">
        <v>154</v>
      </c>
      <c r="L94" s="47" t="s">
        <v>168</v>
      </c>
      <c r="M94" s="47" t="s">
        <v>159</v>
      </c>
      <c r="N94" s="48">
        <v>5336999</v>
      </c>
      <c r="O94" s="49">
        <v>4052900</v>
      </c>
      <c r="P94" s="50">
        <v>1480592</v>
      </c>
      <c r="Q94" s="48">
        <v>10870491</v>
      </c>
    </row>
    <row r="95" spans="5:17" ht="20" customHeight="1" x14ac:dyDescent="0.2">
      <c r="E95" s="45">
        <v>2022</v>
      </c>
      <c r="F95" s="46">
        <v>61570</v>
      </c>
      <c r="G95" s="47" t="s">
        <v>259</v>
      </c>
      <c r="H95" s="45" t="s">
        <v>166</v>
      </c>
      <c r="I95" s="47" t="s">
        <v>167</v>
      </c>
      <c r="J95" s="45" t="s">
        <v>153</v>
      </c>
      <c r="K95" s="47" t="s">
        <v>154</v>
      </c>
      <c r="L95" s="47" t="s">
        <v>168</v>
      </c>
      <c r="M95" s="47" t="s">
        <v>159</v>
      </c>
      <c r="N95" s="48">
        <v>10929</v>
      </c>
      <c r="O95" s="49">
        <v>18307</v>
      </c>
      <c r="P95" s="50">
        <v>4757</v>
      </c>
      <c r="Q95" s="48">
        <v>33993</v>
      </c>
    </row>
    <row r="96" spans="5:17" ht="20" customHeight="1" x14ac:dyDescent="0.2">
      <c r="E96" s="45">
        <v>2022</v>
      </c>
      <c r="F96" s="46">
        <v>61823</v>
      </c>
      <c r="G96" s="47" t="s">
        <v>260</v>
      </c>
      <c r="H96" s="45" t="s">
        <v>151</v>
      </c>
      <c r="I96" s="47" t="s">
        <v>152</v>
      </c>
      <c r="J96" s="45" t="s">
        <v>153</v>
      </c>
      <c r="K96" s="47" t="s">
        <v>154</v>
      </c>
      <c r="L96" s="47" t="s">
        <v>230</v>
      </c>
      <c r="M96" s="47" t="s">
        <v>159</v>
      </c>
      <c r="N96" s="48">
        <v>0</v>
      </c>
      <c r="O96" s="49">
        <v>17009</v>
      </c>
      <c r="P96" s="50">
        <v>0</v>
      </c>
      <c r="Q96" s="48">
        <v>17009</v>
      </c>
    </row>
    <row r="97" spans="5:17" ht="20" customHeight="1" x14ac:dyDescent="0.2">
      <c r="E97" s="45">
        <v>2022</v>
      </c>
      <c r="F97" s="46">
        <v>61858</v>
      </c>
      <c r="G97" s="47" t="s">
        <v>261</v>
      </c>
      <c r="H97" s="45" t="s">
        <v>166</v>
      </c>
      <c r="I97" s="47" t="s">
        <v>167</v>
      </c>
      <c r="J97" s="45" t="s">
        <v>153</v>
      </c>
      <c r="K97" s="47" t="s">
        <v>154</v>
      </c>
      <c r="L97" s="47" t="s">
        <v>168</v>
      </c>
      <c r="M97" s="47" t="s">
        <v>159</v>
      </c>
      <c r="N97" s="48">
        <v>1638449</v>
      </c>
      <c r="O97" s="49">
        <v>1764058</v>
      </c>
      <c r="P97" s="50">
        <v>369265</v>
      </c>
      <c r="Q97" s="48">
        <v>3785540</v>
      </c>
    </row>
    <row r="98" spans="5:17" ht="20" customHeight="1" x14ac:dyDescent="0.2">
      <c r="E98" s="45">
        <v>2022</v>
      </c>
      <c r="F98" s="46">
        <v>63367</v>
      </c>
      <c r="G98" s="47" t="s">
        <v>262</v>
      </c>
      <c r="H98" s="45" t="s">
        <v>166</v>
      </c>
      <c r="I98" s="47" t="s">
        <v>167</v>
      </c>
      <c r="J98" s="45" t="s">
        <v>153</v>
      </c>
      <c r="K98" s="47" t="s">
        <v>154</v>
      </c>
      <c r="L98" s="47" t="s">
        <v>191</v>
      </c>
      <c r="M98" s="47" t="s">
        <v>159</v>
      </c>
      <c r="N98" s="48">
        <v>0</v>
      </c>
      <c r="O98" s="49">
        <v>693288</v>
      </c>
      <c r="P98" s="50">
        <v>0</v>
      </c>
      <c r="Q98" s="48">
        <v>693288</v>
      </c>
    </row>
    <row r="99" spans="5:17" ht="20" customHeight="1" x14ac:dyDescent="0.2">
      <c r="E99" s="45">
        <v>2022</v>
      </c>
      <c r="F99" s="46">
        <v>63724</v>
      </c>
      <c r="G99" s="47" t="s">
        <v>263</v>
      </c>
      <c r="H99" s="45" t="s">
        <v>166</v>
      </c>
      <c r="I99" s="47" t="s">
        <v>167</v>
      </c>
      <c r="J99" s="45" t="s">
        <v>153</v>
      </c>
      <c r="K99" s="47" t="s">
        <v>154</v>
      </c>
      <c r="L99" s="47" t="s">
        <v>168</v>
      </c>
      <c r="M99" s="47" t="s">
        <v>159</v>
      </c>
      <c r="N99" s="48">
        <v>15534</v>
      </c>
      <c r="O99" s="49">
        <v>9822</v>
      </c>
      <c r="P99" s="50">
        <v>0</v>
      </c>
      <c r="Q99" s="48">
        <v>25356</v>
      </c>
    </row>
    <row r="100" spans="5:17" ht="20" customHeight="1" x14ac:dyDescent="0.2">
      <c r="E100" s="45">
        <v>2022</v>
      </c>
      <c r="F100" s="46">
        <v>63725</v>
      </c>
      <c r="G100" s="47" t="s">
        <v>264</v>
      </c>
      <c r="H100" s="45" t="s">
        <v>166</v>
      </c>
      <c r="I100" s="47" t="s">
        <v>167</v>
      </c>
      <c r="J100" s="45" t="s">
        <v>153</v>
      </c>
      <c r="K100" s="47" t="s">
        <v>154</v>
      </c>
      <c r="L100" s="47" t="s">
        <v>168</v>
      </c>
      <c r="M100" s="47" t="s">
        <v>159</v>
      </c>
      <c r="N100" s="48">
        <v>231169</v>
      </c>
      <c r="O100" s="49">
        <v>180762</v>
      </c>
      <c r="P100" s="50">
        <v>12490</v>
      </c>
      <c r="Q100" s="48">
        <v>424421</v>
      </c>
    </row>
    <row r="101" spans="5:17" ht="20" customHeight="1" x14ac:dyDescent="0.2">
      <c r="E101" s="45">
        <v>2022</v>
      </c>
      <c r="F101" s="46">
        <v>64195</v>
      </c>
      <c r="G101" s="47" t="s">
        <v>265</v>
      </c>
      <c r="H101" s="45" t="s">
        <v>166</v>
      </c>
      <c r="I101" s="47" t="s">
        <v>167</v>
      </c>
      <c r="J101" s="45" t="s">
        <v>153</v>
      </c>
      <c r="K101" s="47" t="s">
        <v>154</v>
      </c>
      <c r="L101" s="47" t="s">
        <v>168</v>
      </c>
      <c r="M101" s="47" t="s">
        <v>159</v>
      </c>
      <c r="N101" s="48">
        <v>229831</v>
      </c>
      <c r="O101" s="49">
        <v>146382</v>
      </c>
      <c r="P101" s="50">
        <v>22010</v>
      </c>
      <c r="Q101" s="48">
        <v>398223</v>
      </c>
    </row>
    <row r="102" spans="5:17" ht="20" customHeight="1" x14ac:dyDescent="0.2">
      <c r="E102" s="45">
        <v>2022</v>
      </c>
      <c r="F102" s="46">
        <v>64289</v>
      </c>
      <c r="G102" s="47" t="s">
        <v>266</v>
      </c>
      <c r="H102" s="45" t="s">
        <v>166</v>
      </c>
      <c r="I102" s="47" t="s">
        <v>167</v>
      </c>
      <c r="J102" s="45" t="s">
        <v>153</v>
      </c>
      <c r="K102" s="47" t="s">
        <v>154</v>
      </c>
      <c r="L102" s="47" t="s">
        <v>168</v>
      </c>
      <c r="M102" s="47" t="s">
        <v>159</v>
      </c>
      <c r="N102" s="48">
        <v>1612544</v>
      </c>
      <c r="O102" s="49">
        <v>3803896</v>
      </c>
      <c r="P102" s="50">
        <v>106958</v>
      </c>
      <c r="Q102" s="48">
        <v>5523398</v>
      </c>
    </row>
    <row r="103" spans="5:17" ht="20" customHeight="1" x14ac:dyDescent="0.2">
      <c r="E103" s="45">
        <v>2022</v>
      </c>
      <c r="F103" s="46">
        <v>64425</v>
      </c>
      <c r="G103" s="47" t="s">
        <v>267</v>
      </c>
      <c r="H103" s="45" t="s">
        <v>166</v>
      </c>
      <c r="I103" s="47" t="s">
        <v>167</v>
      </c>
      <c r="J103" s="45" t="s">
        <v>153</v>
      </c>
      <c r="K103" s="47" t="s">
        <v>154</v>
      </c>
      <c r="L103" s="47" t="s">
        <v>168</v>
      </c>
      <c r="M103" s="47" t="s">
        <v>159</v>
      </c>
      <c r="N103" s="48">
        <v>231058</v>
      </c>
      <c r="O103" s="49">
        <v>421921</v>
      </c>
      <c r="P103" s="50">
        <v>7028</v>
      </c>
      <c r="Q103" s="48">
        <v>660007</v>
      </c>
    </row>
    <row r="104" spans="5:17" ht="20" customHeight="1" x14ac:dyDescent="0.2">
      <c r="E104" s="45">
        <v>2022</v>
      </c>
      <c r="F104" s="46">
        <v>64555</v>
      </c>
      <c r="G104" s="47" t="s">
        <v>268</v>
      </c>
      <c r="H104" s="45" t="s">
        <v>166</v>
      </c>
      <c r="I104" s="47" t="s">
        <v>167</v>
      </c>
      <c r="J104" s="45" t="s">
        <v>153</v>
      </c>
      <c r="K104" s="47" t="s">
        <v>154</v>
      </c>
      <c r="L104" s="47" t="s">
        <v>168</v>
      </c>
      <c r="M104" s="47" t="s">
        <v>159</v>
      </c>
      <c r="N104" s="48">
        <v>141977</v>
      </c>
      <c r="O104" s="49">
        <v>137173</v>
      </c>
      <c r="P104" s="50">
        <v>25418</v>
      </c>
      <c r="Q104" s="48">
        <v>304568</v>
      </c>
    </row>
    <row r="105" spans="5:17" ht="20" customHeight="1" x14ac:dyDescent="0.2">
      <c r="E105" s="45">
        <v>2022</v>
      </c>
      <c r="F105" s="46">
        <v>64928</v>
      </c>
      <c r="G105" s="47" t="s">
        <v>269</v>
      </c>
      <c r="H105" s="45" t="s">
        <v>166</v>
      </c>
      <c r="I105" s="47" t="s">
        <v>167</v>
      </c>
      <c r="J105" s="45" t="s">
        <v>153</v>
      </c>
      <c r="K105" s="47" t="s">
        <v>154</v>
      </c>
      <c r="L105" s="47" t="s">
        <v>168</v>
      </c>
      <c r="M105" s="47" t="s">
        <v>159</v>
      </c>
      <c r="N105" s="48">
        <v>145601</v>
      </c>
      <c r="O105" s="49">
        <v>933476</v>
      </c>
      <c r="P105" s="50">
        <v>333760</v>
      </c>
      <c r="Q105" s="48">
        <v>1412837</v>
      </c>
    </row>
    <row r="106" spans="5:17" ht="20" customHeight="1" x14ac:dyDescent="0.2">
      <c r="E106" s="45">
        <v>2022</v>
      </c>
      <c r="F106" s="46">
        <v>65242</v>
      </c>
      <c r="G106" s="47" t="s">
        <v>270</v>
      </c>
      <c r="H106" s="45" t="s">
        <v>151</v>
      </c>
      <c r="I106" s="47" t="s">
        <v>152</v>
      </c>
      <c r="J106" s="45" t="s">
        <v>153</v>
      </c>
      <c r="K106" s="47" t="s">
        <v>154</v>
      </c>
      <c r="L106" s="47" t="s">
        <v>230</v>
      </c>
      <c r="M106" s="47" t="s">
        <v>159</v>
      </c>
      <c r="N106" s="48">
        <v>0</v>
      </c>
      <c r="O106" s="49">
        <v>341</v>
      </c>
      <c r="P106" s="50">
        <v>0</v>
      </c>
      <c r="Q106" s="48">
        <v>341</v>
      </c>
    </row>
    <row r="107" spans="5:17" ht="20" customHeight="1" x14ac:dyDescent="0.2">
      <c r="E107" s="45">
        <v>2022</v>
      </c>
      <c r="F107" s="46">
        <v>65259</v>
      </c>
      <c r="G107" s="47" t="s">
        <v>271</v>
      </c>
      <c r="H107" s="45" t="s">
        <v>166</v>
      </c>
      <c r="I107" s="47" t="s">
        <v>167</v>
      </c>
      <c r="J107" s="45" t="s">
        <v>153</v>
      </c>
      <c r="K107" s="47" t="s">
        <v>154</v>
      </c>
      <c r="L107" s="47" t="s">
        <v>168</v>
      </c>
      <c r="M107" s="47" t="s">
        <v>159</v>
      </c>
      <c r="N107" s="48">
        <v>36798</v>
      </c>
      <c r="O107" s="49">
        <v>515</v>
      </c>
      <c r="P107" s="50">
        <v>29</v>
      </c>
      <c r="Q107" s="48">
        <v>37342</v>
      </c>
    </row>
    <row r="108" spans="5:17" ht="20" customHeight="1" x14ac:dyDescent="0.2">
      <c r="E108" s="45">
        <v>2022</v>
      </c>
      <c r="F108" s="46">
        <v>99999</v>
      </c>
      <c r="G108" s="47" t="s">
        <v>272</v>
      </c>
      <c r="H108" s="45" t="s">
        <v>151</v>
      </c>
      <c r="I108" s="47" t="s">
        <v>152</v>
      </c>
      <c r="J108" s="45" t="s">
        <v>273</v>
      </c>
      <c r="K108" s="47" t="s">
        <v>154</v>
      </c>
      <c r="L108" s="47" t="s">
        <v>274</v>
      </c>
      <c r="M108" s="47" t="s">
        <v>159</v>
      </c>
      <c r="N108" s="48">
        <v>411575</v>
      </c>
      <c r="O108" s="49">
        <v>1236655</v>
      </c>
      <c r="P108" s="50">
        <v>1731861</v>
      </c>
      <c r="Q108" s="48">
        <v>3380091</v>
      </c>
    </row>
    <row r="109" spans="5:17" ht="20" customHeight="1" x14ac:dyDescent="0.2">
      <c r="E109" s="45">
        <v>2022</v>
      </c>
      <c r="F109" s="46">
        <v>99999</v>
      </c>
      <c r="G109" s="47" t="s">
        <v>272</v>
      </c>
      <c r="H109" s="45" t="s">
        <v>151</v>
      </c>
      <c r="I109" s="47" t="s">
        <v>152</v>
      </c>
      <c r="J109" s="45" t="s">
        <v>273</v>
      </c>
      <c r="K109" s="47" t="s">
        <v>154</v>
      </c>
      <c r="L109" s="47" t="s">
        <v>274</v>
      </c>
      <c r="M109" s="47" t="s">
        <v>197</v>
      </c>
      <c r="N109" s="48">
        <v>0</v>
      </c>
      <c r="O109" s="49">
        <v>0</v>
      </c>
      <c r="P109" s="50">
        <v>9641</v>
      </c>
      <c r="Q109" s="48">
        <v>9641</v>
      </c>
    </row>
    <row r="110" spans="5:17" ht="20" customHeight="1" x14ac:dyDescent="0.2">
      <c r="E110" s="45">
        <v>2022</v>
      </c>
      <c r="F110" s="46">
        <v>99999</v>
      </c>
      <c r="G110" s="47" t="s">
        <v>272</v>
      </c>
      <c r="H110" s="45" t="s">
        <v>151</v>
      </c>
      <c r="I110" s="47" t="s">
        <v>152</v>
      </c>
      <c r="J110" s="45" t="s">
        <v>273</v>
      </c>
      <c r="K110" s="47" t="s">
        <v>154</v>
      </c>
      <c r="L110" s="47" t="s">
        <v>274</v>
      </c>
      <c r="M110" s="47" t="s">
        <v>156</v>
      </c>
      <c r="N110" s="48">
        <v>0</v>
      </c>
      <c r="O110" s="49">
        <v>7573</v>
      </c>
      <c r="P110" s="50">
        <v>0</v>
      </c>
      <c r="Q110" s="48">
        <v>7573</v>
      </c>
    </row>
    <row r="111" spans="5:17" ht="20" customHeight="1" x14ac:dyDescent="0.2">
      <c r="E111" s="45">
        <v>2022</v>
      </c>
      <c r="F111" s="46">
        <v>99999</v>
      </c>
      <c r="G111" s="47" t="s">
        <v>272</v>
      </c>
      <c r="H111" s="45" t="s">
        <v>151</v>
      </c>
      <c r="I111" s="47" t="s">
        <v>152</v>
      </c>
      <c r="J111" s="45" t="s">
        <v>273</v>
      </c>
      <c r="K111" s="47" t="s">
        <v>154</v>
      </c>
      <c r="L111" s="47" t="s">
        <v>274</v>
      </c>
      <c r="M111" s="47" t="s">
        <v>222</v>
      </c>
      <c r="N111" s="48">
        <v>95471</v>
      </c>
      <c r="O111" s="49">
        <v>71684</v>
      </c>
      <c r="P111" s="50">
        <v>0</v>
      </c>
      <c r="Q111" s="48">
        <v>167155</v>
      </c>
    </row>
    <row r="112" spans="5:17" ht="20" customHeight="1" x14ac:dyDescent="0.2">
      <c r="E112" s="45">
        <v>2022</v>
      </c>
      <c r="F112" s="46">
        <v>99999</v>
      </c>
      <c r="G112" s="47" t="s">
        <v>272</v>
      </c>
      <c r="H112" s="45" t="s">
        <v>151</v>
      </c>
      <c r="I112" s="47" t="s">
        <v>152</v>
      </c>
      <c r="J112" s="45" t="s">
        <v>273</v>
      </c>
      <c r="K112" s="47" t="s">
        <v>154</v>
      </c>
      <c r="L112" s="47" t="s">
        <v>274</v>
      </c>
      <c r="M112" s="47" t="s">
        <v>274</v>
      </c>
      <c r="N112" s="48">
        <v>0</v>
      </c>
      <c r="O112" s="49">
        <v>38812</v>
      </c>
      <c r="P112" s="50">
        <v>0</v>
      </c>
      <c r="Q112" s="48">
        <v>38812</v>
      </c>
    </row>
    <row r="113" spans="5:17" ht="20" customHeight="1" x14ac:dyDescent="0.2">
      <c r="E113" s="45">
        <v>2022</v>
      </c>
      <c r="F113" s="46">
        <v>99999</v>
      </c>
      <c r="G113" s="47" t="s">
        <v>272</v>
      </c>
      <c r="H113" s="45" t="s">
        <v>151</v>
      </c>
      <c r="I113" s="47" t="s">
        <v>152</v>
      </c>
      <c r="J113" s="45" t="s">
        <v>273</v>
      </c>
      <c r="K113" s="47" t="s">
        <v>154</v>
      </c>
      <c r="L113" s="47" t="s">
        <v>274</v>
      </c>
      <c r="M113" s="47" t="s">
        <v>204</v>
      </c>
      <c r="N113" s="48">
        <v>0</v>
      </c>
      <c r="O113" s="49">
        <v>0</v>
      </c>
      <c r="P113" s="50">
        <v>0</v>
      </c>
      <c r="Q113" s="48">
        <v>0</v>
      </c>
    </row>
    <row r="114" spans="5:17" ht="20" customHeight="1" x14ac:dyDescent="0.2">
      <c r="E114" s="45">
        <v>2022</v>
      </c>
      <c r="F114" s="46">
        <v>99999</v>
      </c>
      <c r="G114" s="47" t="s">
        <v>272</v>
      </c>
      <c r="H114" s="45" t="s">
        <v>151</v>
      </c>
      <c r="I114" s="47" t="s">
        <v>152</v>
      </c>
      <c r="J114" s="45" t="s">
        <v>273</v>
      </c>
      <c r="K114" s="47" t="s">
        <v>154</v>
      </c>
      <c r="L114" s="47" t="s">
        <v>274</v>
      </c>
      <c r="M114" s="47" t="s">
        <v>274</v>
      </c>
      <c r="N114" s="48">
        <v>0</v>
      </c>
      <c r="O114" s="49">
        <v>1514</v>
      </c>
      <c r="P114" s="50">
        <v>0</v>
      </c>
      <c r="Q114" s="48">
        <v>1514</v>
      </c>
    </row>
    <row r="115" spans="5:17" ht="20" customHeight="1" x14ac:dyDescent="0.2">
      <c r="E115" s="45">
        <v>2022</v>
      </c>
      <c r="F115" s="46">
        <v>99999</v>
      </c>
      <c r="G115" s="47" t="s">
        <v>272</v>
      </c>
      <c r="H115" s="45" t="s">
        <v>151</v>
      </c>
      <c r="I115" s="47" t="s">
        <v>152</v>
      </c>
      <c r="J115" s="45" t="s">
        <v>273</v>
      </c>
      <c r="K115" s="47" t="s">
        <v>154</v>
      </c>
      <c r="L115" s="47" t="s">
        <v>274</v>
      </c>
      <c r="M115" s="47" t="s">
        <v>274</v>
      </c>
      <c r="N115" s="48">
        <v>0</v>
      </c>
      <c r="O115" s="49">
        <v>34350</v>
      </c>
      <c r="P115" s="50">
        <v>0</v>
      </c>
      <c r="Q115" s="48">
        <v>34350</v>
      </c>
    </row>
    <row r="116" spans="5:17" ht="20" customHeight="1" x14ac:dyDescent="0.2">
      <c r="E116" s="45">
        <v>2022</v>
      </c>
      <c r="F116" s="46">
        <v>99999</v>
      </c>
      <c r="G116" s="47" t="s">
        <v>272</v>
      </c>
      <c r="H116" s="45" t="s">
        <v>151</v>
      </c>
      <c r="I116" s="47" t="s">
        <v>152</v>
      </c>
      <c r="J116" s="45" t="s">
        <v>273</v>
      </c>
      <c r="K116" s="47" t="s">
        <v>154</v>
      </c>
      <c r="L116" s="47" t="s">
        <v>274</v>
      </c>
      <c r="M116" s="47" t="s">
        <v>219</v>
      </c>
      <c r="N116" s="48">
        <v>0</v>
      </c>
      <c r="O116" s="49">
        <v>0</v>
      </c>
      <c r="P116" s="50">
        <v>0</v>
      </c>
      <c r="Q116" s="48">
        <v>0</v>
      </c>
    </row>
    <row r="117" spans="5:17" ht="20" customHeight="1" x14ac:dyDescent="0.2">
      <c r="E117" s="45">
        <v>2022</v>
      </c>
      <c r="F117" s="46">
        <v>99999</v>
      </c>
      <c r="G117" s="47" t="s">
        <v>272</v>
      </c>
      <c r="H117" s="45" t="s">
        <v>151</v>
      </c>
      <c r="I117" s="47" t="s">
        <v>152</v>
      </c>
      <c r="J117" s="45" t="s">
        <v>273</v>
      </c>
      <c r="K117" s="47" t="s">
        <v>154</v>
      </c>
      <c r="L117" s="47" t="s">
        <v>274</v>
      </c>
      <c r="M117" s="47" t="s">
        <v>274</v>
      </c>
      <c r="N117" s="48">
        <v>0</v>
      </c>
      <c r="O117" s="49">
        <v>3883</v>
      </c>
      <c r="P117" s="50">
        <v>0</v>
      </c>
      <c r="Q117" s="48">
        <v>3883</v>
      </c>
    </row>
    <row r="118" spans="5:17" ht="20" customHeight="1" x14ac:dyDescent="0.2">
      <c r="E118" s="45">
        <v>2022</v>
      </c>
      <c r="F118" s="46">
        <v>99999</v>
      </c>
      <c r="G118" s="47" t="s">
        <v>272</v>
      </c>
      <c r="H118" s="45" t="s">
        <v>151</v>
      </c>
      <c r="I118" s="47" t="s">
        <v>152</v>
      </c>
      <c r="J118" s="45" t="s">
        <v>273</v>
      </c>
      <c r="K118" s="47" t="s">
        <v>154</v>
      </c>
      <c r="L118" s="47" t="s">
        <v>274</v>
      </c>
      <c r="M118" s="47" t="s">
        <v>226</v>
      </c>
      <c r="N118" s="48">
        <v>148921</v>
      </c>
      <c r="O118" s="49">
        <v>31476</v>
      </c>
      <c r="P118" s="50">
        <v>2212</v>
      </c>
      <c r="Q118" s="48">
        <v>182609</v>
      </c>
    </row>
    <row r="119" spans="5:17" ht="20" customHeight="1" x14ac:dyDescent="0.2">
      <c r="E119" s="45">
        <v>2022</v>
      </c>
      <c r="F119" s="46">
        <v>99999</v>
      </c>
      <c r="G119" s="47" t="s">
        <v>272</v>
      </c>
      <c r="H119" s="45" t="s">
        <v>151</v>
      </c>
      <c r="I119" s="47" t="s">
        <v>152</v>
      </c>
      <c r="J119" s="45" t="s">
        <v>273</v>
      </c>
      <c r="K119" s="47" t="s">
        <v>154</v>
      </c>
      <c r="L119" s="47" t="s">
        <v>274</v>
      </c>
      <c r="M119" s="47" t="s">
        <v>162</v>
      </c>
      <c r="N119" s="48">
        <v>122224</v>
      </c>
      <c r="O119" s="49">
        <v>46439</v>
      </c>
      <c r="P119" s="50">
        <v>171106</v>
      </c>
      <c r="Q119" s="48">
        <v>339769</v>
      </c>
    </row>
    <row r="120" spans="5:17" ht="20" customHeight="1" x14ac:dyDescent="0.2">
      <c r="E120" s="45">
        <v>2022</v>
      </c>
      <c r="F120" s="46">
        <v>99999</v>
      </c>
      <c r="G120" s="47" t="s">
        <v>272</v>
      </c>
      <c r="H120" s="45" t="s">
        <v>166</v>
      </c>
      <c r="I120" s="47" t="s">
        <v>167</v>
      </c>
      <c r="J120" s="45" t="s">
        <v>273</v>
      </c>
      <c r="K120" s="47" t="s">
        <v>154</v>
      </c>
      <c r="L120" s="47" t="s">
        <v>274</v>
      </c>
      <c r="M120" s="47" t="s">
        <v>159</v>
      </c>
      <c r="N120" s="48">
        <v>-447773</v>
      </c>
      <c r="O120" s="49">
        <v>-1647700</v>
      </c>
      <c r="P120" s="50">
        <v>1676592</v>
      </c>
      <c r="Q120" s="48">
        <v>-101281</v>
      </c>
    </row>
  </sheetData>
  <autoFilter ref="A1:C10" xr:uid="{F654C45F-E9B5-6349-9039-D2D74EFD1CE5}">
    <sortState xmlns:xlrd2="http://schemas.microsoft.com/office/spreadsheetml/2017/richdata2" ref="A2:C10">
      <sortCondition descending="1" ref="C1:C10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ECD2-5244-D545-BDFB-39894E86C8EC}">
  <dimension ref="A1:N14"/>
  <sheetViews>
    <sheetView workbookViewId="0">
      <selection activeCell="I4" sqref="I4"/>
    </sheetView>
  </sheetViews>
  <sheetFormatPr baseColWidth="10" defaultRowHeight="16" x14ac:dyDescent="0.2"/>
  <cols>
    <col min="10" max="12" width="12.6640625" bestFit="1" customWidth="1"/>
    <col min="13" max="13" width="17.5" customWidth="1"/>
  </cols>
  <sheetData>
    <row r="1" spans="1:14" ht="56" x14ac:dyDescent="0.2">
      <c r="A1" s="66" t="s">
        <v>137</v>
      </c>
      <c r="B1" s="66" t="s">
        <v>138</v>
      </c>
      <c r="C1" s="66" t="s">
        <v>139</v>
      </c>
      <c r="D1" s="66" t="s">
        <v>140</v>
      </c>
      <c r="E1" s="66" t="s">
        <v>141</v>
      </c>
      <c r="F1" s="66" t="s">
        <v>142</v>
      </c>
      <c r="G1" s="66" t="s">
        <v>143</v>
      </c>
      <c r="H1" s="66" t="s">
        <v>144</v>
      </c>
      <c r="I1" s="66" t="s">
        <v>145</v>
      </c>
      <c r="J1" s="67" t="s">
        <v>146</v>
      </c>
      <c r="K1" s="67" t="s">
        <v>147</v>
      </c>
      <c r="L1" s="67" t="s">
        <v>148</v>
      </c>
      <c r="M1" s="67" t="s">
        <v>149</v>
      </c>
      <c r="N1" s="72" t="s">
        <v>283</v>
      </c>
    </row>
    <row r="2" spans="1:14" ht="71" x14ac:dyDescent="0.2">
      <c r="A2" s="45">
        <v>2022</v>
      </c>
      <c r="B2" s="46">
        <v>61526</v>
      </c>
      <c r="C2" s="47" t="s">
        <v>258</v>
      </c>
      <c r="D2" s="45" t="s">
        <v>166</v>
      </c>
      <c r="E2" s="47" t="s">
        <v>167</v>
      </c>
      <c r="F2" s="45" t="s">
        <v>153</v>
      </c>
      <c r="G2" s="47" t="s">
        <v>154</v>
      </c>
      <c r="H2" s="47" t="s">
        <v>168</v>
      </c>
      <c r="I2" s="47" t="s">
        <v>159</v>
      </c>
      <c r="J2" s="71">
        <v>5336999</v>
      </c>
      <c r="K2" s="71">
        <v>4052900</v>
      </c>
      <c r="L2" s="71">
        <v>1480592</v>
      </c>
      <c r="M2" s="71">
        <v>10870491</v>
      </c>
      <c r="N2" s="73">
        <f>M2/M$10</f>
        <v>4.3159281731128818E-2</v>
      </c>
    </row>
    <row r="3" spans="1:14" ht="57" x14ac:dyDescent="0.2">
      <c r="A3" s="45">
        <v>2022</v>
      </c>
      <c r="B3" s="46">
        <v>11208</v>
      </c>
      <c r="C3" s="47" t="s">
        <v>150</v>
      </c>
      <c r="D3" s="45" t="s">
        <v>151</v>
      </c>
      <c r="E3" s="47" t="s">
        <v>152</v>
      </c>
      <c r="F3" s="45" t="s">
        <v>153</v>
      </c>
      <c r="G3" s="47" t="s">
        <v>154</v>
      </c>
      <c r="H3" s="47" t="s">
        <v>155</v>
      </c>
      <c r="I3" s="47" t="s">
        <v>156</v>
      </c>
      <c r="J3" s="70">
        <v>8508902</v>
      </c>
      <c r="K3" s="70">
        <v>12054043</v>
      </c>
      <c r="L3" s="70">
        <v>1186395</v>
      </c>
      <c r="M3" s="70">
        <v>21855334</v>
      </c>
      <c r="N3" s="73">
        <f t="shared" ref="N3:N8" si="0">M3/M$10</f>
        <v>8.6772577009991414E-2</v>
      </c>
    </row>
    <row r="4" spans="1:14" ht="43" x14ac:dyDescent="0.2">
      <c r="A4" s="45">
        <v>2022</v>
      </c>
      <c r="B4" s="46">
        <v>14328</v>
      </c>
      <c r="C4" s="47" t="s">
        <v>157</v>
      </c>
      <c r="D4" s="45" t="s">
        <v>151</v>
      </c>
      <c r="E4" s="47" t="s">
        <v>152</v>
      </c>
      <c r="F4" s="45" t="s">
        <v>153</v>
      </c>
      <c r="G4" s="47" t="s">
        <v>154</v>
      </c>
      <c r="H4" s="47" t="s">
        <v>158</v>
      </c>
      <c r="I4" s="47" t="s">
        <v>159</v>
      </c>
      <c r="J4" s="70">
        <v>11983409</v>
      </c>
      <c r="K4" s="70">
        <v>7380298</v>
      </c>
      <c r="L4" s="70">
        <v>11783241</v>
      </c>
      <c r="M4" s="70">
        <v>31146948</v>
      </c>
      <c r="N4" s="73">
        <f t="shared" si="0"/>
        <v>0.12366321850566081</v>
      </c>
    </row>
    <row r="5" spans="1:14" ht="43" x14ac:dyDescent="0.2">
      <c r="A5" s="45">
        <v>2022</v>
      </c>
      <c r="B5" s="46">
        <v>16534</v>
      </c>
      <c r="C5" s="47" t="s">
        <v>160</v>
      </c>
      <c r="D5" s="45" t="s">
        <v>151</v>
      </c>
      <c r="E5" s="47" t="s">
        <v>152</v>
      </c>
      <c r="F5" s="45" t="s">
        <v>153</v>
      </c>
      <c r="G5" s="47" t="s">
        <v>154</v>
      </c>
      <c r="H5" s="47" t="s">
        <v>161</v>
      </c>
      <c r="I5" s="47" t="s">
        <v>162</v>
      </c>
      <c r="J5" s="70">
        <v>4766334</v>
      </c>
      <c r="K5" s="70">
        <v>3686711</v>
      </c>
      <c r="L5" s="70">
        <v>2142891</v>
      </c>
      <c r="M5" s="70">
        <v>10622383</v>
      </c>
      <c r="N5" s="73">
        <f t="shared" si="0"/>
        <v>4.2174214628663352E-2</v>
      </c>
    </row>
    <row r="6" spans="1:14" ht="43" x14ac:dyDescent="0.2">
      <c r="A6" s="45">
        <v>2022</v>
      </c>
      <c r="B6" s="46">
        <v>16609</v>
      </c>
      <c r="C6" s="47" t="s">
        <v>163</v>
      </c>
      <c r="D6" s="45" t="s">
        <v>151</v>
      </c>
      <c r="E6" s="47" t="s">
        <v>152</v>
      </c>
      <c r="F6" s="45" t="s">
        <v>153</v>
      </c>
      <c r="G6" s="47" t="s">
        <v>154</v>
      </c>
      <c r="H6" s="47" t="s">
        <v>158</v>
      </c>
      <c r="I6" s="47" t="s">
        <v>159</v>
      </c>
      <c r="J6" s="70">
        <v>3939825</v>
      </c>
      <c r="K6" s="70">
        <v>2605726</v>
      </c>
      <c r="L6" s="70">
        <v>1175333</v>
      </c>
      <c r="M6" s="70">
        <v>7800012</v>
      </c>
      <c r="N6" s="73">
        <f t="shared" si="0"/>
        <v>3.0968510568122963E-2</v>
      </c>
    </row>
    <row r="7" spans="1:14" ht="43" x14ac:dyDescent="0.2">
      <c r="A7" s="45">
        <v>2022</v>
      </c>
      <c r="B7" s="46">
        <v>17609</v>
      </c>
      <c r="C7" s="47" t="s">
        <v>164</v>
      </c>
      <c r="D7" s="45" t="s">
        <v>151</v>
      </c>
      <c r="E7" s="47" t="s">
        <v>152</v>
      </c>
      <c r="F7" s="45" t="s">
        <v>153</v>
      </c>
      <c r="G7" s="47" t="s">
        <v>154</v>
      </c>
      <c r="H7" s="47" t="s">
        <v>158</v>
      </c>
      <c r="I7" s="47" t="s">
        <v>159</v>
      </c>
      <c r="J7" s="70">
        <v>22517867</v>
      </c>
      <c r="K7" s="70">
        <v>28360357</v>
      </c>
      <c r="L7" s="70">
        <v>3952239</v>
      </c>
      <c r="M7" s="70">
        <v>54830463</v>
      </c>
      <c r="N7" s="73">
        <f t="shared" si="0"/>
        <v>0.2176942513512255</v>
      </c>
    </row>
    <row r="8" spans="1:14" ht="43" x14ac:dyDescent="0.2">
      <c r="A8" s="45">
        <v>2022</v>
      </c>
      <c r="B8" s="46">
        <v>56692</v>
      </c>
      <c r="C8" s="47" t="s">
        <v>165</v>
      </c>
      <c r="D8" s="45" t="s">
        <v>166</v>
      </c>
      <c r="E8" s="47" t="s">
        <v>167</v>
      </c>
      <c r="F8" s="45" t="s">
        <v>153</v>
      </c>
      <c r="G8" s="47" t="s">
        <v>154</v>
      </c>
      <c r="H8" s="47" t="s">
        <v>168</v>
      </c>
      <c r="I8" s="47" t="s">
        <v>159</v>
      </c>
      <c r="J8" s="70">
        <v>2797083</v>
      </c>
      <c r="K8" s="70">
        <v>2638343</v>
      </c>
      <c r="L8" s="70">
        <v>0</v>
      </c>
      <c r="M8" s="70">
        <v>5435426</v>
      </c>
      <c r="N8" s="73">
        <f t="shared" si="0"/>
        <v>2.1580357507559003E-2</v>
      </c>
    </row>
    <row r="9" spans="1:14" ht="34" x14ac:dyDescent="0.2">
      <c r="A9" s="38"/>
      <c r="B9" s="38"/>
      <c r="C9" s="74" t="s">
        <v>284</v>
      </c>
      <c r="D9" s="38"/>
      <c r="E9" s="38"/>
      <c r="F9" s="38"/>
      <c r="G9" s="38"/>
      <c r="H9" s="38"/>
      <c r="I9" s="38"/>
      <c r="J9" s="68">
        <f>SUM(J2:J8)</f>
        <v>59850419</v>
      </c>
      <c r="K9" s="68">
        <f t="shared" ref="K9:N9" si="1">SUM(K2:K8)</f>
        <v>60778378</v>
      </c>
      <c r="L9" s="68">
        <f t="shared" si="1"/>
        <v>21720691</v>
      </c>
      <c r="M9" s="68">
        <f t="shared" si="1"/>
        <v>142561057</v>
      </c>
      <c r="N9" s="75">
        <f t="shared" si="1"/>
        <v>0.56601241130235191</v>
      </c>
    </row>
    <row r="10" spans="1:14" ht="29" x14ac:dyDescent="0.2">
      <c r="A10" s="38"/>
      <c r="B10" s="38"/>
      <c r="C10" s="65" t="s">
        <v>282</v>
      </c>
      <c r="D10" s="38"/>
      <c r="E10" s="38"/>
      <c r="F10" s="38"/>
      <c r="G10" s="38"/>
      <c r="H10" s="38"/>
      <c r="I10" s="38"/>
      <c r="J10" s="68"/>
      <c r="K10" s="68"/>
      <c r="L10" s="68"/>
      <c r="M10" s="69">
        <v>251869136</v>
      </c>
      <c r="N10" s="38"/>
    </row>
    <row r="13" spans="1:14" x14ac:dyDescent="0.2">
      <c r="A13" s="51" t="s">
        <v>169</v>
      </c>
      <c r="B13" t="s">
        <v>170</v>
      </c>
    </row>
    <row r="14" spans="1:14" x14ac:dyDescent="0.2">
      <c r="B14" s="52" t="s">
        <v>171</v>
      </c>
    </row>
  </sheetData>
  <hyperlinks>
    <hyperlink ref="B14" r:id="rId1" xr:uid="{67E10EE6-0F23-0C46-9282-0E57D19896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5DBE-B107-4A43-840F-12331C30AD86}">
  <dimension ref="A1:M975"/>
  <sheetViews>
    <sheetView showGridLines="0" workbookViewId="0">
      <pane ySplit="1" topLeftCell="A81" activePane="bottomLeft" state="frozen"/>
      <selection pane="bottomLeft" activeCell="E47" sqref="E47"/>
    </sheetView>
  </sheetViews>
  <sheetFormatPr baseColWidth="10" defaultColWidth="11.1640625" defaultRowHeight="15" customHeight="1" x14ac:dyDescent="0.2"/>
  <cols>
    <col min="1" max="1" width="10.5" style="3" customWidth="1"/>
    <col min="2" max="3" width="12.33203125" style="3" customWidth="1"/>
    <col min="4" max="8" width="15.6640625" style="3" customWidth="1"/>
    <col min="9" max="9" width="17" style="3" customWidth="1"/>
    <col min="10" max="11" width="12" style="3" customWidth="1"/>
    <col min="12" max="12" width="132" style="3" customWidth="1"/>
    <col min="13" max="13" width="16" style="3" customWidth="1"/>
    <col min="14" max="16384" width="11.1640625" style="3"/>
  </cols>
  <sheetData>
    <row r="1" spans="1:13" ht="6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pans="1:13" ht="15.75" customHeight="1" x14ac:dyDescent="0.2">
      <c r="A2" s="4" t="s">
        <v>12</v>
      </c>
      <c r="B2" s="4" t="s">
        <v>13</v>
      </c>
      <c r="C2" s="5" t="s">
        <v>14</v>
      </c>
      <c r="D2" s="4">
        <v>2010</v>
      </c>
      <c r="E2" s="5"/>
      <c r="F2" s="6"/>
      <c r="G2" s="6"/>
      <c r="H2" s="6">
        <v>0</v>
      </c>
      <c r="I2" s="6">
        <v>0.11877</v>
      </c>
      <c r="J2" s="5">
        <v>0</v>
      </c>
      <c r="K2" s="5">
        <f t="shared" ref="K2:K7" si="0">30*0.14784</f>
        <v>4.4352</v>
      </c>
      <c r="L2" s="4" t="s">
        <v>15</v>
      </c>
    </row>
    <row r="3" spans="1:13" ht="15.75" customHeight="1" x14ac:dyDescent="0.2">
      <c r="A3" s="4" t="s">
        <v>12</v>
      </c>
      <c r="B3" s="4" t="s">
        <v>13</v>
      </c>
      <c r="C3" s="5" t="s">
        <v>14</v>
      </c>
      <c r="D3" s="4">
        <v>2011</v>
      </c>
      <c r="E3" s="5"/>
      <c r="F3" s="6"/>
      <c r="G3" s="6"/>
      <c r="H3" s="6">
        <v>0</v>
      </c>
      <c r="I3" s="6">
        <v>0.12232999999999999</v>
      </c>
      <c r="J3" s="5">
        <v>0</v>
      </c>
      <c r="K3" s="5">
        <f t="shared" si="0"/>
        <v>4.4352</v>
      </c>
      <c r="L3" s="4" t="s">
        <v>15</v>
      </c>
    </row>
    <row r="4" spans="1:13" ht="15.75" customHeight="1" x14ac:dyDescent="0.2">
      <c r="A4" s="4" t="s">
        <v>12</v>
      </c>
      <c r="B4" s="4" t="s">
        <v>13</v>
      </c>
      <c r="C4" s="5" t="s">
        <v>14</v>
      </c>
      <c r="D4" s="4">
        <v>2012</v>
      </c>
      <c r="E4" s="5">
        <v>3.9379999999999998E-2</v>
      </c>
      <c r="F4" s="6">
        <f t="shared" ref="F4:F16" si="1">I4-E4-H4</f>
        <v>8.907000000000001E-2</v>
      </c>
      <c r="G4" s="6"/>
      <c r="H4" s="6">
        <v>0</v>
      </c>
      <c r="I4" s="6">
        <v>0.12845000000000001</v>
      </c>
      <c r="J4" s="5">
        <v>0</v>
      </c>
      <c r="K4" s="5">
        <f t="shared" si="0"/>
        <v>4.4352</v>
      </c>
      <c r="L4" s="4" t="s">
        <v>16</v>
      </c>
    </row>
    <row r="5" spans="1:13" ht="15.75" customHeight="1" x14ac:dyDescent="0.2">
      <c r="A5" s="4" t="s">
        <v>12</v>
      </c>
      <c r="B5" s="4" t="s">
        <v>13</v>
      </c>
      <c r="C5" s="5" t="s">
        <v>14</v>
      </c>
      <c r="D5" s="4">
        <v>2013</v>
      </c>
      <c r="E5" s="5">
        <v>7.8839999999999993E-2</v>
      </c>
      <c r="F5" s="6">
        <f t="shared" si="1"/>
        <v>5.3460000000000008E-2</v>
      </c>
      <c r="G5" s="6"/>
      <c r="H5" s="6">
        <v>0</v>
      </c>
      <c r="I5" s="6">
        <v>0.1323</v>
      </c>
      <c r="J5" s="5">
        <v>0</v>
      </c>
      <c r="K5" s="5">
        <f t="shared" si="0"/>
        <v>4.4352</v>
      </c>
      <c r="L5" s="4" t="s">
        <v>17</v>
      </c>
    </row>
    <row r="6" spans="1:13" ht="15.75" customHeight="1" x14ac:dyDescent="0.2">
      <c r="A6" s="4" t="s">
        <v>12</v>
      </c>
      <c r="B6" s="4" t="s">
        <v>13</v>
      </c>
      <c r="C6" s="5" t="s">
        <v>14</v>
      </c>
      <c r="D6" s="4">
        <v>2014</v>
      </c>
      <c r="E6" s="5">
        <v>8.652E-2</v>
      </c>
      <c r="F6" s="6">
        <f t="shared" si="1"/>
        <v>4.5780000000000001E-2</v>
      </c>
      <c r="G6" s="6"/>
      <c r="H6" s="6">
        <v>0</v>
      </c>
      <c r="I6" s="6">
        <v>0.1323</v>
      </c>
      <c r="J6" s="5">
        <v>0</v>
      </c>
      <c r="K6" s="5">
        <f t="shared" si="0"/>
        <v>4.4352</v>
      </c>
      <c r="L6" s="4" t="s">
        <v>18</v>
      </c>
    </row>
    <row r="7" spans="1:13" ht="15.75" customHeight="1" x14ac:dyDescent="0.2">
      <c r="A7" s="4" t="s">
        <v>12</v>
      </c>
      <c r="B7" s="4" t="s">
        <v>13</v>
      </c>
      <c r="C7" s="5" t="s">
        <v>14</v>
      </c>
      <c r="D7" s="4">
        <v>2015</v>
      </c>
      <c r="E7" s="5">
        <v>9.7449999999999995E-2</v>
      </c>
      <c r="F7" s="6">
        <f t="shared" si="1"/>
        <v>6.4250000000000015E-2</v>
      </c>
      <c r="G7" s="6"/>
      <c r="H7" s="6">
        <v>0</v>
      </c>
      <c r="I7" s="6">
        <v>0.16170000000000001</v>
      </c>
      <c r="J7" s="5">
        <v>0</v>
      </c>
      <c r="K7" s="5">
        <f t="shared" si="0"/>
        <v>4.4352</v>
      </c>
      <c r="L7" s="4" t="s">
        <v>19</v>
      </c>
    </row>
    <row r="8" spans="1:13" ht="15.75" customHeight="1" x14ac:dyDescent="0.2">
      <c r="A8" s="4" t="s">
        <v>12</v>
      </c>
      <c r="B8" s="4" t="s">
        <v>13</v>
      </c>
      <c r="C8" s="5" t="s">
        <v>14</v>
      </c>
      <c r="D8" s="4">
        <v>2016</v>
      </c>
      <c r="E8" s="5">
        <v>9.6960000000000005E-2</v>
      </c>
      <c r="F8" s="6">
        <f t="shared" si="1"/>
        <v>8.455E-2</v>
      </c>
      <c r="G8" s="6"/>
      <c r="H8" s="6">
        <v>0</v>
      </c>
      <c r="I8" s="6">
        <v>0.18151</v>
      </c>
      <c r="J8" s="5">
        <v>0</v>
      </c>
      <c r="K8" s="5">
        <f t="shared" ref="K8:K13" si="2">30*0.32854</f>
        <v>9.8561999999999994</v>
      </c>
      <c r="L8" s="4" t="s">
        <v>20</v>
      </c>
    </row>
    <row r="9" spans="1:13" ht="15.75" customHeight="1" x14ac:dyDescent="0.2">
      <c r="A9" s="4" t="s">
        <v>12</v>
      </c>
      <c r="B9" s="4" t="s">
        <v>13</v>
      </c>
      <c r="C9" s="5" t="s">
        <v>14</v>
      </c>
      <c r="D9" s="4">
        <v>2017</v>
      </c>
      <c r="E9" s="5">
        <v>9.8379999999999995E-2</v>
      </c>
      <c r="F9" s="6">
        <f t="shared" si="1"/>
        <v>8.4380000000000011E-2</v>
      </c>
      <c r="G9" s="6"/>
      <c r="H9" s="6">
        <v>0</v>
      </c>
      <c r="I9" s="6">
        <v>0.18276000000000001</v>
      </c>
      <c r="J9" s="5">
        <v>0</v>
      </c>
      <c r="K9" s="5">
        <f t="shared" si="2"/>
        <v>9.8561999999999994</v>
      </c>
      <c r="L9" s="4" t="s">
        <v>21</v>
      </c>
    </row>
    <row r="10" spans="1:13" ht="15.75" customHeight="1" x14ac:dyDescent="0.2">
      <c r="A10" s="4" t="s">
        <v>12</v>
      </c>
      <c r="B10" s="4" t="s">
        <v>13</v>
      </c>
      <c r="C10" s="5" t="s">
        <v>14</v>
      </c>
      <c r="D10" s="4">
        <v>2018</v>
      </c>
      <c r="E10" s="5">
        <v>0.10780000000000001</v>
      </c>
      <c r="F10" s="6">
        <f t="shared" si="1"/>
        <v>0.10388999999999998</v>
      </c>
      <c r="G10" s="6"/>
      <c r="H10" s="6">
        <v>0</v>
      </c>
      <c r="I10" s="6">
        <v>0.21168999999999999</v>
      </c>
      <c r="J10" s="5">
        <v>0</v>
      </c>
      <c r="K10" s="5">
        <f t="shared" si="2"/>
        <v>9.8561999999999994</v>
      </c>
      <c r="L10" s="103" t="s">
        <v>22</v>
      </c>
    </row>
    <row r="11" spans="1:13" ht="15.75" customHeight="1" x14ac:dyDescent="0.2">
      <c r="A11" s="4" t="s">
        <v>12</v>
      </c>
      <c r="B11" s="4" t="s">
        <v>13</v>
      </c>
      <c r="C11" s="5" t="s">
        <v>14</v>
      </c>
      <c r="D11" s="4">
        <v>2019</v>
      </c>
      <c r="E11" s="5">
        <v>0.10780000000000001</v>
      </c>
      <c r="F11" s="6">
        <f t="shared" si="1"/>
        <v>0.10402999999999998</v>
      </c>
      <c r="G11" s="6"/>
      <c r="H11" s="6">
        <v>0</v>
      </c>
      <c r="I11" s="6">
        <v>0.21182999999999999</v>
      </c>
      <c r="J11" s="5">
        <v>0</v>
      </c>
      <c r="K11" s="5">
        <f t="shared" si="2"/>
        <v>9.8561999999999994</v>
      </c>
      <c r="L11" s="4" t="s">
        <v>23</v>
      </c>
    </row>
    <row r="12" spans="1:13" ht="15.75" customHeight="1" x14ac:dyDescent="0.2">
      <c r="A12" s="4" t="s">
        <v>12</v>
      </c>
      <c r="B12" s="4" t="s">
        <v>13</v>
      </c>
      <c r="C12" s="5" t="s">
        <v>14</v>
      </c>
      <c r="D12" s="4">
        <v>2020</v>
      </c>
      <c r="E12" s="5">
        <v>0.11778</v>
      </c>
      <c r="F12" s="6">
        <f t="shared" si="1"/>
        <v>0.11803</v>
      </c>
      <c r="G12" s="6"/>
      <c r="H12" s="6">
        <v>0</v>
      </c>
      <c r="I12" s="6">
        <v>0.23580999999999999</v>
      </c>
      <c r="J12" s="5">
        <v>0</v>
      </c>
      <c r="K12" s="5">
        <f t="shared" si="2"/>
        <v>9.8561999999999994</v>
      </c>
      <c r="L12" s="4" t="s">
        <v>24</v>
      </c>
    </row>
    <row r="13" spans="1:13" ht="15.75" customHeight="1" x14ac:dyDescent="0.2">
      <c r="A13" s="4" t="s">
        <v>12</v>
      </c>
      <c r="B13" s="4" t="s">
        <v>13</v>
      </c>
      <c r="C13" s="5" t="s">
        <v>14</v>
      </c>
      <c r="D13" s="4">
        <v>2021</v>
      </c>
      <c r="E13" s="5">
        <v>0.11209</v>
      </c>
      <c r="F13" s="6">
        <f t="shared" si="1"/>
        <v>0.13777</v>
      </c>
      <c r="G13" s="6"/>
      <c r="H13" s="6">
        <v>0</v>
      </c>
      <c r="I13" s="6">
        <v>0.24986</v>
      </c>
      <c r="J13" s="5">
        <v>0</v>
      </c>
      <c r="K13" s="5">
        <f t="shared" si="2"/>
        <v>9.8561999999999994</v>
      </c>
      <c r="L13" s="4" t="s">
        <v>25</v>
      </c>
    </row>
    <row r="14" spans="1:13" ht="15.75" customHeight="1" x14ac:dyDescent="0.2">
      <c r="A14" s="4" t="s">
        <v>12</v>
      </c>
      <c r="B14" s="4" t="s">
        <v>13</v>
      </c>
      <c r="C14" s="5" t="s">
        <v>14</v>
      </c>
      <c r="D14" s="4">
        <v>2022</v>
      </c>
      <c r="E14" s="5">
        <v>0.11418</v>
      </c>
      <c r="F14" s="6">
        <f t="shared" si="1"/>
        <v>0.16821999999999998</v>
      </c>
      <c r="G14" s="6"/>
      <c r="H14" s="6">
        <v>0</v>
      </c>
      <c r="I14" s="6">
        <v>0.28239999999999998</v>
      </c>
      <c r="J14" s="5">
        <v>0</v>
      </c>
      <c r="K14" s="5">
        <f>0.3326*30</f>
        <v>9.9779999999999998</v>
      </c>
      <c r="L14" s="4" t="s">
        <v>26</v>
      </c>
    </row>
    <row r="15" spans="1:13" ht="15.75" customHeight="1" x14ac:dyDescent="0.2">
      <c r="A15" s="4" t="s">
        <v>12</v>
      </c>
      <c r="B15" s="4" t="s">
        <v>13</v>
      </c>
      <c r="C15" s="5" t="s">
        <v>14</v>
      </c>
      <c r="D15" s="4">
        <v>2023</v>
      </c>
      <c r="E15" s="5">
        <v>0.14305000000000001</v>
      </c>
      <c r="F15" s="6">
        <f t="shared" si="1"/>
        <v>0.16935</v>
      </c>
      <c r="G15" s="6"/>
      <c r="H15" s="5">
        <v>1.3089999999999999E-2</v>
      </c>
      <c r="I15" s="6">
        <v>0.32549</v>
      </c>
      <c r="J15" s="5">
        <v>0</v>
      </c>
      <c r="K15" s="5">
        <f>0.3481*30</f>
        <v>10.443000000000001</v>
      </c>
      <c r="L15" s="4" t="s">
        <v>27</v>
      </c>
    </row>
    <row r="16" spans="1:13" ht="15.75" customHeight="1" x14ac:dyDescent="0.2">
      <c r="A16" s="4" t="s">
        <v>12</v>
      </c>
      <c r="B16" s="4" t="s">
        <v>13</v>
      </c>
      <c r="C16" s="5" t="s">
        <v>14</v>
      </c>
      <c r="D16" s="4">
        <v>2024</v>
      </c>
      <c r="E16" s="5">
        <v>0.16886000000000001</v>
      </c>
      <c r="F16" s="6">
        <f t="shared" si="1"/>
        <v>0.24371000000000001</v>
      </c>
      <c r="G16" s="6"/>
      <c r="H16" s="5">
        <v>7.5199999999999998E-3</v>
      </c>
      <c r="I16" s="6">
        <v>0.42009000000000002</v>
      </c>
      <c r="J16" s="5">
        <v>0</v>
      </c>
      <c r="K16" s="5">
        <f>30*0.37612</f>
        <v>11.2836</v>
      </c>
      <c r="L16" s="4" t="s">
        <v>28</v>
      </c>
    </row>
    <row r="17" spans="1:12" ht="15.75" customHeight="1" x14ac:dyDescent="0.2">
      <c r="A17" s="76" t="s">
        <v>29</v>
      </c>
      <c r="B17" s="76" t="s">
        <v>30</v>
      </c>
      <c r="C17" s="34" t="s">
        <v>14</v>
      </c>
      <c r="D17" s="76">
        <v>2010</v>
      </c>
      <c r="E17" s="34"/>
      <c r="F17" s="79">
        <f t="shared" ref="F17:F31" si="3">F2</f>
        <v>0</v>
      </c>
      <c r="G17" s="79"/>
      <c r="H17" s="34"/>
      <c r="I17" s="34" t="e">
        <v>#N/A</v>
      </c>
      <c r="J17" s="34"/>
      <c r="K17" s="34"/>
      <c r="L17" s="76"/>
    </row>
    <row r="18" spans="1:12" ht="15.75" customHeight="1" x14ac:dyDescent="0.2">
      <c r="A18" s="76" t="s">
        <v>29</v>
      </c>
      <c r="B18" s="76" t="s">
        <v>30</v>
      </c>
      <c r="C18" s="34" t="s">
        <v>14</v>
      </c>
      <c r="D18" s="76">
        <v>2011</v>
      </c>
      <c r="E18" s="34"/>
      <c r="F18" s="79">
        <f t="shared" si="3"/>
        <v>0</v>
      </c>
      <c r="G18" s="79"/>
      <c r="H18" s="34"/>
      <c r="I18" s="34" t="e">
        <v>#N/A</v>
      </c>
      <c r="J18" s="34"/>
      <c r="K18" s="34"/>
      <c r="L18" s="76"/>
    </row>
    <row r="19" spans="1:12" ht="15.75" customHeight="1" x14ac:dyDescent="0.2">
      <c r="A19" s="4" t="s">
        <v>29</v>
      </c>
      <c r="B19" s="4" t="s">
        <v>30</v>
      </c>
      <c r="C19" s="5" t="s">
        <v>14</v>
      </c>
      <c r="D19" s="4">
        <v>2012</v>
      </c>
      <c r="E19" s="5">
        <v>6.9000000000000006E-2</v>
      </c>
      <c r="F19" s="6">
        <f t="shared" si="3"/>
        <v>8.907000000000001E-2</v>
      </c>
      <c r="G19" s="6">
        <v>3.8000000000000002E-4</v>
      </c>
      <c r="H19" s="5">
        <v>1.9199999999999998E-2</v>
      </c>
      <c r="I19" s="5">
        <f>E19+F4+H19+G19</f>
        <v>0.17765</v>
      </c>
      <c r="J19" s="5"/>
      <c r="K19" s="5"/>
      <c r="L19" s="7" t="s">
        <v>31</v>
      </c>
    </row>
    <row r="20" spans="1:12" ht="15.75" customHeight="1" x14ac:dyDescent="0.2">
      <c r="A20" s="4" t="s">
        <v>29</v>
      </c>
      <c r="B20" s="4" t="s">
        <v>30</v>
      </c>
      <c r="C20" s="5" t="s">
        <v>14</v>
      </c>
      <c r="D20" s="4">
        <v>2013</v>
      </c>
      <c r="E20" s="5">
        <v>7.3999999999999996E-2</v>
      </c>
      <c r="F20" s="6">
        <f t="shared" si="3"/>
        <v>5.3460000000000008E-2</v>
      </c>
      <c r="G20" s="6">
        <v>5.5999999999999995E-4</v>
      </c>
      <c r="H20" s="5">
        <v>7.3000000000000001E-3</v>
      </c>
      <c r="I20" s="5">
        <f t="shared" ref="I20:I31" si="4">E20+F5+H20+G20</f>
        <v>0.13532000000000002</v>
      </c>
      <c r="J20" s="5"/>
      <c r="K20" s="5"/>
      <c r="L20" s="7" t="s">
        <v>31</v>
      </c>
    </row>
    <row r="21" spans="1:12" ht="15.75" customHeight="1" x14ac:dyDescent="0.2">
      <c r="A21" s="4" t="s">
        <v>29</v>
      </c>
      <c r="B21" s="4" t="s">
        <v>30</v>
      </c>
      <c r="C21" s="5" t="s">
        <v>14</v>
      </c>
      <c r="D21" s="4">
        <v>2014</v>
      </c>
      <c r="E21" s="5">
        <v>7.9000000000000001E-2</v>
      </c>
      <c r="F21" s="6">
        <f t="shared" si="3"/>
        <v>4.5780000000000001E-2</v>
      </c>
      <c r="G21" s="6">
        <v>5.9000000000000003E-4</v>
      </c>
      <c r="H21" s="5">
        <v>1.1140000000000001E-2</v>
      </c>
      <c r="I21" s="5">
        <f t="shared" si="4"/>
        <v>0.13651000000000002</v>
      </c>
      <c r="J21" s="5"/>
      <c r="K21" s="5"/>
      <c r="L21" s="8" t="s">
        <v>32</v>
      </c>
    </row>
    <row r="22" spans="1:12" ht="15.75" customHeight="1" x14ac:dyDescent="0.2">
      <c r="A22" s="4" t="s">
        <v>29</v>
      </c>
      <c r="B22" s="4" t="s">
        <v>30</v>
      </c>
      <c r="C22" s="5" t="s">
        <v>14</v>
      </c>
      <c r="D22" s="4">
        <v>2015</v>
      </c>
      <c r="E22" s="5">
        <v>8.2000000000000003E-2</v>
      </c>
      <c r="F22" s="6">
        <f t="shared" si="3"/>
        <v>6.4250000000000015E-2</v>
      </c>
      <c r="G22" s="6">
        <v>7.3999999999999999E-4</v>
      </c>
      <c r="H22" s="5">
        <v>1.1939999999999999E-2</v>
      </c>
      <c r="I22" s="5">
        <f t="shared" si="4"/>
        <v>0.15893000000000002</v>
      </c>
      <c r="J22" s="5"/>
      <c r="K22" s="5"/>
      <c r="L22" s="8" t="s">
        <v>33</v>
      </c>
    </row>
    <row r="23" spans="1:12" ht="15.75" customHeight="1" x14ac:dyDescent="0.2">
      <c r="A23" s="4" t="s">
        <v>29</v>
      </c>
      <c r="B23" s="4" t="s">
        <v>30</v>
      </c>
      <c r="C23" s="5" t="s">
        <v>14</v>
      </c>
      <c r="D23" s="4">
        <v>2016</v>
      </c>
      <c r="E23" s="5">
        <v>8.2000000000000003E-2</v>
      </c>
      <c r="F23" s="6">
        <f t="shared" si="3"/>
        <v>8.455E-2</v>
      </c>
      <c r="G23" s="6">
        <v>6.3000000000000003E-4</v>
      </c>
      <c r="H23" s="5">
        <v>2.2679999999999999E-2</v>
      </c>
      <c r="I23" s="5">
        <f t="shared" si="4"/>
        <v>0.18986</v>
      </c>
      <c r="J23" s="5"/>
      <c r="K23" s="5"/>
      <c r="L23" s="8" t="s">
        <v>34</v>
      </c>
    </row>
    <row r="24" spans="1:12" ht="15.75" customHeight="1" x14ac:dyDescent="0.2">
      <c r="A24" s="4" t="s">
        <v>29</v>
      </c>
      <c r="B24" s="4" t="s">
        <v>30</v>
      </c>
      <c r="C24" s="5" t="s">
        <v>14</v>
      </c>
      <c r="D24" s="4">
        <v>2017</v>
      </c>
      <c r="E24" s="5">
        <v>7.1999999999999995E-2</v>
      </c>
      <c r="F24" s="6">
        <f t="shared" si="3"/>
        <v>8.4380000000000011E-2</v>
      </c>
      <c r="G24" s="6">
        <v>5.9000000000000003E-4</v>
      </c>
      <c r="H24" s="5">
        <v>2.8029999999999999E-2</v>
      </c>
      <c r="I24" s="5">
        <f t="shared" si="4"/>
        <v>0.18500000000000003</v>
      </c>
      <c r="J24" s="5"/>
      <c r="K24" s="5"/>
      <c r="L24" s="8" t="s">
        <v>35</v>
      </c>
    </row>
    <row r="25" spans="1:12" ht="15.75" customHeight="1" x14ac:dyDescent="0.2">
      <c r="A25" s="4" t="s">
        <v>29</v>
      </c>
      <c r="B25" s="4" t="s">
        <v>30</v>
      </c>
      <c r="C25" s="5" t="s">
        <v>14</v>
      </c>
      <c r="D25" s="4">
        <v>2018</v>
      </c>
      <c r="E25" s="5">
        <v>6.8000000000000005E-2</v>
      </c>
      <c r="F25" s="6">
        <f t="shared" si="3"/>
        <v>0.10388999999999998</v>
      </c>
      <c r="G25" s="6">
        <v>5.6999999999999998E-4</v>
      </c>
      <c r="H25" s="5">
        <v>3.1669999999999997E-2</v>
      </c>
      <c r="I25" s="5">
        <f t="shared" si="4"/>
        <v>0.20412999999999998</v>
      </c>
      <c r="J25" s="5"/>
      <c r="K25" s="5"/>
      <c r="L25" s="8" t="s">
        <v>36</v>
      </c>
    </row>
    <row r="26" spans="1:12" ht="15.75" customHeight="1" x14ac:dyDescent="0.2">
      <c r="A26" s="4" t="s">
        <v>29</v>
      </c>
      <c r="B26" s="4" t="s">
        <v>30</v>
      </c>
      <c r="C26" s="5" t="s">
        <v>14</v>
      </c>
      <c r="D26" s="4">
        <v>2019</v>
      </c>
      <c r="E26" s="5">
        <v>8.5000000000000006E-2</v>
      </c>
      <c r="F26" s="6">
        <f t="shared" si="3"/>
        <v>0.10402999999999998</v>
      </c>
      <c r="G26" s="6">
        <v>6.0999999999999997E-4</v>
      </c>
      <c r="H26" s="5">
        <v>3.1669999999999997E-2</v>
      </c>
      <c r="I26" s="5">
        <f t="shared" si="4"/>
        <v>0.22130999999999998</v>
      </c>
      <c r="J26" s="5"/>
      <c r="K26" s="5"/>
      <c r="L26" s="83" t="s">
        <v>293</v>
      </c>
    </row>
    <row r="27" spans="1:12" ht="15.75" customHeight="1" x14ac:dyDescent="0.2">
      <c r="A27" s="4" t="s">
        <v>29</v>
      </c>
      <c r="B27" s="4" t="s">
        <v>30</v>
      </c>
      <c r="C27" s="5" t="s">
        <v>14</v>
      </c>
      <c r="D27" s="4">
        <v>2020</v>
      </c>
      <c r="E27" s="5">
        <v>8.6999999999999994E-2</v>
      </c>
      <c r="F27" s="6">
        <f t="shared" si="3"/>
        <v>0.11803</v>
      </c>
      <c r="G27" s="6">
        <v>6.6E-4</v>
      </c>
      <c r="H27" s="5">
        <v>2.4500000000000001E-2</v>
      </c>
      <c r="I27" s="5">
        <f t="shared" si="4"/>
        <v>0.23018999999999998</v>
      </c>
      <c r="J27" s="5"/>
      <c r="K27" s="5"/>
      <c r="L27" s="83" t="s">
        <v>295</v>
      </c>
    </row>
    <row r="28" spans="1:12" ht="15.75" customHeight="1" x14ac:dyDescent="0.2">
      <c r="A28" s="4" t="s">
        <v>29</v>
      </c>
      <c r="B28" s="4" t="s">
        <v>30</v>
      </c>
      <c r="C28" s="5" t="s">
        <v>14</v>
      </c>
      <c r="D28" s="4">
        <v>2021</v>
      </c>
      <c r="E28" s="5">
        <v>8.6999999999999994E-2</v>
      </c>
      <c r="F28" s="6">
        <f t="shared" si="3"/>
        <v>0.13777</v>
      </c>
      <c r="G28" s="6">
        <v>5.5000000000000003E-4</v>
      </c>
      <c r="H28" s="5">
        <v>3.8580000000000003E-2</v>
      </c>
      <c r="I28" s="5">
        <f t="shared" si="4"/>
        <v>0.26389999999999997</v>
      </c>
      <c r="J28" s="5"/>
      <c r="K28" s="5"/>
      <c r="L28" s="4"/>
    </row>
    <row r="29" spans="1:12" ht="15.75" customHeight="1" x14ac:dyDescent="0.2">
      <c r="A29" s="4" t="s">
        <v>29</v>
      </c>
      <c r="B29" s="4" t="s">
        <v>30</v>
      </c>
      <c r="C29" s="5" t="s">
        <v>14</v>
      </c>
      <c r="D29" s="4">
        <v>2022</v>
      </c>
      <c r="E29" s="5">
        <v>0.107</v>
      </c>
      <c r="F29" s="6">
        <f t="shared" si="3"/>
        <v>0.16821999999999998</v>
      </c>
      <c r="G29" s="6">
        <v>9.6000000000000002E-4</v>
      </c>
      <c r="H29" s="5">
        <v>4.2270000000000002E-2</v>
      </c>
      <c r="I29" s="5">
        <f t="shared" si="4"/>
        <v>0.31844999999999996</v>
      </c>
      <c r="J29" s="5"/>
      <c r="K29" s="5"/>
      <c r="L29" s="83" t="s">
        <v>297</v>
      </c>
    </row>
    <row r="30" spans="1:12" ht="15.75" customHeight="1" x14ac:dyDescent="0.2">
      <c r="A30" s="4" t="s">
        <v>29</v>
      </c>
      <c r="B30" s="4" t="s">
        <v>30</v>
      </c>
      <c r="C30" s="5" t="s">
        <v>14</v>
      </c>
      <c r="D30" s="4">
        <v>2023</v>
      </c>
      <c r="E30" s="5">
        <v>0.14899999999999999</v>
      </c>
      <c r="F30" s="6">
        <f t="shared" si="3"/>
        <v>0.16935</v>
      </c>
      <c r="G30" s="6">
        <v>1.1000000000000001E-3</v>
      </c>
      <c r="H30" s="5">
        <v>4.5900000000000003E-3</v>
      </c>
      <c r="I30" s="5">
        <f t="shared" si="4"/>
        <v>0.32403999999999999</v>
      </c>
      <c r="J30" s="5"/>
      <c r="K30" s="5"/>
      <c r="L30" s="8" t="s">
        <v>37</v>
      </c>
    </row>
    <row r="31" spans="1:12" ht="15.75" customHeight="1" x14ac:dyDescent="0.2">
      <c r="A31" s="4" t="s">
        <v>29</v>
      </c>
      <c r="B31" s="4" t="s">
        <v>30</v>
      </c>
      <c r="C31" s="5" t="s">
        <v>14</v>
      </c>
      <c r="D31" s="4">
        <v>2024</v>
      </c>
      <c r="E31" s="5">
        <v>0.14899999999999999</v>
      </c>
      <c r="F31" s="6">
        <f t="shared" si="3"/>
        <v>0.24371000000000001</v>
      </c>
      <c r="G31" s="6">
        <v>1.1999999999999999E-3</v>
      </c>
      <c r="H31" s="5">
        <v>1.085E-2</v>
      </c>
      <c r="I31" s="5">
        <f t="shared" si="4"/>
        <v>0.40476000000000001</v>
      </c>
      <c r="J31" s="5"/>
      <c r="K31" s="5"/>
      <c r="L31" s="8" t="s">
        <v>38</v>
      </c>
    </row>
    <row r="32" spans="1:12" ht="15.75" customHeight="1" x14ac:dyDescent="0.2">
      <c r="A32" s="9" t="s">
        <v>39</v>
      </c>
      <c r="B32" s="9" t="s">
        <v>13</v>
      </c>
      <c r="C32" s="10" t="s">
        <v>40</v>
      </c>
      <c r="D32" s="9">
        <v>2010</v>
      </c>
      <c r="E32" s="10"/>
      <c r="F32" s="10"/>
      <c r="G32" s="10"/>
      <c r="H32" s="10"/>
      <c r="I32" s="10" t="e">
        <v>#N/A</v>
      </c>
      <c r="J32" s="10"/>
      <c r="K32" s="10"/>
      <c r="L32" s="9"/>
    </row>
    <row r="33" spans="1:12" ht="15.75" customHeight="1" x14ac:dyDescent="0.2">
      <c r="A33" s="9" t="s">
        <v>39</v>
      </c>
      <c r="B33" s="9" t="s">
        <v>13</v>
      </c>
      <c r="C33" s="10" t="s">
        <v>40</v>
      </c>
      <c r="D33" s="9">
        <v>2011</v>
      </c>
      <c r="E33" s="10"/>
      <c r="F33" s="10"/>
      <c r="G33" s="10"/>
      <c r="H33" s="10"/>
      <c r="I33" s="10" t="e">
        <v>#N/A</v>
      </c>
      <c r="J33" s="10"/>
      <c r="K33" s="10"/>
      <c r="L33" s="9"/>
    </row>
    <row r="34" spans="1:12" ht="15.75" customHeight="1" x14ac:dyDescent="0.2">
      <c r="A34" s="9" t="s">
        <v>39</v>
      </c>
      <c r="B34" s="9" t="s">
        <v>13</v>
      </c>
      <c r="C34" s="10" t="s">
        <v>40</v>
      </c>
      <c r="D34" s="9">
        <v>2012</v>
      </c>
      <c r="E34" s="10"/>
      <c r="F34" s="10"/>
      <c r="G34" s="10"/>
      <c r="H34" s="10"/>
      <c r="I34" s="10" t="e">
        <v>#N/A</v>
      </c>
      <c r="J34" s="10"/>
      <c r="K34" s="10"/>
      <c r="L34" s="9"/>
    </row>
    <row r="35" spans="1:12" ht="15.75" customHeight="1" x14ac:dyDescent="0.2">
      <c r="A35" s="4" t="s">
        <v>39</v>
      </c>
      <c r="B35" s="4" t="s">
        <v>13</v>
      </c>
      <c r="C35" s="5" t="s">
        <v>40</v>
      </c>
      <c r="D35" s="4">
        <v>2013</v>
      </c>
      <c r="E35" s="5"/>
      <c r="F35" s="5">
        <v>4.2750000000000003E-2</v>
      </c>
      <c r="G35" s="5"/>
      <c r="H35" s="5"/>
      <c r="I35" s="5">
        <f>0.04275+0.08671-0.00097</f>
        <v>0.12848999999999999</v>
      </c>
      <c r="J35" s="5">
        <f>30*0.03</f>
        <v>0.89999999999999991</v>
      </c>
      <c r="K35" s="5">
        <f t="shared" ref="K35:K37" si="5">30*0.059</f>
        <v>1.77</v>
      </c>
      <c r="L35" s="4" t="s">
        <v>298</v>
      </c>
    </row>
    <row r="36" spans="1:12" ht="15.75" customHeight="1" x14ac:dyDescent="0.2">
      <c r="A36" s="4" t="s">
        <v>39</v>
      </c>
      <c r="B36" s="4" t="s">
        <v>13</v>
      </c>
      <c r="C36" s="5" t="s">
        <v>40</v>
      </c>
      <c r="D36" s="4">
        <v>2014</v>
      </c>
      <c r="E36" s="5"/>
      <c r="F36" s="5">
        <v>4.6780000000000002E-2</v>
      </c>
      <c r="G36" s="5"/>
      <c r="H36" s="5"/>
      <c r="I36" s="5">
        <f>0.04678+0.08592-0.00037</f>
        <v>0.13232999999999998</v>
      </c>
      <c r="J36" s="5">
        <f t="shared" ref="J36:J46" si="6">30*0.031</f>
        <v>0.92999999999999994</v>
      </c>
      <c r="K36" s="5">
        <f t="shared" si="5"/>
        <v>1.77</v>
      </c>
      <c r="L36" s="4" t="s">
        <v>298</v>
      </c>
    </row>
    <row r="37" spans="1:12" ht="15.75" customHeight="1" x14ac:dyDescent="0.2">
      <c r="A37" s="4" t="s">
        <v>39</v>
      </c>
      <c r="B37" s="4" t="s">
        <v>13</v>
      </c>
      <c r="C37" s="5" t="s">
        <v>40</v>
      </c>
      <c r="D37" s="4">
        <v>2015</v>
      </c>
      <c r="E37" s="5"/>
      <c r="F37" s="5">
        <v>5.8599999999999999E-2</v>
      </c>
      <c r="G37" s="5"/>
      <c r="H37" s="5"/>
      <c r="I37" s="5">
        <f>0.0586+0.09162-0.00172</f>
        <v>0.14849999999999999</v>
      </c>
      <c r="J37" s="5">
        <f t="shared" si="6"/>
        <v>0.92999999999999994</v>
      </c>
      <c r="K37" s="5">
        <f t="shared" si="5"/>
        <v>1.77</v>
      </c>
      <c r="L37" s="4" t="s">
        <v>298</v>
      </c>
    </row>
    <row r="38" spans="1:12" ht="15.75" customHeight="1" x14ac:dyDescent="0.2">
      <c r="A38" s="4" t="s">
        <v>39</v>
      </c>
      <c r="B38" s="4" t="s">
        <v>13</v>
      </c>
      <c r="C38" s="5" t="s">
        <v>40</v>
      </c>
      <c r="D38" s="4">
        <v>2016</v>
      </c>
      <c r="E38" s="5"/>
      <c r="F38" s="5">
        <v>8.2210000000000005E-2</v>
      </c>
      <c r="G38" s="5"/>
      <c r="H38" s="5"/>
      <c r="I38" s="5">
        <f>0.08221+0.06909-0.00022</f>
        <v>0.15107999999999999</v>
      </c>
      <c r="J38" s="5">
        <f t="shared" si="6"/>
        <v>0.92999999999999994</v>
      </c>
      <c r="K38" s="5">
        <f t="shared" ref="K38:K39" si="7">30*0.329</f>
        <v>9.870000000000001</v>
      </c>
      <c r="L38" s="4" t="s">
        <v>298</v>
      </c>
    </row>
    <row r="39" spans="1:12" ht="15.75" customHeight="1" x14ac:dyDescent="0.2">
      <c r="A39" s="4" t="s">
        <v>39</v>
      </c>
      <c r="B39" s="4" t="s">
        <v>13</v>
      </c>
      <c r="C39" s="5" t="s">
        <v>40</v>
      </c>
      <c r="D39" s="4">
        <v>2017</v>
      </c>
      <c r="E39" s="5"/>
      <c r="F39" s="5">
        <v>8.8400000000000006E-2</v>
      </c>
      <c r="G39" s="5"/>
      <c r="H39" s="5"/>
      <c r="I39" s="5">
        <f>0.0884+0.07477</f>
        <v>0.16317000000000001</v>
      </c>
      <c r="J39" s="5">
        <f t="shared" si="6"/>
        <v>0.92999999999999994</v>
      </c>
      <c r="K39" s="5">
        <f t="shared" si="7"/>
        <v>9.870000000000001</v>
      </c>
      <c r="L39" s="4" t="s">
        <v>298</v>
      </c>
    </row>
    <row r="40" spans="1:12" ht="15.75" customHeight="1" x14ac:dyDescent="0.2">
      <c r="A40" s="4" t="s">
        <v>39</v>
      </c>
      <c r="B40" s="4" t="s">
        <v>13</v>
      </c>
      <c r="C40" s="5" t="s">
        <v>40</v>
      </c>
      <c r="D40" s="4">
        <v>2018</v>
      </c>
      <c r="E40" s="5"/>
      <c r="F40" s="5">
        <v>8.8749999999999996E-2</v>
      </c>
      <c r="G40" s="5"/>
      <c r="H40" s="5"/>
      <c r="I40" s="5">
        <f>0.08875+0.08589</f>
        <v>0.17463999999999999</v>
      </c>
      <c r="J40" s="5">
        <f t="shared" si="6"/>
        <v>0.92999999999999994</v>
      </c>
      <c r="K40" s="5">
        <f>30*0.338</f>
        <v>10.14</v>
      </c>
      <c r="L40" s="4" t="s">
        <v>298</v>
      </c>
    </row>
    <row r="41" spans="1:12" ht="15.75" customHeight="1" x14ac:dyDescent="0.2">
      <c r="A41" s="4" t="s">
        <v>39</v>
      </c>
      <c r="B41" s="4" t="s">
        <v>13</v>
      </c>
      <c r="C41" s="5" t="s">
        <v>40</v>
      </c>
      <c r="D41" s="4">
        <v>2019</v>
      </c>
      <c r="E41" s="5"/>
      <c r="F41" s="5">
        <f>0.09461</f>
        <v>9.461E-2</v>
      </c>
      <c r="G41" s="5"/>
      <c r="H41" s="5"/>
      <c r="I41" s="5">
        <f>0.09461+0.0847-0.00007</f>
        <v>0.17924000000000001</v>
      </c>
      <c r="J41" s="5">
        <f t="shared" si="6"/>
        <v>0.92999999999999994</v>
      </c>
      <c r="K41" s="5">
        <f t="shared" ref="K41:K46" si="8">30*0.346</f>
        <v>10.379999999999999</v>
      </c>
      <c r="L41" s="4" t="s">
        <v>298</v>
      </c>
    </row>
    <row r="42" spans="1:12" ht="15.75" customHeight="1" x14ac:dyDescent="0.2">
      <c r="A42" s="4" t="s">
        <v>39</v>
      </c>
      <c r="B42" s="4" t="s">
        <v>13</v>
      </c>
      <c r="C42" s="5" t="s">
        <v>40</v>
      </c>
      <c r="D42" s="4">
        <v>2020</v>
      </c>
      <c r="E42" s="5"/>
      <c r="F42" s="5">
        <f>0.09513</f>
        <v>9.5130000000000006E-2</v>
      </c>
      <c r="G42" s="5"/>
      <c r="H42" s="5"/>
      <c r="I42" s="5">
        <f>0.09513+0.09756</f>
        <v>0.19269</v>
      </c>
      <c r="J42" s="5">
        <f t="shared" si="6"/>
        <v>0.92999999999999994</v>
      </c>
      <c r="K42" s="5">
        <f t="shared" si="8"/>
        <v>10.379999999999999</v>
      </c>
      <c r="L42" s="4" t="s">
        <v>298</v>
      </c>
    </row>
    <row r="43" spans="1:12" ht="15.75" customHeight="1" x14ac:dyDescent="0.2">
      <c r="A43" s="4" t="s">
        <v>39</v>
      </c>
      <c r="B43" s="4" t="s">
        <v>13</v>
      </c>
      <c r="C43" s="5" t="s">
        <v>40</v>
      </c>
      <c r="D43" s="4">
        <v>2021</v>
      </c>
      <c r="E43" s="5"/>
      <c r="F43" s="5">
        <f>0.13675</f>
        <v>0.13675000000000001</v>
      </c>
      <c r="G43" s="5"/>
      <c r="H43" s="5"/>
      <c r="I43" s="5">
        <f>0.13675+0.09545</f>
        <v>0.23220000000000002</v>
      </c>
      <c r="J43" s="5">
        <f t="shared" si="6"/>
        <v>0.92999999999999994</v>
      </c>
      <c r="K43" s="5">
        <f t="shared" si="8"/>
        <v>10.379999999999999</v>
      </c>
      <c r="L43" s="4" t="s">
        <v>41</v>
      </c>
    </row>
    <row r="44" spans="1:12" ht="15.75" customHeight="1" x14ac:dyDescent="0.2">
      <c r="A44" s="4" t="s">
        <v>39</v>
      </c>
      <c r="B44" s="4" t="s">
        <v>13</v>
      </c>
      <c r="C44" s="5" t="s">
        <v>40</v>
      </c>
      <c r="D44" s="4">
        <v>2022</v>
      </c>
      <c r="E44" s="5"/>
      <c r="F44" s="5">
        <f>0.16853</f>
        <v>0.16853000000000001</v>
      </c>
      <c r="G44" s="5"/>
      <c r="H44" s="5"/>
      <c r="I44" s="5">
        <f>0.16853+0.09527</f>
        <v>0.26380000000000003</v>
      </c>
      <c r="J44" s="5">
        <f t="shared" si="6"/>
        <v>0.92999999999999994</v>
      </c>
      <c r="K44" s="5">
        <f t="shared" si="8"/>
        <v>10.379999999999999</v>
      </c>
      <c r="L44" s="4" t="s">
        <v>298</v>
      </c>
    </row>
    <row r="45" spans="1:12" ht="15.75" customHeight="1" x14ac:dyDescent="0.2">
      <c r="A45" s="4" t="s">
        <v>39</v>
      </c>
      <c r="B45" s="4" t="s">
        <v>13</v>
      </c>
      <c r="C45" s="5" t="s">
        <v>40</v>
      </c>
      <c r="D45" s="4">
        <v>2023</v>
      </c>
      <c r="E45" s="5"/>
      <c r="F45" s="5">
        <f>0.15697</f>
        <v>0.15697</v>
      </c>
      <c r="G45" s="5"/>
      <c r="H45" s="5"/>
      <c r="I45" s="5">
        <f>0.15697+0.1544+0.0009</f>
        <v>0.31227000000000005</v>
      </c>
      <c r="J45" s="5">
        <f t="shared" si="6"/>
        <v>0.92999999999999994</v>
      </c>
      <c r="K45" s="5">
        <f t="shared" si="8"/>
        <v>10.379999999999999</v>
      </c>
      <c r="L45" s="4" t="s">
        <v>298</v>
      </c>
    </row>
    <row r="46" spans="1:12" ht="15.75" customHeight="1" x14ac:dyDescent="0.2">
      <c r="A46" s="4" t="s">
        <v>39</v>
      </c>
      <c r="B46" s="4" t="s">
        <v>13</v>
      </c>
      <c r="C46" s="5" t="s">
        <v>40</v>
      </c>
      <c r="D46" s="4">
        <v>2024</v>
      </c>
      <c r="E46" s="5"/>
      <c r="F46" s="5">
        <f>0.18657</f>
        <v>0.18657000000000001</v>
      </c>
      <c r="G46" s="5"/>
      <c r="H46" s="5"/>
      <c r="I46" s="5">
        <f>0.18657+0.14901+0.00188</f>
        <v>0.33745999999999998</v>
      </c>
      <c r="J46" s="5">
        <f t="shared" si="6"/>
        <v>0.92999999999999994</v>
      </c>
      <c r="K46" s="5">
        <f t="shared" si="8"/>
        <v>10.379999999999999</v>
      </c>
      <c r="L46" s="4" t="s">
        <v>298</v>
      </c>
    </row>
    <row r="47" spans="1:12" ht="15.75" customHeight="1" x14ac:dyDescent="0.2">
      <c r="A47" s="76" t="s">
        <v>42</v>
      </c>
      <c r="B47" s="76" t="s">
        <v>30</v>
      </c>
      <c r="C47" s="34" t="s">
        <v>40</v>
      </c>
      <c r="D47" s="76">
        <v>2010</v>
      </c>
      <c r="E47" s="34"/>
      <c r="F47" s="34"/>
      <c r="G47" s="34"/>
      <c r="H47" s="34"/>
      <c r="I47" s="34" t="e">
        <v>#N/A</v>
      </c>
      <c r="J47" s="34"/>
      <c r="K47" s="34"/>
      <c r="L47" s="76"/>
    </row>
    <row r="48" spans="1:12" ht="15.75" customHeight="1" x14ac:dyDescent="0.2">
      <c r="A48" s="76" t="s">
        <v>42</v>
      </c>
      <c r="B48" s="76" t="s">
        <v>30</v>
      </c>
      <c r="C48" s="34" t="s">
        <v>40</v>
      </c>
      <c r="D48" s="76">
        <v>2011</v>
      </c>
      <c r="E48" s="34"/>
      <c r="F48" s="34"/>
      <c r="G48" s="34"/>
      <c r="H48" s="34"/>
      <c r="I48" s="34" t="e">
        <v>#N/A</v>
      </c>
      <c r="J48" s="34"/>
      <c r="K48" s="34"/>
      <c r="L48" s="76"/>
    </row>
    <row r="49" spans="1:12" ht="15.75" customHeight="1" x14ac:dyDescent="0.2">
      <c r="A49" s="76" t="s">
        <v>42</v>
      </c>
      <c r="B49" s="76" t="s">
        <v>30</v>
      </c>
      <c r="C49" s="34" t="s">
        <v>40</v>
      </c>
      <c r="D49" s="76">
        <v>2012</v>
      </c>
      <c r="E49" s="34"/>
      <c r="F49" s="34"/>
      <c r="G49" s="34"/>
      <c r="H49" s="34"/>
      <c r="I49" s="34" t="e">
        <v>#N/A</v>
      </c>
      <c r="J49" s="34"/>
      <c r="K49" s="34"/>
      <c r="L49" s="76"/>
    </row>
    <row r="50" spans="1:12" ht="15.75" customHeight="1" x14ac:dyDescent="0.2">
      <c r="A50" s="76" t="s">
        <v>42</v>
      </c>
      <c r="B50" s="76" t="s">
        <v>30</v>
      </c>
      <c r="C50" s="34" t="s">
        <v>40</v>
      </c>
      <c r="D50" s="76">
        <v>2013</v>
      </c>
      <c r="E50" s="34"/>
      <c r="F50" s="34"/>
      <c r="G50" s="34"/>
      <c r="H50" s="34"/>
      <c r="I50" s="34" t="e">
        <v>#N/A</v>
      </c>
      <c r="J50" s="34"/>
      <c r="K50" s="34"/>
      <c r="L50" s="76"/>
    </row>
    <row r="51" spans="1:12" ht="15.75" customHeight="1" x14ac:dyDescent="0.2">
      <c r="A51" s="76" t="s">
        <v>42</v>
      </c>
      <c r="B51" s="76" t="s">
        <v>30</v>
      </c>
      <c r="C51" s="34" t="s">
        <v>40</v>
      </c>
      <c r="D51" s="76">
        <v>2014</v>
      </c>
      <c r="E51" s="34"/>
      <c r="F51" s="34"/>
      <c r="G51" s="34"/>
      <c r="H51" s="34"/>
      <c r="I51" s="34" t="e">
        <v>#N/A</v>
      </c>
      <c r="J51" s="34"/>
      <c r="K51" s="34"/>
      <c r="L51" s="76"/>
    </row>
    <row r="52" spans="1:12" ht="15.75" customHeight="1" x14ac:dyDescent="0.2">
      <c r="A52" s="76" t="s">
        <v>42</v>
      </c>
      <c r="B52" s="76" t="s">
        <v>30</v>
      </c>
      <c r="C52" s="34" t="s">
        <v>40</v>
      </c>
      <c r="D52" s="76">
        <v>2015</v>
      </c>
      <c r="E52" s="34"/>
      <c r="F52" s="34"/>
      <c r="G52" s="34"/>
      <c r="H52" s="34"/>
      <c r="I52" s="34" t="e">
        <v>#N/A</v>
      </c>
      <c r="J52" s="34"/>
      <c r="K52" s="34"/>
      <c r="L52" s="76"/>
    </row>
    <row r="53" spans="1:12" ht="15.75" customHeight="1" x14ac:dyDescent="0.2">
      <c r="A53" s="76" t="s">
        <v>42</v>
      </c>
      <c r="B53" s="76" t="s">
        <v>30</v>
      </c>
      <c r="C53" s="34" t="s">
        <v>40</v>
      </c>
      <c r="D53" s="76">
        <v>2016</v>
      </c>
      <c r="E53" s="34"/>
      <c r="F53" s="34"/>
      <c r="G53" s="34"/>
      <c r="H53" s="34"/>
      <c r="I53" s="34" t="e">
        <v>#N/A</v>
      </c>
      <c r="J53" s="34"/>
      <c r="K53" s="34"/>
      <c r="L53" s="76"/>
    </row>
    <row r="54" spans="1:12" ht="15.75" customHeight="1" x14ac:dyDescent="0.2">
      <c r="A54" s="76" t="s">
        <v>42</v>
      </c>
      <c r="B54" s="76" t="s">
        <v>30</v>
      </c>
      <c r="C54" s="34" t="s">
        <v>40</v>
      </c>
      <c r="D54" s="76">
        <v>2017</v>
      </c>
      <c r="E54" s="34"/>
      <c r="F54" s="34"/>
      <c r="G54" s="34"/>
      <c r="H54" s="34"/>
      <c r="I54" s="34" t="e">
        <v>#N/A</v>
      </c>
      <c r="J54" s="34"/>
      <c r="K54" s="34"/>
      <c r="L54" s="76"/>
    </row>
    <row r="55" spans="1:12" ht="15.75" customHeight="1" x14ac:dyDescent="0.2">
      <c r="A55" s="76" t="s">
        <v>42</v>
      </c>
      <c r="B55" s="76" t="s">
        <v>30</v>
      </c>
      <c r="C55" s="34" t="s">
        <v>40</v>
      </c>
      <c r="D55" s="76">
        <v>2018</v>
      </c>
      <c r="E55" s="34"/>
      <c r="F55" s="34"/>
      <c r="G55" s="34"/>
      <c r="H55" s="34"/>
      <c r="I55" s="34" t="e">
        <v>#N/A</v>
      </c>
      <c r="J55" s="34"/>
      <c r="K55" s="34"/>
      <c r="L55" s="76"/>
    </row>
    <row r="56" spans="1:12" ht="15.75" customHeight="1" x14ac:dyDescent="0.2">
      <c r="A56" s="4" t="s">
        <v>42</v>
      </c>
      <c r="B56" s="4" t="s">
        <v>30</v>
      </c>
      <c r="C56" s="5" t="s">
        <v>40</v>
      </c>
      <c r="D56" s="4">
        <v>2019</v>
      </c>
      <c r="E56" s="5">
        <v>6.651E-2</v>
      </c>
      <c r="F56" s="104">
        <f>F41</f>
        <v>9.461E-2</v>
      </c>
      <c r="G56" s="105"/>
      <c r="H56" s="5">
        <v>1.491E-2</v>
      </c>
      <c r="I56" s="5">
        <f t="shared" ref="I56:I61" si="9">E56+F41+H56</f>
        <v>0.17602999999999999</v>
      </c>
      <c r="J56" s="5"/>
      <c r="K56" s="5"/>
      <c r="L56" s="4" t="s">
        <v>287</v>
      </c>
    </row>
    <row r="57" spans="1:12" ht="15.75" customHeight="1" x14ac:dyDescent="0.2">
      <c r="A57" s="4" t="s">
        <v>42</v>
      </c>
      <c r="B57" s="4" t="s">
        <v>30</v>
      </c>
      <c r="C57" s="5" t="s">
        <v>40</v>
      </c>
      <c r="D57" s="4">
        <v>2020</v>
      </c>
      <c r="E57" s="5">
        <v>6.6890000000000005E-2</v>
      </c>
      <c r="F57" s="104">
        <f t="shared" ref="F57:F61" si="10">F42</f>
        <v>9.5130000000000006E-2</v>
      </c>
      <c r="G57" s="105"/>
      <c r="H57" s="5">
        <v>1.159E-2</v>
      </c>
      <c r="I57" s="5">
        <f t="shared" si="9"/>
        <v>0.17360999999999999</v>
      </c>
      <c r="J57" s="5"/>
      <c r="K57" s="5"/>
      <c r="L57" s="4" t="s">
        <v>287</v>
      </c>
    </row>
    <row r="58" spans="1:12" ht="15.75" customHeight="1" x14ac:dyDescent="0.2">
      <c r="A58" s="4" t="s">
        <v>42</v>
      </c>
      <c r="B58" s="4" t="s">
        <v>30</v>
      </c>
      <c r="C58" s="5" t="s">
        <v>40</v>
      </c>
      <c r="D58" s="4">
        <v>2021</v>
      </c>
      <c r="E58" s="11">
        <v>6.9919999999999996E-2</v>
      </c>
      <c r="F58" s="104">
        <f t="shared" si="10"/>
        <v>0.13675000000000001</v>
      </c>
      <c r="G58" s="105"/>
      <c r="H58" s="5">
        <v>2.929E-2</v>
      </c>
      <c r="I58" s="5">
        <f t="shared" si="9"/>
        <v>0.23596000000000003</v>
      </c>
      <c r="J58" s="11"/>
      <c r="K58" s="11"/>
      <c r="L58" s="4" t="s">
        <v>287</v>
      </c>
    </row>
    <row r="59" spans="1:12" ht="15.75" customHeight="1" x14ac:dyDescent="0.2">
      <c r="A59" s="4" t="s">
        <v>42</v>
      </c>
      <c r="B59" s="4" t="s">
        <v>30</v>
      </c>
      <c r="C59" s="5" t="s">
        <v>40</v>
      </c>
      <c r="D59" s="4">
        <v>2022</v>
      </c>
      <c r="E59" s="12">
        <v>8.2339999999999997E-2</v>
      </c>
      <c r="F59" s="104">
        <f t="shared" si="10"/>
        <v>0.16853000000000001</v>
      </c>
      <c r="G59" s="105"/>
      <c r="H59" s="5">
        <v>2.9329999999999998E-2</v>
      </c>
      <c r="I59" s="5">
        <f t="shared" si="9"/>
        <v>0.28020000000000006</v>
      </c>
      <c r="J59" s="12"/>
      <c r="K59" s="12"/>
      <c r="L59" s="4" t="s">
        <v>287</v>
      </c>
    </row>
    <row r="60" spans="1:12" ht="15.75" customHeight="1" x14ac:dyDescent="0.2">
      <c r="A60" s="4" t="s">
        <v>42</v>
      </c>
      <c r="B60" s="4" t="s">
        <v>30</v>
      </c>
      <c r="C60" s="5" t="s">
        <v>40</v>
      </c>
      <c r="D60" s="4">
        <v>2023</v>
      </c>
      <c r="E60" s="6">
        <v>0.10496</v>
      </c>
      <c r="F60" s="104">
        <f t="shared" si="10"/>
        <v>0.15697</v>
      </c>
      <c r="G60" s="105"/>
      <c r="H60" s="5">
        <v>-6.8100000000000001E-3</v>
      </c>
      <c r="I60" s="5">
        <f t="shared" si="9"/>
        <v>0.25512000000000001</v>
      </c>
      <c r="J60" s="6"/>
      <c r="K60" s="6"/>
      <c r="L60" s="4" t="s">
        <v>287</v>
      </c>
    </row>
    <row r="61" spans="1:12" ht="15.75" customHeight="1" x14ac:dyDescent="0.2">
      <c r="A61" s="4" t="s">
        <v>42</v>
      </c>
      <c r="B61" s="4" t="s">
        <v>30</v>
      </c>
      <c r="C61" s="5" t="s">
        <v>40</v>
      </c>
      <c r="D61" s="4">
        <v>2024</v>
      </c>
      <c r="E61" s="5">
        <v>0.15093000000000001</v>
      </c>
      <c r="F61" s="104">
        <f t="shared" si="10"/>
        <v>0.18657000000000001</v>
      </c>
      <c r="G61" s="105"/>
      <c r="H61" s="5">
        <v>-1.332E-2</v>
      </c>
      <c r="I61" s="5">
        <f t="shared" si="9"/>
        <v>0.32418000000000002</v>
      </c>
      <c r="J61" s="5"/>
      <c r="K61" s="5"/>
      <c r="L61" s="4" t="s">
        <v>287</v>
      </c>
    </row>
    <row r="62" spans="1:12" ht="15.75" customHeight="1" x14ac:dyDescent="0.2">
      <c r="A62" s="4" t="s">
        <v>43</v>
      </c>
      <c r="B62" s="4" t="s">
        <v>44</v>
      </c>
      <c r="C62" s="13" t="s">
        <v>45</v>
      </c>
      <c r="D62" s="4">
        <v>2010</v>
      </c>
      <c r="E62" s="5"/>
      <c r="F62" s="5"/>
      <c r="G62" s="5"/>
      <c r="H62" s="5"/>
      <c r="I62" s="13">
        <v>0.12557000000000001</v>
      </c>
      <c r="J62" s="10"/>
      <c r="K62" s="13">
        <v>10</v>
      </c>
      <c r="L62" s="4" t="s">
        <v>288</v>
      </c>
    </row>
    <row r="63" spans="1:12" ht="15.75" customHeight="1" x14ac:dyDescent="0.2">
      <c r="A63" s="4" t="s">
        <v>43</v>
      </c>
      <c r="B63" s="4" t="s">
        <v>44</v>
      </c>
      <c r="C63" s="13" t="s">
        <v>45</v>
      </c>
      <c r="D63" s="4">
        <v>2011</v>
      </c>
      <c r="E63" s="5"/>
      <c r="F63" s="5"/>
      <c r="G63" s="5"/>
      <c r="H63" s="5"/>
      <c r="I63" s="13">
        <v>0.13156999999999999</v>
      </c>
      <c r="J63" s="10"/>
      <c r="K63" s="13">
        <v>10</v>
      </c>
      <c r="L63" s="4" t="s">
        <v>288</v>
      </c>
    </row>
    <row r="64" spans="1:12" ht="15.75" customHeight="1" x14ac:dyDescent="0.2">
      <c r="A64" s="4" t="s">
        <v>43</v>
      </c>
      <c r="B64" s="4" t="s">
        <v>44</v>
      </c>
      <c r="C64" s="13" t="s">
        <v>45</v>
      </c>
      <c r="D64" s="4">
        <v>2012</v>
      </c>
      <c r="E64" s="5"/>
      <c r="F64" s="5"/>
      <c r="G64" s="5"/>
      <c r="H64" s="5"/>
      <c r="I64" s="13">
        <v>0.13156999999999999</v>
      </c>
      <c r="J64" s="10"/>
      <c r="K64" s="13">
        <v>10</v>
      </c>
      <c r="L64" s="4" t="s">
        <v>288</v>
      </c>
    </row>
    <row r="65" spans="1:13" ht="15.75" customHeight="1" x14ac:dyDescent="0.2">
      <c r="A65" s="4" t="s">
        <v>43</v>
      </c>
      <c r="B65" s="4" t="s">
        <v>44</v>
      </c>
      <c r="C65" s="13" t="s">
        <v>45</v>
      </c>
      <c r="D65" s="4">
        <v>2013</v>
      </c>
      <c r="E65" s="5"/>
      <c r="F65" s="5"/>
      <c r="G65" s="5"/>
      <c r="H65" s="5"/>
      <c r="I65" s="13">
        <v>0.13561999999999999</v>
      </c>
      <c r="J65" s="10"/>
      <c r="K65" s="13">
        <v>10</v>
      </c>
      <c r="L65" s="4" t="s">
        <v>288</v>
      </c>
    </row>
    <row r="66" spans="1:13" ht="15.75" customHeight="1" x14ac:dyDescent="0.2">
      <c r="A66" s="4" t="s">
        <v>43</v>
      </c>
      <c r="B66" s="4" t="s">
        <v>44</v>
      </c>
      <c r="C66" s="13" t="s">
        <v>45</v>
      </c>
      <c r="D66" s="4">
        <v>2014</v>
      </c>
      <c r="E66" s="5"/>
      <c r="F66" s="5"/>
      <c r="G66" s="5"/>
      <c r="H66" s="5"/>
      <c r="I66" s="13">
        <v>0.13919999999999999</v>
      </c>
      <c r="J66" s="10"/>
      <c r="K66" s="13">
        <v>10</v>
      </c>
      <c r="L66" s="4" t="s">
        <v>288</v>
      </c>
    </row>
    <row r="67" spans="1:13" ht="15.75" customHeight="1" x14ac:dyDescent="0.2">
      <c r="A67" s="4" t="s">
        <v>43</v>
      </c>
      <c r="B67" s="4" t="s">
        <v>44</v>
      </c>
      <c r="C67" s="13" t="s">
        <v>45</v>
      </c>
      <c r="D67" s="4">
        <v>2015</v>
      </c>
      <c r="E67" s="5"/>
      <c r="F67" s="5"/>
      <c r="G67" s="5"/>
      <c r="H67" s="5"/>
      <c r="I67" s="13">
        <v>0.14577999999999999</v>
      </c>
      <c r="J67" s="10"/>
      <c r="K67" s="13">
        <v>10</v>
      </c>
      <c r="L67" s="4" t="s">
        <v>288</v>
      </c>
    </row>
    <row r="68" spans="1:13" ht="15.75" customHeight="1" x14ac:dyDescent="0.2">
      <c r="A68" s="4" t="s">
        <v>43</v>
      </c>
      <c r="B68" s="4" t="s">
        <v>44</v>
      </c>
      <c r="C68" s="13" t="s">
        <v>45</v>
      </c>
      <c r="D68" s="4">
        <v>2016</v>
      </c>
      <c r="E68" s="5"/>
      <c r="F68" s="5"/>
      <c r="G68" s="5"/>
      <c r="H68" s="5"/>
      <c r="I68" s="13">
        <v>0.14273999999999998</v>
      </c>
      <c r="J68" s="10"/>
      <c r="K68" s="13">
        <v>10</v>
      </c>
      <c r="L68" s="4" t="s">
        <v>288</v>
      </c>
    </row>
    <row r="69" spans="1:13" ht="15.75" customHeight="1" x14ac:dyDescent="0.2">
      <c r="A69" s="4" t="s">
        <v>43</v>
      </c>
      <c r="B69" s="4" t="s">
        <v>44</v>
      </c>
      <c r="C69" s="13" t="s">
        <v>45</v>
      </c>
      <c r="D69" s="4">
        <v>2017</v>
      </c>
      <c r="E69" s="13"/>
      <c r="F69" s="5"/>
      <c r="G69" s="5"/>
      <c r="H69" s="5"/>
      <c r="I69" s="13">
        <v>0.14872000000000002</v>
      </c>
      <c r="J69" s="13">
        <v>0.85</v>
      </c>
      <c r="K69" s="13">
        <v>10</v>
      </c>
      <c r="L69" s="4" t="s">
        <v>288</v>
      </c>
    </row>
    <row r="70" spans="1:13" ht="15.75" customHeight="1" x14ac:dyDescent="0.2">
      <c r="A70" s="4" t="s">
        <v>43</v>
      </c>
      <c r="B70" s="4" t="s">
        <v>44</v>
      </c>
      <c r="C70" s="13" t="s">
        <v>45</v>
      </c>
      <c r="D70" s="4">
        <v>2018</v>
      </c>
      <c r="E70" s="13"/>
      <c r="F70" s="5"/>
      <c r="G70" s="5"/>
      <c r="H70" s="5"/>
      <c r="I70" s="13">
        <v>0.15498000000000001</v>
      </c>
      <c r="J70" s="13">
        <v>1.3</v>
      </c>
      <c r="K70" s="13">
        <v>10</v>
      </c>
      <c r="L70" s="4" t="s">
        <v>288</v>
      </c>
    </row>
    <row r="71" spans="1:13" ht="15.75" customHeight="1" x14ac:dyDescent="0.2">
      <c r="A71" s="4" t="s">
        <v>43</v>
      </c>
      <c r="B71" s="4" t="s">
        <v>44</v>
      </c>
      <c r="C71" s="13" t="s">
        <v>45</v>
      </c>
      <c r="D71" s="4">
        <v>2019</v>
      </c>
      <c r="E71" s="13"/>
      <c r="F71" s="5"/>
      <c r="G71" s="5"/>
      <c r="H71" s="5"/>
      <c r="I71" s="13">
        <v>0.16825999999999999</v>
      </c>
      <c r="J71" s="13">
        <v>1.75</v>
      </c>
      <c r="K71" s="13">
        <v>10</v>
      </c>
      <c r="L71" s="4" t="s">
        <v>288</v>
      </c>
    </row>
    <row r="72" spans="1:13" ht="15.75" customHeight="1" x14ac:dyDescent="0.2">
      <c r="A72" s="4" t="s">
        <v>43</v>
      </c>
      <c r="B72" s="4" t="s">
        <v>44</v>
      </c>
      <c r="C72" s="13" t="s">
        <v>45</v>
      </c>
      <c r="D72" s="4">
        <v>2020</v>
      </c>
      <c r="E72" s="13"/>
      <c r="F72" s="5"/>
      <c r="G72" s="5"/>
      <c r="H72" s="5"/>
      <c r="I72" s="13">
        <v>0.17352000000000001</v>
      </c>
      <c r="J72" s="13">
        <v>2.2999999999999998</v>
      </c>
      <c r="K72" s="13">
        <v>10</v>
      </c>
      <c r="L72" s="4" t="s">
        <v>288</v>
      </c>
    </row>
    <row r="73" spans="1:13" ht="15.75" customHeight="1" x14ac:dyDescent="0.2">
      <c r="A73" s="4" t="s">
        <v>43</v>
      </c>
      <c r="B73" s="4" t="s">
        <v>44</v>
      </c>
      <c r="C73" s="13" t="s">
        <v>45</v>
      </c>
      <c r="D73" s="4">
        <v>2021</v>
      </c>
      <c r="E73" s="13"/>
      <c r="F73" s="5"/>
      <c r="G73" s="5"/>
      <c r="H73" s="5"/>
      <c r="I73" s="13">
        <v>0.17649999999999999</v>
      </c>
      <c r="J73" s="13">
        <v>2.2999999999999998</v>
      </c>
      <c r="K73" s="13">
        <v>10</v>
      </c>
      <c r="L73" s="4" t="s">
        <v>288</v>
      </c>
    </row>
    <row r="74" spans="1:13" ht="15.75" customHeight="1" x14ac:dyDescent="0.2">
      <c r="A74" s="4" t="s">
        <v>43</v>
      </c>
      <c r="B74" s="4" t="s">
        <v>44</v>
      </c>
      <c r="C74" s="13" t="s">
        <v>45</v>
      </c>
      <c r="D74" s="4">
        <v>2022</v>
      </c>
      <c r="E74" s="13"/>
      <c r="F74" s="5"/>
      <c r="G74" s="5"/>
      <c r="H74" s="5"/>
      <c r="I74" s="13">
        <v>0.19488</v>
      </c>
      <c r="J74" s="13">
        <v>2.2999999999999998</v>
      </c>
      <c r="K74" s="13">
        <v>10</v>
      </c>
      <c r="L74" s="4" t="s">
        <v>288</v>
      </c>
    </row>
    <row r="75" spans="1:13" ht="15.75" customHeight="1" x14ac:dyDescent="0.2">
      <c r="A75" s="4" t="s">
        <v>43</v>
      </c>
      <c r="B75" s="4" t="s">
        <v>44</v>
      </c>
      <c r="C75" s="13" t="s">
        <v>45</v>
      </c>
      <c r="D75" s="4">
        <v>2023</v>
      </c>
      <c r="E75" s="13"/>
      <c r="F75" s="5"/>
      <c r="G75" s="5"/>
      <c r="H75" s="5"/>
      <c r="I75" s="13">
        <v>0.18856999999999999</v>
      </c>
      <c r="J75" s="13">
        <v>2.2999999999999998</v>
      </c>
      <c r="K75" s="13">
        <v>10</v>
      </c>
      <c r="L75" s="4" t="s">
        <v>288</v>
      </c>
    </row>
    <row r="76" spans="1:13" ht="15.75" customHeight="1" x14ac:dyDescent="0.2">
      <c r="A76" s="4" t="s">
        <v>43</v>
      </c>
      <c r="B76" s="4" t="s">
        <v>44</v>
      </c>
      <c r="C76" s="13" t="s">
        <v>45</v>
      </c>
      <c r="D76" s="4">
        <v>2024</v>
      </c>
      <c r="E76" s="13"/>
      <c r="F76" s="5"/>
      <c r="G76" s="5"/>
      <c r="H76" s="5"/>
      <c r="I76" s="13">
        <v>0.20041999999999999</v>
      </c>
      <c r="J76" s="13">
        <v>2.2999999999999998</v>
      </c>
      <c r="K76" s="13">
        <v>10</v>
      </c>
      <c r="L76" s="4" t="s">
        <v>288</v>
      </c>
    </row>
    <row r="77" spans="1:13" ht="15.75" customHeight="1" x14ac:dyDescent="0.2">
      <c r="A77" s="4" t="s">
        <v>46</v>
      </c>
      <c r="B77" s="4" t="s">
        <v>44</v>
      </c>
      <c r="C77" s="5" t="s">
        <v>47</v>
      </c>
      <c r="D77" s="4">
        <v>2010</v>
      </c>
      <c r="E77" s="5"/>
      <c r="F77" s="5"/>
      <c r="G77" s="5"/>
      <c r="H77" s="5"/>
      <c r="I77" s="5">
        <f>0.0946+0.002</f>
        <v>9.6600000000000005E-2</v>
      </c>
      <c r="J77" s="5">
        <v>7</v>
      </c>
      <c r="K77" s="5">
        <v>0</v>
      </c>
      <c r="L77" s="4" t="s">
        <v>289</v>
      </c>
    </row>
    <row r="78" spans="1:13" ht="15.75" customHeight="1" x14ac:dyDescent="0.2">
      <c r="A78" s="4" t="s">
        <v>46</v>
      </c>
      <c r="B78" s="4" t="s">
        <v>44</v>
      </c>
      <c r="C78" s="5" t="s">
        <v>47</v>
      </c>
      <c r="D78" s="4">
        <v>2011</v>
      </c>
      <c r="E78" s="5"/>
      <c r="F78" s="5"/>
      <c r="G78" s="5"/>
      <c r="H78" s="5"/>
      <c r="I78" s="5">
        <f>0.0967+0.0009</f>
        <v>9.7599999999999992E-2</v>
      </c>
      <c r="J78" s="5">
        <v>7.2</v>
      </c>
      <c r="K78" s="5">
        <v>0</v>
      </c>
      <c r="L78" s="4" t="s">
        <v>289</v>
      </c>
    </row>
    <row r="79" spans="1:13" ht="15.75" customHeight="1" x14ac:dyDescent="0.2">
      <c r="A79" s="4" t="s">
        <v>46</v>
      </c>
      <c r="B79" s="4" t="s">
        <v>44</v>
      </c>
      <c r="C79" s="5" t="s">
        <v>47</v>
      </c>
      <c r="D79" s="4">
        <v>2012</v>
      </c>
      <c r="E79" s="5"/>
      <c r="F79" s="5"/>
      <c r="G79" s="5"/>
      <c r="H79" s="5"/>
      <c r="I79" s="5">
        <f>0.0938+0.0009</f>
        <v>9.4699999999999993E-2</v>
      </c>
      <c r="J79" s="5">
        <v>10</v>
      </c>
      <c r="K79" s="5">
        <v>0</v>
      </c>
      <c r="L79" s="4" t="s">
        <v>289</v>
      </c>
    </row>
    <row r="80" spans="1:13" ht="15.75" customHeight="1" x14ac:dyDescent="0.2">
      <c r="A80" s="4" t="s">
        <v>46</v>
      </c>
      <c r="B80" s="4" t="s">
        <v>44</v>
      </c>
      <c r="C80" s="5" t="s">
        <v>47</v>
      </c>
      <c r="D80" s="4">
        <v>2013</v>
      </c>
      <c r="E80" s="5"/>
      <c r="F80" s="5"/>
      <c r="G80" s="5"/>
      <c r="H80" s="5"/>
      <c r="I80" s="5">
        <f>0.0911+0.0013</f>
        <v>9.2399999999999996E-2</v>
      </c>
      <c r="J80" s="5">
        <v>12</v>
      </c>
      <c r="K80" s="5">
        <v>0</v>
      </c>
      <c r="L80" s="4" t="s">
        <v>289</v>
      </c>
      <c r="M80" s="14"/>
    </row>
    <row r="81" spans="1:13" ht="15.75" customHeight="1" x14ac:dyDescent="0.2">
      <c r="A81" s="4" t="s">
        <v>46</v>
      </c>
      <c r="B81" s="4" t="s">
        <v>44</v>
      </c>
      <c r="C81" s="5" t="s">
        <v>47</v>
      </c>
      <c r="D81" s="4">
        <v>2014</v>
      </c>
      <c r="E81" s="5"/>
      <c r="F81" s="5"/>
      <c r="G81" s="5"/>
      <c r="H81" s="5"/>
      <c r="I81" s="5">
        <f>0.0955+0.0013</f>
        <v>9.6799999999999997E-2</v>
      </c>
      <c r="J81" s="5">
        <v>14</v>
      </c>
      <c r="K81" s="5">
        <v>0</v>
      </c>
      <c r="L81" s="4" t="s">
        <v>289</v>
      </c>
      <c r="M81" s="14"/>
    </row>
    <row r="82" spans="1:13" ht="15.75" customHeight="1" x14ac:dyDescent="0.2">
      <c r="A82" s="4" t="s">
        <v>46</v>
      </c>
      <c r="B82" s="4" t="s">
        <v>44</v>
      </c>
      <c r="C82" s="5" t="s">
        <v>47</v>
      </c>
      <c r="D82" s="4">
        <v>2015</v>
      </c>
      <c r="E82" s="5"/>
      <c r="F82" s="5"/>
      <c r="G82" s="5"/>
      <c r="H82" s="5"/>
      <c r="I82" s="5">
        <f>0.0998+0.0015</f>
        <v>0.1013</v>
      </c>
      <c r="J82" s="5">
        <v>16</v>
      </c>
      <c r="K82" s="5">
        <v>0</v>
      </c>
      <c r="L82" s="4" t="s">
        <v>289</v>
      </c>
      <c r="M82" s="14"/>
    </row>
    <row r="83" spans="1:13" ht="15.75" customHeight="1" x14ac:dyDescent="0.2">
      <c r="A83" s="4" t="s">
        <v>46</v>
      </c>
      <c r="B83" s="4" t="s">
        <v>44</v>
      </c>
      <c r="C83" s="5" t="s">
        <v>47</v>
      </c>
      <c r="D83" s="4">
        <v>2016</v>
      </c>
      <c r="E83" s="5"/>
      <c r="F83" s="5"/>
      <c r="G83" s="5"/>
      <c r="H83" s="5"/>
      <c r="I83" s="5">
        <v>0.10680000000000001</v>
      </c>
      <c r="J83" s="5">
        <v>18</v>
      </c>
      <c r="K83" s="5">
        <v>0</v>
      </c>
      <c r="L83" s="4" t="s">
        <v>48</v>
      </c>
      <c r="M83" s="14"/>
    </row>
    <row r="84" spans="1:13" ht="15.75" customHeight="1" x14ac:dyDescent="0.2">
      <c r="A84" s="4" t="s">
        <v>46</v>
      </c>
      <c r="B84" s="4" t="s">
        <v>44</v>
      </c>
      <c r="C84" s="5" t="s">
        <v>47</v>
      </c>
      <c r="D84" s="4">
        <v>2017</v>
      </c>
      <c r="E84" s="5"/>
      <c r="F84" s="5"/>
      <c r="G84" s="5"/>
      <c r="H84" s="5"/>
      <c r="I84" s="5">
        <v>0.1128</v>
      </c>
      <c r="J84" s="5">
        <v>20</v>
      </c>
      <c r="K84" s="5">
        <v>0</v>
      </c>
      <c r="L84" s="4" t="s">
        <v>48</v>
      </c>
      <c r="M84" s="14"/>
    </row>
    <row r="85" spans="1:13" ht="15.75" customHeight="1" x14ac:dyDescent="0.2">
      <c r="A85" s="4" t="s">
        <v>46</v>
      </c>
      <c r="B85" s="4" t="s">
        <v>44</v>
      </c>
      <c r="C85" s="5" t="s">
        <v>47</v>
      </c>
      <c r="D85" s="4">
        <v>2018</v>
      </c>
      <c r="E85" s="5"/>
      <c r="F85" s="5"/>
      <c r="G85" s="5"/>
      <c r="H85" s="5"/>
      <c r="I85" s="5">
        <v>0.1032</v>
      </c>
      <c r="J85" s="5">
        <v>20.3</v>
      </c>
      <c r="K85" s="5">
        <v>0</v>
      </c>
      <c r="L85" s="4" t="s">
        <v>49</v>
      </c>
      <c r="M85" s="14"/>
    </row>
    <row r="86" spans="1:13" ht="15.75" customHeight="1" x14ac:dyDescent="0.2">
      <c r="A86" s="4" t="s">
        <v>46</v>
      </c>
      <c r="B86" s="4" t="s">
        <v>44</v>
      </c>
      <c r="C86" s="5" t="s">
        <v>47</v>
      </c>
      <c r="D86" s="4">
        <v>2019</v>
      </c>
      <c r="E86" s="5"/>
      <c r="F86" s="5"/>
      <c r="G86" s="5"/>
      <c r="H86" s="5"/>
      <c r="I86" s="5">
        <v>0.1032</v>
      </c>
      <c r="J86" s="5">
        <v>20.3</v>
      </c>
      <c r="K86" s="5">
        <v>0</v>
      </c>
      <c r="L86" s="4" t="s">
        <v>49</v>
      </c>
      <c r="M86" s="14"/>
    </row>
    <row r="87" spans="1:13" ht="15.75" customHeight="1" x14ac:dyDescent="0.2">
      <c r="A87" s="4" t="s">
        <v>46</v>
      </c>
      <c r="B87" s="4" t="s">
        <v>44</v>
      </c>
      <c r="C87" s="5" t="s">
        <v>47</v>
      </c>
      <c r="D87" s="4">
        <v>2020</v>
      </c>
      <c r="E87" s="5"/>
      <c r="F87" s="5"/>
      <c r="G87" s="5"/>
      <c r="H87" s="5"/>
      <c r="I87" s="5">
        <v>0.1081</v>
      </c>
      <c r="J87" s="5">
        <v>21.25</v>
      </c>
      <c r="K87" s="5">
        <v>0</v>
      </c>
      <c r="L87" s="4" t="s">
        <v>50</v>
      </c>
      <c r="M87" s="14"/>
    </row>
    <row r="88" spans="1:13" ht="15.75" customHeight="1" x14ac:dyDescent="0.2">
      <c r="A88" s="4" t="s">
        <v>46</v>
      </c>
      <c r="B88" s="4" t="s">
        <v>44</v>
      </c>
      <c r="C88" s="5" t="s">
        <v>47</v>
      </c>
      <c r="D88" s="4">
        <v>2021</v>
      </c>
      <c r="E88" s="5"/>
      <c r="F88" s="5"/>
      <c r="G88" s="5"/>
      <c r="H88" s="5"/>
      <c r="I88" s="5">
        <v>0.113</v>
      </c>
      <c r="J88" s="5">
        <v>22.2</v>
      </c>
      <c r="K88" s="5">
        <v>0</v>
      </c>
      <c r="L88" s="4" t="s">
        <v>50</v>
      </c>
      <c r="M88" s="14"/>
    </row>
    <row r="89" spans="1:13" ht="15.75" customHeight="1" x14ac:dyDescent="0.2">
      <c r="A89" s="4" t="s">
        <v>46</v>
      </c>
      <c r="B89" s="4" t="s">
        <v>44</v>
      </c>
      <c r="C89" s="5" t="s">
        <v>47</v>
      </c>
      <c r="D89" s="4">
        <v>2022</v>
      </c>
      <c r="E89" s="5"/>
      <c r="F89" s="5"/>
      <c r="G89" s="5"/>
      <c r="H89" s="5"/>
      <c r="I89" s="5">
        <v>0.11700000000000001</v>
      </c>
      <c r="J89" s="5">
        <v>23.05</v>
      </c>
      <c r="K89" s="5">
        <v>0</v>
      </c>
      <c r="L89" s="4" t="s">
        <v>51</v>
      </c>
      <c r="M89" s="14"/>
    </row>
    <row r="90" spans="1:13" ht="15.75" customHeight="1" x14ac:dyDescent="0.2">
      <c r="A90" s="4" t="s">
        <v>46</v>
      </c>
      <c r="B90" s="4" t="s">
        <v>44</v>
      </c>
      <c r="C90" s="5" t="s">
        <v>47</v>
      </c>
      <c r="D90" s="4">
        <v>2023</v>
      </c>
      <c r="E90" s="5"/>
      <c r="F90" s="5"/>
      <c r="G90" s="5"/>
      <c r="H90" s="5"/>
      <c r="I90" s="5">
        <v>0.11940000000000001</v>
      </c>
      <c r="J90" s="5">
        <v>23.5</v>
      </c>
      <c r="K90" s="5">
        <v>0</v>
      </c>
      <c r="L90" s="4" t="s">
        <v>52</v>
      </c>
      <c r="M90" s="14"/>
    </row>
    <row r="91" spans="1:13" ht="15.75" customHeight="1" x14ac:dyDescent="0.2">
      <c r="A91" s="4" t="s">
        <v>46</v>
      </c>
      <c r="B91" s="4" t="s">
        <v>44</v>
      </c>
      <c r="C91" s="5" t="s">
        <v>47</v>
      </c>
      <c r="D91" s="4">
        <v>2024</v>
      </c>
      <c r="E91" s="5"/>
      <c r="F91" s="5"/>
      <c r="G91" s="5"/>
      <c r="H91" s="5"/>
      <c r="I91" s="5">
        <v>0.1227</v>
      </c>
      <c r="J91" s="5">
        <v>24.15</v>
      </c>
      <c r="K91" s="5">
        <v>0</v>
      </c>
      <c r="L91" s="4" t="s">
        <v>52</v>
      </c>
      <c r="M91" s="15"/>
    </row>
    <row r="92" spans="1:13" ht="15.75" customHeight="1" x14ac:dyDescent="0.2">
      <c r="A92" s="4" t="s">
        <v>53</v>
      </c>
      <c r="B92" s="4" t="s">
        <v>13</v>
      </c>
      <c r="C92" s="4" t="s">
        <v>54</v>
      </c>
      <c r="D92" s="4">
        <v>2005</v>
      </c>
      <c r="E92" s="5"/>
      <c r="F92" s="5"/>
      <c r="G92" s="5"/>
      <c r="H92" s="5"/>
      <c r="I92" s="5"/>
      <c r="J92" s="5"/>
      <c r="K92" s="5"/>
      <c r="L92" s="18"/>
    </row>
    <row r="93" spans="1:13" ht="15.75" customHeight="1" x14ac:dyDescent="0.2">
      <c r="A93" s="4" t="s">
        <v>53</v>
      </c>
      <c r="B93" s="4" t="s">
        <v>13</v>
      </c>
      <c r="C93" s="4" t="s">
        <v>54</v>
      </c>
      <c r="D93" s="4">
        <v>2006</v>
      </c>
      <c r="E93" s="5"/>
      <c r="F93" s="5"/>
      <c r="G93" s="5"/>
      <c r="H93" s="5"/>
      <c r="I93" s="5"/>
      <c r="J93" s="5"/>
      <c r="K93" s="5"/>
      <c r="L93" s="18"/>
    </row>
    <row r="94" spans="1:13" ht="15.75" customHeight="1" x14ac:dyDescent="0.2">
      <c r="A94" s="4" t="s">
        <v>53</v>
      </c>
      <c r="B94" s="4" t="s">
        <v>13</v>
      </c>
      <c r="C94" s="4" t="s">
        <v>54</v>
      </c>
      <c r="D94" s="4">
        <v>2007</v>
      </c>
      <c r="E94" s="5"/>
      <c r="F94" s="5"/>
      <c r="G94" s="5"/>
      <c r="H94" s="5"/>
      <c r="I94" s="5"/>
      <c r="J94" s="5"/>
      <c r="K94" s="5"/>
      <c r="L94" s="18"/>
    </row>
    <row r="95" spans="1:13" ht="15.75" customHeight="1" x14ac:dyDescent="0.2">
      <c r="A95" s="4" t="s">
        <v>53</v>
      </c>
      <c r="B95" s="4" t="s">
        <v>13</v>
      </c>
      <c r="C95" s="4" t="s">
        <v>54</v>
      </c>
      <c r="D95" s="4">
        <v>2008</v>
      </c>
      <c r="E95" s="5"/>
      <c r="F95" s="5"/>
      <c r="G95" s="5"/>
      <c r="H95" s="5"/>
      <c r="I95" s="10" t="e">
        <v>#N/A</v>
      </c>
      <c r="J95" s="5"/>
      <c r="K95" s="5"/>
      <c r="L95" s="18"/>
    </row>
    <row r="96" spans="1:13" ht="15.75" customHeight="1" x14ac:dyDescent="0.2">
      <c r="A96" s="4" t="s">
        <v>53</v>
      </c>
      <c r="B96" s="4" t="s">
        <v>13</v>
      </c>
      <c r="C96" s="4" t="s">
        <v>54</v>
      </c>
      <c r="D96" s="4">
        <v>2009</v>
      </c>
      <c r="E96" s="5"/>
      <c r="F96" s="5"/>
      <c r="G96" s="5"/>
      <c r="H96" s="5"/>
      <c r="I96" s="10" t="e">
        <v>#N/A</v>
      </c>
      <c r="J96" s="5"/>
      <c r="K96" s="5"/>
      <c r="L96" s="18"/>
    </row>
    <row r="97" spans="1:12" ht="15.75" customHeight="1" x14ac:dyDescent="0.2">
      <c r="A97" s="4" t="s">
        <v>53</v>
      </c>
      <c r="B97" s="4" t="s">
        <v>13</v>
      </c>
      <c r="C97" s="4" t="s">
        <v>54</v>
      </c>
      <c r="D97" s="4">
        <v>2010</v>
      </c>
      <c r="E97" s="13"/>
      <c r="F97" s="13"/>
      <c r="G97" s="13"/>
      <c r="H97" s="13"/>
      <c r="I97" s="13">
        <v>6.0260000000000001E-2</v>
      </c>
      <c r="J97" s="13">
        <v>0</v>
      </c>
      <c r="K97" s="13">
        <f t="shared" ref="K97:K102" si="11">30*0.17</f>
        <v>5.1000000000000005</v>
      </c>
      <c r="L97" s="18"/>
    </row>
    <row r="98" spans="1:12" ht="15.75" customHeight="1" x14ac:dyDescent="0.2">
      <c r="A98" s="4" t="s">
        <v>53</v>
      </c>
      <c r="B98" s="4" t="s">
        <v>13</v>
      </c>
      <c r="C98" s="4" t="s">
        <v>54</v>
      </c>
      <c r="D98" s="4">
        <v>2011</v>
      </c>
      <c r="E98" s="13"/>
      <c r="F98" s="13"/>
      <c r="G98" s="13"/>
      <c r="H98" s="13"/>
      <c r="I98" s="13">
        <v>7.3870000000000005E-2</v>
      </c>
      <c r="J98" s="13">
        <v>0</v>
      </c>
      <c r="K98" s="13">
        <f t="shared" si="11"/>
        <v>5.1000000000000005</v>
      </c>
      <c r="L98" s="18"/>
    </row>
    <row r="99" spans="1:12" ht="15.75" customHeight="1" x14ac:dyDescent="0.2">
      <c r="A99" s="4" t="s">
        <v>53</v>
      </c>
      <c r="B99" s="4" t="s">
        <v>13</v>
      </c>
      <c r="C99" s="4" t="s">
        <v>54</v>
      </c>
      <c r="D99" s="4">
        <v>2012</v>
      </c>
      <c r="E99" s="13"/>
      <c r="F99" s="13"/>
      <c r="G99" s="13"/>
      <c r="H99" s="13"/>
      <c r="I99" s="13">
        <v>8.0329999999999999E-2</v>
      </c>
      <c r="J99" s="13">
        <v>0</v>
      </c>
      <c r="K99" s="13">
        <f t="shared" si="11"/>
        <v>5.1000000000000005</v>
      </c>
      <c r="L99" s="18"/>
    </row>
    <row r="100" spans="1:12" ht="15.75" customHeight="1" x14ac:dyDescent="0.2">
      <c r="A100" s="4" t="s">
        <v>53</v>
      </c>
      <c r="B100" s="4" t="s">
        <v>13</v>
      </c>
      <c r="C100" s="4" t="s">
        <v>54</v>
      </c>
      <c r="D100" s="4">
        <v>2013</v>
      </c>
      <c r="E100" s="13"/>
      <c r="F100" s="13"/>
      <c r="G100" s="13"/>
      <c r="H100" s="13"/>
      <c r="I100" s="13">
        <v>7.4569999999999997E-2</v>
      </c>
      <c r="J100" s="13">
        <v>0</v>
      </c>
      <c r="K100" s="13">
        <f t="shared" si="11"/>
        <v>5.1000000000000005</v>
      </c>
      <c r="L100" s="18"/>
    </row>
    <row r="101" spans="1:12" ht="15.75" customHeight="1" x14ac:dyDescent="0.2">
      <c r="A101" s="4" t="s">
        <v>53</v>
      </c>
      <c r="B101" s="4" t="s">
        <v>13</v>
      </c>
      <c r="C101" s="4" t="s">
        <v>54</v>
      </c>
      <c r="D101" s="4">
        <v>2014</v>
      </c>
      <c r="E101" s="13"/>
      <c r="F101" s="13"/>
      <c r="G101" s="13"/>
      <c r="H101" s="13"/>
      <c r="I101" s="13">
        <v>8.1089999999999995E-2</v>
      </c>
      <c r="J101" s="13">
        <v>0</v>
      </c>
      <c r="K101" s="13">
        <f t="shared" si="11"/>
        <v>5.1000000000000005</v>
      </c>
      <c r="L101" s="18"/>
    </row>
    <row r="102" spans="1:12" ht="15.75" customHeight="1" x14ac:dyDescent="0.2">
      <c r="A102" s="4" t="s">
        <v>53</v>
      </c>
      <c r="B102" s="4" t="s">
        <v>13</v>
      </c>
      <c r="C102" s="4" t="s">
        <v>54</v>
      </c>
      <c r="D102" s="4">
        <v>2015</v>
      </c>
      <c r="E102" s="13"/>
      <c r="F102" s="13"/>
      <c r="G102" s="13"/>
      <c r="H102" s="13"/>
      <c r="I102" s="13">
        <v>0.16844999999999999</v>
      </c>
      <c r="J102" s="13">
        <v>0</v>
      </c>
      <c r="K102" s="13">
        <f t="shared" si="11"/>
        <v>5.1000000000000005</v>
      </c>
      <c r="L102" s="18"/>
    </row>
    <row r="103" spans="1:12" ht="15.75" customHeight="1" x14ac:dyDescent="0.2">
      <c r="A103" s="4" t="s">
        <v>53</v>
      </c>
      <c r="B103" s="4" t="s">
        <v>13</v>
      </c>
      <c r="C103" s="4" t="s">
        <v>54</v>
      </c>
      <c r="D103" s="4">
        <v>2016</v>
      </c>
      <c r="E103" s="13"/>
      <c r="F103" s="13"/>
      <c r="G103" s="13"/>
      <c r="H103" s="13"/>
      <c r="I103" s="13">
        <v>0.17541999999999999</v>
      </c>
      <c r="J103" s="13">
        <v>0</v>
      </c>
      <c r="K103" s="13">
        <f t="shared" ref="K103:K106" si="12">30*0.329</f>
        <v>9.870000000000001</v>
      </c>
      <c r="L103" s="18"/>
    </row>
    <row r="104" spans="1:12" ht="15.75" customHeight="1" x14ac:dyDescent="0.2">
      <c r="A104" s="4" t="s">
        <v>53</v>
      </c>
      <c r="B104" s="4" t="s">
        <v>13</v>
      </c>
      <c r="C104" s="4" t="s">
        <v>54</v>
      </c>
      <c r="D104" s="4">
        <v>2017</v>
      </c>
      <c r="E104" s="13"/>
      <c r="F104" s="13"/>
      <c r="G104" s="13"/>
      <c r="H104" s="13"/>
      <c r="I104" s="13">
        <v>0.18867</v>
      </c>
      <c r="J104" s="13">
        <v>0</v>
      </c>
      <c r="K104" s="13">
        <f t="shared" si="12"/>
        <v>9.870000000000001</v>
      </c>
      <c r="L104" s="18"/>
    </row>
    <row r="105" spans="1:12" ht="15.75" customHeight="1" x14ac:dyDescent="0.2">
      <c r="A105" s="4" t="s">
        <v>53</v>
      </c>
      <c r="B105" s="4" t="s">
        <v>13</v>
      </c>
      <c r="C105" s="4" t="s">
        <v>54</v>
      </c>
      <c r="D105" s="4">
        <v>2018</v>
      </c>
      <c r="E105" s="13"/>
      <c r="F105" s="13"/>
      <c r="G105" s="13"/>
      <c r="H105" s="13"/>
      <c r="I105" s="13">
        <v>0.2303</v>
      </c>
      <c r="J105" s="13">
        <v>0</v>
      </c>
      <c r="K105" s="13">
        <f t="shared" si="12"/>
        <v>9.870000000000001</v>
      </c>
      <c r="L105" s="18"/>
    </row>
    <row r="106" spans="1:12" ht="15.75" customHeight="1" x14ac:dyDescent="0.2">
      <c r="A106" s="4" t="s">
        <v>53</v>
      </c>
      <c r="B106" s="4" t="s">
        <v>13</v>
      </c>
      <c r="C106" s="4" t="s">
        <v>54</v>
      </c>
      <c r="D106" s="4">
        <v>2019</v>
      </c>
      <c r="E106" s="13"/>
      <c r="F106" s="13"/>
      <c r="G106" s="13"/>
      <c r="H106" s="13"/>
      <c r="I106" s="13">
        <v>0.22378999999999999</v>
      </c>
      <c r="J106" s="13">
        <v>0</v>
      </c>
      <c r="K106" s="13">
        <f t="shared" si="12"/>
        <v>9.870000000000001</v>
      </c>
      <c r="L106" s="18"/>
    </row>
    <row r="107" spans="1:12" ht="15.75" customHeight="1" x14ac:dyDescent="0.2">
      <c r="A107" s="4" t="s">
        <v>53</v>
      </c>
      <c r="B107" s="4" t="s">
        <v>13</v>
      </c>
      <c r="C107" s="4" t="s">
        <v>54</v>
      </c>
      <c r="D107" s="4">
        <v>2020</v>
      </c>
      <c r="E107" s="13"/>
      <c r="F107" s="13"/>
      <c r="G107" s="13"/>
      <c r="H107" s="13"/>
      <c r="I107" s="13">
        <v>0.27472999999999997</v>
      </c>
      <c r="J107" s="13">
        <v>0</v>
      </c>
      <c r="K107" s="13">
        <f t="shared" ref="K107:K108" si="13">30*0.338</f>
        <v>10.14</v>
      </c>
      <c r="L107" s="18"/>
    </row>
    <row r="108" spans="1:12" ht="15.75" customHeight="1" x14ac:dyDescent="0.2">
      <c r="A108" s="4" t="s">
        <v>53</v>
      </c>
      <c r="B108" s="4" t="s">
        <v>13</v>
      </c>
      <c r="C108" s="4" t="s">
        <v>54</v>
      </c>
      <c r="D108" s="4">
        <v>2021</v>
      </c>
      <c r="E108" s="13"/>
      <c r="F108" s="13"/>
      <c r="G108" s="13"/>
      <c r="H108" s="13"/>
      <c r="I108" s="13">
        <v>0.28237000000000001</v>
      </c>
      <c r="J108" s="13">
        <v>0</v>
      </c>
      <c r="K108" s="13">
        <f t="shared" si="13"/>
        <v>10.14</v>
      </c>
      <c r="L108" s="18"/>
    </row>
    <row r="109" spans="1:12" ht="15.75" customHeight="1" x14ac:dyDescent="0.2">
      <c r="A109" s="4" t="s">
        <v>53</v>
      </c>
      <c r="B109" s="4" t="s">
        <v>13</v>
      </c>
      <c r="C109" s="4" t="s">
        <v>54</v>
      </c>
      <c r="D109" s="4">
        <v>2022</v>
      </c>
      <c r="E109" s="13"/>
      <c r="F109" s="13"/>
      <c r="G109" s="13"/>
      <c r="H109" s="13"/>
      <c r="I109" s="13">
        <v>0.39206000000000002</v>
      </c>
      <c r="J109" s="13">
        <v>0</v>
      </c>
      <c r="K109" s="13">
        <f>30*0.35</f>
        <v>10.5</v>
      </c>
      <c r="L109" s="18"/>
    </row>
    <row r="110" spans="1:12" ht="15.75" customHeight="1" x14ac:dyDescent="0.2">
      <c r="A110" s="4" t="s">
        <v>53</v>
      </c>
      <c r="B110" s="4" t="s">
        <v>13</v>
      </c>
      <c r="C110" s="4" t="s">
        <v>54</v>
      </c>
      <c r="D110" s="4">
        <v>2023</v>
      </c>
      <c r="E110" s="13"/>
      <c r="F110" s="13"/>
      <c r="G110" s="13"/>
      <c r="H110" s="13"/>
      <c r="I110" s="13">
        <v>0.45245000000000002</v>
      </c>
      <c r="J110" s="13">
        <v>0</v>
      </c>
      <c r="K110" s="13">
        <f>30*0.38</f>
        <v>11.4</v>
      </c>
      <c r="L110" s="18"/>
    </row>
    <row r="111" spans="1:12" ht="15.75" customHeight="1" x14ac:dyDescent="0.2">
      <c r="A111" s="4" t="s">
        <v>53</v>
      </c>
      <c r="B111" s="4" t="s">
        <v>13</v>
      </c>
      <c r="C111" s="4" t="s">
        <v>54</v>
      </c>
      <c r="D111" s="4">
        <v>2024</v>
      </c>
      <c r="E111" s="13"/>
      <c r="F111" s="13"/>
      <c r="G111" s="13"/>
      <c r="H111" s="13"/>
      <c r="I111" s="13">
        <v>0.38385000000000002</v>
      </c>
      <c r="J111" s="13">
        <v>0</v>
      </c>
      <c r="K111" s="13">
        <f>30*0.392</f>
        <v>11.76</v>
      </c>
      <c r="L111" s="18"/>
    </row>
    <row r="112" spans="1:12" ht="15.75" customHeight="1" x14ac:dyDescent="0.2"/>
    <row r="113" spans="1:7" ht="15.75" customHeight="1" thickBot="1" x14ac:dyDescent="0.25"/>
    <row r="114" spans="1:7" ht="87" customHeight="1" thickBot="1" x14ac:dyDescent="0.25">
      <c r="A114" s="27" t="s">
        <v>55</v>
      </c>
      <c r="B114" s="28" t="s">
        <v>56</v>
      </c>
      <c r="C114" s="28" t="s">
        <v>57</v>
      </c>
      <c r="D114" s="28" t="s">
        <v>58</v>
      </c>
      <c r="E114" s="28" t="s">
        <v>59</v>
      </c>
      <c r="F114" s="28"/>
      <c r="G114" s="29" t="s">
        <v>291</v>
      </c>
    </row>
    <row r="115" spans="1:7" ht="15.75" customHeight="1" x14ac:dyDescent="0.2"/>
    <row r="116" spans="1:7" ht="15.75" customHeight="1" x14ac:dyDescent="0.2">
      <c r="A116" s="80" t="s">
        <v>60</v>
      </c>
      <c r="B116" s="81"/>
      <c r="C116" s="81"/>
      <c r="D116" s="82" t="s">
        <v>61</v>
      </c>
    </row>
    <row r="117" spans="1:7" ht="15.75" customHeight="1" x14ac:dyDescent="0.2"/>
    <row r="118" spans="1:7" ht="15.75" customHeight="1" x14ac:dyDescent="0.2"/>
    <row r="119" spans="1:7" ht="15.75" customHeight="1" x14ac:dyDescent="0.2"/>
    <row r="120" spans="1:7" ht="15.75" customHeight="1" x14ac:dyDescent="0.2"/>
    <row r="121" spans="1:7" ht="15.75" customHeight="1" x14ac:dyDescent="0.2"/>
    <row r="122" spans="1:7" ht="15.75" customHeight="1" x14ac:dyDescent="0.2"/>
    <row r="123" spans="1:7" ht="15.75" customHeight="1" x14ac:dyDescent="0.2"/>
    <row r="124" spans="1:7" ht="15.75" customHeight="1" x14ac:dyDescent="0.2"/>
    <row r="125" spans="1:7" ht="15.75" customHeight="1" x14ac:dyDescent="0.2"/>
    <row r="126" spans="1:7" ht="15.75" customHeight="1" x14ac:dyDescent="0.2"/>
    <row r="127" spans="1:7" ht="15.75" customHeight="1" x14ac:dyDescent="0.2"/>
    <row r="128" spans="1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</sheetData>
  <autoFilter ref="A1:L111" xr:uid="{00000000-0009-0000-0000-000000000000}"/>
  <hyperlinks>
    <hyperlink ref="L20" r:id="rId1" xr:uid="{445AEB6C-CC20-E747-99BF-0D6B6D69C8E6}"/>
    <hyperlink ref="L21" r:id="rId2" xr:uid="{79586647-0853-F749-A5F4-897CFD41C9F0}"/>
    <hyperlink ref="L22" r:id="rId3" xr:uid="{2EDAFEA6-0B81-DC44-8294-D89604155B19}"/>
    <hyperlink ref="L23" r:id="rId4" xr:uid="{A7B7BB57-E10D-4E48-997B-415D27591537}"/>
    <hyperlink ref="L24" r:id="rId5" xr:uid="{AA148458-ADD6-2C46-800A-FDB7070A08F1}"/>
    <hyperlink ref="L25" r:id="rId6" xr:uid="{EEB1DF08-03CF-5A45-BEE4-80CABDD0649C}"/>
    <hyperlink ref="L26" r:id="rId7" display="https://www.mcecleanenergy.org/wp-content/uploads/2019/12/MCE-Board-Meeting-Packet-June_2019.pdf As of July 1, 2019" xr:uid="{D11B2C1C-6A97-FE4B-87D4-F1E02BF0157A}"/>
    <hyperlink ref="L27" r:id="rId8" display="Assumption based on p. 82 saying &quot;MCE has not increased rates since 2019&quot; in https://www.mcecleanenergy.org/wp-content/uploads/2021/12/MCE-Board-Meeting-Packet-December_2021-1.pdf" xr:uid="{B0482E45-1D7C-404E-A539-AD590558E814}"/>
    <hyperlink ref="L31" r:id="rId9" xr:uid="{D3DE3B6B-05D1-0045-BD80-9D74344E0475}"/>
    <hyperlink ref="L30" r:id="rId10" xr:uid="{5A1C9B1E-D376-1648-BB23-9785870B7852}"/>
    <hyperlink ref="L29" r:id="rId11" display="https://www.mcecleanenergy.org/wp-content/uploads/2022/02/MCE-Residential-Rates-Updated_03012022.pdf" xr:uid="{98328B70-B64F-A84E-9D40-A00D56CE2EC6}"/>
    <hyperlink ref="L10" r:id="rId12" xr:uid="{4EDCF7B8-5BF1-D147-A2D0-77525AACC53C}"/>
    <hyperlink ref="L19" r:id="rId13" xr:uid="{FAA66C71-3AF5-8F41-A8DC-2D3105A838A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CDA0-934D-D249-B6EB-E88AAC5E541B}">
  <dimension ref="A1:J983"/>
  <sheetViews>
    <sheetView tabSelected="1" zoomScale="125" workbookViewId="0">
      <pane ySplit="1" topLeftCell="A55" activePane="bottomLeft" state="frozen"/>
      <selection activeCell="A144" sqref="A144"/>
      <selection pane="bottomLeft" activeCell="H65" sqref="H65"/>
    </sheetView>
  </sheetViews>
  <sheetFormatPr baseColWidth="10" defaultColWidth="11.1640625" defaultRowHeight="15" customHeight="1" x14ac:dyDescent="0.2"/>
  <cols>
    <col min="1" max="3" width="10.5" style="3" customWidth="1"/>
    <col min="4" max="4" width="14" style="3" customWidth="1"/>
    <col min="5" max="5" width="10.5" style="3" customWidth="1"/>
    <col min="6" max="6" width="12" style="3" customWidth="1"/>
    <col min="7" max="7" width="11.83203125" style="3" customWidth="1"/>
    <col min="8" max="8" width="14.5" style="3" customWidth="1"/>
    <col min="9" max="9" width="10.5" style="3" customWidth="1"/>
    <col min="10" max="10" width="114.6640625" style="3" customWidth="1"/>
    <col min="11" max="11" width="10.5" style="30" customWidth="1"/>
    <col min="12" max="16384" width="11.1640625" style="30"/>
  </cols>
  <sheetData>
    <row r="1" spans="1:10" ht="115" customHeight="1" x14ac:dyDescent="0.2">
      <c r="A1" s="24" t="s">
        <v>0</v>
      </c>
      <c r="B1" s="25" t="s">
        <v>2</v>
      </c>
      <c r="C1" s="24" t="s">
        <v>3</v>
      </c>
      <c r="D1" s="26" t="s">
        <v>4</v>
      </c>
      <c r="E1" s="26" t="s">
        <v>5</v>
      </c>
      <c r="F1" s="26" t="s">
        <v>62</v>
      </c>
      <c r="G1" s="26" t="s">
        <v>6</v>
      </c>
      <c r="H1" s="26" t="s">
        <v>63</v>
      </c>
      <c r="I1" s="25" t="s">
        <v>64</v>
      </c>
      <c r="J1" s="31" t="s">
        <v>65</v>
      </c>
    </row>
    <row r="2" spans="1:10" ht="15.75" customHeight="1" x14ac:dyDescent="0.2">
      <c r="A2" s="18" t="s">
        <v>12</v>
      </c>
      <c r="B2" s="18" t="s">
        <v>66</v>
      </c>
      <c r="C2" s="18">
        <v>2010</v>
      </c>
      <c r="D2" s="5"/>
      <c r="E2" s="5"/>
      <c r="F2" s="5">
        <v>0</v>
      </c>
      <c r="G2" s="5"/>
      <c r="H2" s="5">
        <v>0.14543</v>
      </c>
      <c r="I2" s="19">
        <f>30*0.29569</f>
        <v>8.8706999999999994</v>
      </c>
      <c r="J2" s="32" t="s">
        <v>67</v>
      </c>
    </row>
    <row r="3" spans="1:10" ht="15.75" customHeight="1" x14ac:dyDescent="0.2">
      <c r="A3" s="18" t="s">
        <v>12</v>
      </c>
      <c r="B3" s="18" t="s">
        <v>66</v>
      </c>
      <c r="C3" s="18">
        <v>2011</v>
      </c>
      <c r="D3" s="5"/>
      <c r="E3" s="5"/>
      <c r="F3" s="5">
        <v>0</v>
      </c>
      <c r="G3" s="5"/>
      <c r="H3" s="5">
        <v>0.14574000000000001</v>
      </c>
      <c r="I3" s="19">
        <f>30*0.29569</f>
        <v>8.8706999999999994</v>
      </c>
      <c r="J3" s="32" t="s">
        <v>67</v>
      </c>
    </row>
    <row r="4" spans="1:10" ht="15.75" customHeight="1" x14ac:dyDescent="0.2">
      <c r="A4" s="18" t="s">
        <v>12</v>
      </c>
      <c r="B4" s="18" t="s">
        <v>66</v>
      </c>
      <c r="C4" s="18">
        <v>2012</v>
      </c>
      <c r="D4" s="5">
        <v>5.552E-2</v>
      </c>
      <c r="E4" s="5">
        <f t="shared" ref="E4:E13" si="0">H4-D4-F4</f>
        <v>8.8780000000000012E-2</v>
      </c>
      <c r="F4" s="5">
        <v>0</v>
      </c>
      <c r="G4" s="5"/>
      <c r="H4" s="5">
        <v>0.14430000000000001</v>
      </c>
      <c r="I4" s="19">
        <f>30*0.3285</f>
        <v>9.8550000000000004</v>
      </c>
      <c r="J4" s="32" t="s">
        <v>67</v>
      </c>
    </row>
    <row r="5" spans="1:10" ht="15.75" customHeight="1" x14ac:dyDescent="0.2">
      <c r="A5" s="18" t="s">
        <v>12</v>
      </c>
      <c r="B5" s="18" t="s">
        <v>66</v>
      </c>
      <c r="C5" s="18">
        <v>2013</v>
      </c>
      <c r="D5" s="5">
        <v>6.6140000000000004E-2</v>
      </c>
      <c r="E5" s="5">
        <f t="shared" si="0"/>
        <v>8.0570000000000003E-2</v>
      </c>
      <c r="F5" s="5">
        <v>0</v>
      </c>
      <c r="G5" s="5"/>
      <c r="H5" s="5">
        <v>0.14671000000000001</v>
      </c>
      <c r="I5" s="19">
        <f t="shared" ref="I5:I16" si="1">30*0.32854</f>
        <v>9.8561999999999994</v>
      </c>
      <c r="J5" s="32" t="s">
        <v>67</v>
      </c>
    </row>
    <row r="6" spans="1:10" ht="15.75" customHeight="1" x14ac:dyDescent="0.2">
      <c r="A6" s="18" t="s">
        <v>12</v>
      </c>
      <c r="B6" s="18" t="s">
        <v>66</v>
      </c>
      <c r="C6" s="18">
        <v>2014</v>
      </c>
      <c r="D6" s="5">
        <v>7.1340000000000001E-2</v>
      </c>
      <c r="E6" s="5">
        <f t="shared" si="0"/>
        <v>7.8799999999999995E-2</v>
      </c>
      <c r="F6" s="5">
        <v>0</v>
      </c>
      <c r="G6" s="5"/>
      <c r="H6" s="5">
        <v>0.15014</v>
      </c>
      <c r="I6" s="19">
        <f t="shared" si="1"/>
        <v>9.8561999999999994</v>
      </c>
      <c r="J6" s="32" t="s">
        <v>67</v>
      </c>
    </row>
    <row r="7" spans="1:10" ht="15.75" customHeight="1" x14ac:dyDescent="0.2">
      <c r="A7" s="18" t="s">
        <v>12</v>
      </c>
      <c r="B7" s="18" t="s">
        <v>66</v>
      </c>
      <c r="C7" s="18">
        <v>2015</v>
      </c>
      <c r="D7" s="5">
        <v>7.8170000000000003E-2</v>
      </c>
      <c r="E7" s="5">
        <f t="shared" si="0"/>
        <v>8.5099999999999995E-2</v>
      </c>
      <c r="F7" s="5">
        <v>0</v>
      </c>
      <c r="G7" s="5"/>
      <c r="H7" s="5">
        <v>0.16327</v>
      </c>
      <c r="I7" s="19">
        <f t="shared" si="1"/>
        <v>9.8561999999999994</v>
      </c>
      <c r="J7" s="32" t="s">
        <v>67</v>
      </c>
    </row>
    <row r="8" spans="1:10" ht="15.75" customHeight="1" x14ac:dyDescent="0.2">
      <c r="A8" s="18" t="s">
        <v>12</v>
      </c>
      <c r="B8" s="18" t="s">
        <v>66</v>
      </c>
      <c r="C8" s="18">
        <v>2016</v>
      </c>
      <c r="D8" s="5">
        <v>7.843E-2</v>
      </c>
      <c r="E8" s="5">
        <f t="shared" si="0"/>
        <v>0.10492000000000001</v>
      </c>
      <c r="F8" s="5">
        <v>0</v>
      </c>
      <c r="G8" s="5"/>
      <c r="H8" s="5">
        <v>0.18335000000000001</v>
      </c>
      <c r="I8" s="19">
        <f t="shared" si="1"/>
        <v>9.8561999999999994</v>
      </c>
      <c r="J8" s="32" t="s">
        <v>67</v>
      </c>
    </row>
    <row r="9" spans="1:10" ht="15.75" customHeight="1" x14ac:dyDescent="0.2">
      <c r="A9" s="18" t="s">
        <v>12</v>
      </c>
      <c r="B9" s="18" t="s">
        <v>66</v>
      </c>
      <c r="C9" s="18">
        <v>2017</v>
      </c>
      <c r="D9" s="5">
        <v>7.9240000000000005E-2</v>
      </c>
      <c r="E9" s="5">
        <f t="shared" si="0"/>
        <v>0.10991000000000001</v>
      </c>
      <c r="F9" s="5">
        <v>0</v>
      </c>
      <c r="G9" s="5"/>
      <c r="H9" s="5">
        <v>0.18915000000000001</v>
      </c>
      <c r="I9" s="19">
        <f t="shared" si="1"/>
        <v>9.8561999999999994</v>
      </c>
      <c r="J9" s="32" t="s">
        <v>67</v>
      </c>
    </row>
    <row r="10" spans="1:10" ht="15.75" customHeight="1" x14ac:dyDescent="0.2">
      <c r="A10" s="18" t="s">
        <v>12</v>
      </c>
      <c r="B10" s="18" t="s">
        <v>66</v>
      </c>
      <c r="C10" s="18">
        <v>2018</v>
      </c>
      <c r="D10" s="5">
        <v>8.6480000000000001E-2</v>
      </c>
      <c r="E10" s="5">
        <f t="shared" si="0"/>
        <v>0.11022000000000001</v>
      </c>
      <c r="F10" s="5">
        <v>0</v>
      </c>
      <c r="G10" s="5"/>
      <c r="H10" s="5">
        <v>0.19670000000000001</v>
      </c>
      <c r="I10" s="19">
        <f t="shared" si="1"/>
        <v>9.8561999999999994</v>
      </c>
      <c r="J10" s="32" t="s">
        <v>67</v>
      </c>
    </row>
    <row r="11" spans="1:10" ht="15.75" customHeight="1" x14ac:dyDescent="0.2">
      <c r="A11" s="18" t="s">
        <v>12</v>
      </c>
      <c r="B11" s="18" t="s">
        <v>66</v>
      </c>
      <c r="C11" s="18">
        <v>2019</v>
      </c>
      <c r="D11" s="5">
        <v>8.6480000000000001E-2</v>
      </c>
      <c r="E11" s="5">
        <f t="shared" si="0"/>
        <v>0.11077000000000001</v>
      </c>
      <c r="F11" s="5">
        <v>0</v>
      </c>
      <c r="G11" s="5"/>
      <c r="H11" s="5">
        <v>0.19725000000000001</v>
      </c>
      <c r="I11" s="19">
        <f t="shared" si="1"/>
        <v>9.8561999999999994</v>
      </c>
      <c r="J11" s="32" t="s">
        <v>67</v>
      </c>
    </row>
    <row r="12" spans="1:10" ht="15.75" customHeight="1" x14ac:dyDescent="0.2">
      <c r="A12" s="18" t="s">
        <v>12</v>
      </c>
      <c r="B12" s="18" t="s">
        <v>66</v>
      </c>
      <c r="C12" s="18">
        <v>2020</v>
      </c>
      <c r="D12" s="5">
        <v>9.3229999999999993E-2</v>
      </c>
      <c r="E12" s="5">
        <f t="shared" si="0"/>
        <v>0.12148000000000002</v>
      </c>
      <c r="F12" s="5">
        <v>0</v>
      </c>
      <c r="G12" s="5"/>
      <c r="H12" s="5">
        <v>0.21471000000000001</v>
      </c>
      <c r="I12" s="19">
        <f t="shared" si="1"/>
        <v>9.8561999999999994</v>
      </c>
      <c r="J12" s="32" t="s">
        <v>67</v>
      </c>
    </row>
    <row r="13" spans="1:10" ht="15.75" customHeight="1" x14ac:dyDescent="0.2">
      <c r="A13" s="18" t="s">
        <v>12</v>
      </c>
      <c r="B13" s="18" t="s">
        <v>66</v>
      </c>
      <c r="C13" s="18">
        <v>2021</v>
      </c>
      <c r="D13" s="5">
        <v>8.6629999999999999E-2</v>
      </c>
      <c r="E13" s="5">
        <f t="shared" si="0"/>
        <v>0.13016</v>
      </c>
      <c r="F13" s="5">
        <v>0</v>
      </c>
      <c r="G13" s="5"/>
      <c r="H13" s="5">
        <v>0.21679000000000001</v>
      </c>
      <c r="I13" s="19">
        <f t="shared" si="1"/>
        <v>9.8561999999999994</v>
      </c>
      <c r="J13" s="32" t="s">
        <v>67</v>
      </c>
    </row>
    <row r="14" spans="1:10" ht="15.75" customHeight="1" x14ac:dyDescent="0.2">
      <c r="A14" s="18" t="s">
        <v>12</v>
      </c>
      <c r="B14" s="18" t="s">
        <v>66</v>
      </c>
      <c r="C14" s="18">
        <v>2022</v>
      </c>
      <c r="D14" s="5">
        <v>8.8330000000000006E-2</v>
      </c>
      <c r="E14" s="5">
        <f>H14-D14-F14</f>
        <v>0.16147</v>
      </c>
      <c r="F14" s="5">
        <v>0</v>
      </c>
      <c r="G14" s="5"/>
      <c r="H14" s="5">
        <v>0.24979999999999999</v>
      </c>
      <c r="I14" s="19">
        <f t="shared" si="1"/>
        <v>9.8561999999999994</v>
      </c>
      <c r="J14" s="32" t="s">
        <v>67</v>
      </c>
    </row>
    <row r="15" spans="1:10" ht="15.75" customHeight="1" x14ac:dyDescent="0.2">
      <c r="A15" s="18" t="s">
        <v>12</v>
      </c>
      <c r="B15" s="18" t="s">
        <v>66</v>
      </c>
      <c r="C15" s="18">
        <v>2023</v>
      </c>
      <c r="D15" s="5">
        <v>0.11515</v>
      </c>
      <c r="E15" s="5">
        <f>H15-D15-F15</f>
        <v>0.16539999999999999</v>
      </c>
      <c r="F15" s="5">
        <v>1.252E-2</v>
      </c>
      <c r="G15" s="5"/>
      <c r="H15" s="5">
        <v>0.29307</v>
      </c>
      <c r="I15" s="19">
        <f t="shared" si="1"/>
        <v>9.8561999999999994</v>
      </c>
      <c r="J15" s="32" t="s">
        <v>67</v>
      </c>
    </row>
    <row r="16" spans="1:10" ht="15.75" customHeight="1" x14ac:dyDescent="0.2">
      <c r="A16" s="18" t="s">
        <v>12</v>
      </c>
      <c r="B16" s="18" t="s">
        <v>66</v>
      </c>
      <c r="C16" s="18">
        <v>2024</v>
      </c>
      <c r="D16" s="5">
        <v>0.13997999999999999</v>
      </c>
      <c r="E16" s="5">
        <f>H16-D16-F16</f>
        <v>0.25728000000000001</v>
      </c>
      <c r="F16" s="5">
        <v>7.2100000000000003E-3</v>
      </c>
      <c r="G16" s="5"/>
      <c r="H16" s="5">
        <v>0.40447</v>
      </c>
      <c r="I16" s="19">
        <f t="shared" si="1"/>
        <v>9.8561999999999994</v>
      </c>
      <c r="J16" s="32" t="s">
        <v>67</v>
      </c>
    </row>
    <row r="17" spans="1:10" ht="15.75" customHeight="1" x14ac:dyDescent="0.2">
      <c r="A17" s="20" t="s">
        <v>39</v>
      </c>
      <c r="B17" s="20"/>
      <c r="C17" s="20">
        <v>2010</v>
      </c>
      <c r="D17" s="20"/>
      <c r="E17" s="20"/>
      <c r="F17" s="20"/>
      <c r="G17" s="34"/>
      <c r="H17" s="21" t="e">
        <v>#N/A</v>
      </c>
      <c r="I17" s="21"/>
      <c r="J17" s="33"/>
    </row>
    <row r="18" spans="1:10" ht="15.75" customHeight="1" x14ac:dyDescent="0.2">
      <c r="A18" s="20" t="s">
        <v>39</v>
      </c>
      <c r="B18" s="20"/>
      <c r="C18" s="20">
        <v>2011</v>
      </c>
      <c r="D18" s="20"/>
      <c r="E18" s="20"/>
      <c r="F18" s="20"/>
      <c r="G18" s="34"/>
      <c r="H18" s="21" t="e">
        <v>#N/A</v>
      </c>
      <c r="I18" s="21"/>
      <c r="J18" s="33"/>
    </row>
    <row r="19" spans="1:10" ht="15.75" customHeight="1" x14ac:dyDescent="0.2">
      <c r="A19" s="20" t="s">
        <v>39</v>
      </c>
      <c r="B19" s="20"/>
      <c r="C19" s="20">
        <v>2012</v>
      </c>
      <c r="D19" s="20"/>
      <c r="E19" s="20"/>
      <c r="F19" s="20"/>
      <c r="G19" s="34"/>
      <c r="H19" s="21" t="e">
        <v>#N/A</v>
      </c>
      <c r="I19" s="21"/>
      <c r="J19" s="33"/>
    </row>
    <row r="20" spans="1:10" ht="15.75" customHeight="1" x14ac:dyDescent="0.2">
      <c r="A20" s="18" t="s">
        <v>39</v>
      </c>
      <c r="B20" s="18" t="s">
        <v>68</v>
      </c>
      <c r="C20" s="18">
        <v>2013</v>
      </c>
      <c r="D20" s="18"/>
      <c r="E20" s="18"/>
      <c r="F20" s="18"/>
      <c r="G20" s="5"/>
      <c r="H20" s="23">
        <f>0.06867+0.07377-0.00097</f>
        <v>0.14147000000000001</v>
      </c>
      <c r="I20" s="22">
        <f>0.796*30</f>
        <v>23.880000000000003</v>
      </c>
      <c r="J20" s="32" t="s">
        <v>298</v>
      </c>
    </row>
    <row r="21" spans="1:10" ht="15.75" customHeight="1" x14ac:dyDescent="0.2">
      <c r="A21" s="18" t="s">
        <v>39</v>
      </c>
      <c r="B21" s="18" t="s">
        <v>68</v>
      </c>
      <c r="C21" s="18">
        <v>2014</v>
      </c>
      <c r="D21" s="18"/>
      <c r="E21" s="18"/>
      <c r="F21" s="18"/>
      <c r="G21" s="5"/>
      <c r="H21" s="23">
        <f>0.06511+0.07508-0.00037</f>
        <v>0.13981999999999997</v>
      </c>
      <c r="I21" s="22">
        <f t="shared" ref="I21:I23" si="2">30*0.836</f>
        <v>25.08</v>
      </c>
      <c r="J21" s="32" t="s">
        <v>298</v>
      </c>
    </row>
    <row r="22" spans="1:10" ht="15.75" customHeight="1" x14ac:dyDescent="0.2">
      <c r="A22" s="18" t="s">
        <v>39</v>
      </c>
      <c r="B22" s="18" t="s">
        <v>68</v>
      </c>
      <c r="C22" s="18">
        <v>2015</v>
      </c>
      <c r="D22" s="18"/>
      <c r="E22" s="18"/>
      <c r="F22" s="18"/>
      <c r="G22" s="5"/>
      <c r="H22" s="23">
        <f>0.07002+0.0874-0.00172</f>
        <v>0.15570000000000001</v>
      </c>
      <c r="I22" s="22">
        <f t="shared" si="2"/>
        <v>25.08</v>
      </c>
      <c r="J22" s="32" t="s">
        <v>298</v>
      </c>
    </row>
    <row r="23" spans="1:10" ht="15.75" customHeight="1" x14ac:dyDescent="0.2">
      <c r="A23" s="18" t="s">
        <v>39</v>
      </c>
      <c r="B23" s="18" t="s">
        <v>68</v>
      </c>
      <c r="C23" s="18">
        <v>2016</v>
      </c>
      <c r="D23" s="18"/>
      <c r="E23" s="18"/>
      <c r="F23" s="18"/>
      <c r="G23" s="5"/>
      <c r="H23" s="23">
        <f>0.07296+0.06114-0.00022</f>
        <v>0.13388</v>
      </c>
      <c r="I23" s="22">
        <f t="shared" si="2"/>
        <v>25.08</v>
      </c>
      <c r="J23" s="32" t="s">
        <v>298</v>
      </c>
    </row>
    <row r="24" spans="1:10" ht="15.75" customHeight="1" x14ac:dyDescent="0.2">
      <c r="A24" s="18" t="s">
        <v>39</v>
      </c>
      <c r="B24" s="18" t="s">
        <v>68</v>
      </c>
      <c r="C24" s="18">
        <v>2017</v>
      </c>
      <c r="D24" s="18"/>
      <c r="E24" s="18"/>
      <c r="F24" s="18"/>
      <c r="G24" s="5"/>
      <c r="H24" s="23">
        <f>0.07808+0.06421</f>
        <v>0.14229</v>
      </c>
      <c r="I24" s="22">
        <f>30*0.777</f>
        <v>23.310000000000002</v>
      </c>
      <c r="J24" s="32" t="s">
        <v>298</v>
      </c>
    </row>
    <row r="25" spans="1:10" ht="15.75" customHeight="1" x14ac:dyDescent="0.2">
      <c r="A25" s="18" t="s">
        <v>39</v>
      </c>
      <c r="B25" s="18" t="s">
        <v>68</v>
      </c>
      <c r="C25" s="18">
        <v>2018</v>
      </c>
      <c r="D25" s="18"/>
      <c r="E25" s="18"/>
      <c r="F25" s="18"/>
      <c r="G25" s="5"/>
      <c r="H25" s="23">
        <f>0.07249+0.07375</f>
        <v>0.14623999999999998</v>
      </c>
      <c r="I25" s="22">
        <f t="shared" ref="I25:I26" si="3">30*0.806</f>
        <v>24.18</v>
      </c>
      <c r="J25" s="32" t="s">
        <v>298</v>
      </c>
    </row>
    <row r="26" spans="1:10" ht="15.75" customHeight="1" x14ac:dyDescent="0.2">
      <c r="A26" s="18" t="s">
        <v>39</v>
      </c>
      <c r="B26" s="18" t="s">
        <v>68</v>
      </c>
      <c r="C26" s="18">
        <v>2019</v>
      </c>
      <c r="D26" s="18"/>
      <c r="E26" s="18"/>
      <c r="F26" s="18"/>
      <c r="G26" s="5"/>
      <c r="H26" s="23">
        <f>0.07169 +0.07273</f>
        <v>0.14441999999999999</v>
      </c>
      <c r="I26" s="22">
        <f t="shared" si="3"/>
        <v>24.18</v>
      </c>
      <c r="J26" s="32" t="s">
        <v>298</v>
      </c>
    </row>
    <row r="27" spans="1:10" ht="15.75" customHeight="1" x14ac:dyDescent="0.2">
      <c r="A27" s="18" t="s">
        <v>39</v>
      </c>
      <c r="B27" s="18" t="s">
        <v>68</v>
      </c>
      <c r="C27" s="18">
        <v>2020</v>
      </c>
      <c r="D27" s="18"/>
      <c r="E27" s="18"/>
      <c r="F27" s="18"/>
      <c r="G27" s="5"/>
      <c r="H27" s="23">
        <f>0.07895+0.08012</f>
        <v>0.15906999999999999</v>
      </c>
      <c r="I27" s="22">
        <f>30*0.347</f>
        <v>10.41</v>
      </c>
      <c r="J27" s="32" t="s">
        <v>298</v>
      </c>
    </row>
    <row r="28" spans="1:10" ht="15.75" customHeight="1" x14ac:dyDescent="0.2">
      <c r="A28" s="18" t="s">
        <v>39</v>
      </c>
      <c r="B28" s="18" t="s">
        <v>68</v>
      </c>
      <c r="C28" s="18">
        <v>2021</v>
      </c>
      <c r="D28" s="18"/>
      <c r="E28" s="18"/>
      <c r="F28" s="18"/>
      <c r="G28" s="5"/>
      <c r="H28" s="22">
        <f>0.10828+0.07973</f>
        <v>0.18801000000000001</v>
      </c>
      <c r="I28" s="22">
        <f>30*0.457</f>
        <v>13.71</v>
      </c>
      <c r="J28" s="32" t="s">
        <v>298</v>
      </c>
    </row>
    <row r="29" spans="1:10" ht="15.75" customHeight="1" x14ac:dyDescent="0.2">
      <c r="A29" s="18" t="s">
        <v>39</v>
      </c>
      <c r="B29" s="18" t="s">
        <v>68</v>
      </c>
      <c r="C29" s="18">
        <v>2022</v>
      </c>
      <c r="D29" s="18"/>
      <c r="E29" s="18"/>
      <c r="F29" s="18"/>
      <c r="G29" s="5"/>
      <c r="H29" s="23">
        <f>0.13017+0.07956</f>
        <v>0.20973000000000003</v>
      </c>
      <c r="I29" s="23">
        <f>30*0.566</f>
        <v>16.979999999999997</v>
      </c>
      <c r="J29" s="32" t="s">
        <v>298</v>
      </c>
    </row>
    <row r="30" spans="1:10" ht="15.75" customHeight="1" x14ac:dyDescent="0.2">
      <c r="A30" s="18" t="s">
        <v>39</v>
      </c>
      <c r="B30" s="18" t="s">
        <v>68</v>
      </c>
      <c r="C30" s="18">
        <v>2023</v>
      </c>
      <c r="D30" s="18"/>
      <c r="E30" s="18"/>
      <c r="F30" s="18"/>
      <c r="G30" s="5"/>
      <c r="H30" s="23">
        <f>0.12254+0.12607+0.0007</f>
        <v>0.24931</v>
      </c>
      <c r="I30" s="22">
        <f t="shared" ref="I30:I31" si="4">30*0.468</f>
        <v>14.040000000000001</v>
      </c>
      <c r="J30" s="32" t="s">
        <v>298</v>
      </c>
    </row>
    <row r="31" spans="1:10" ht="15.75" customHeight="1" x14ac:dyDescent="0.2">
      <c r="A31" s="18" t="s">
        <v>39</v>
      </c>
      <c r="B31" s="18" t="s">
        <v>68</v>
      </c>
      <c r="C31" s="18">
        <v>2024</v>
      </c>
      <c r="D31" s="18"/>
      <c r="E31" s="18"/>
      <c r="F31" s="18"/>
      <c r="G31" s="5"/>
      <c r="H31" s="23">
        <f>0.14008+0.12117+0.00148</f>
        <v>0.26272999999999996</v>
      </c>
      <c r="I31" s="23">
        <f t="shared" si="4"/>
        <v>14.040000000000001</v>
      </c>
      <c r="J31" s="32" t="s">
        <v>298</v>
      </c>
    </row>
    <row r="32" spans="1:10" ht="15.75" customHeight="1" x14ac:dyDescent="0.2">
      <c r="A32" s="18" t="s">
        <v>43</v>
      </c>
      <c r="B32" s="18" t="s">
        <v>69</v>
      </c>
      <c r="C32" s="18">
        <v>2010</v>
      </c>
      <c r="D32" s="18"/>
      <c r="E32" s="18"/>
      <c r="F32" s="18"/>
      <c r="G32" s="5"/>
      <c r="H32" s="22">
        <v>9.3579999999999997E-2</v>
      </c>
      <c r="I32" s="22">
        <v>6.5</v>
      </c>
      <c r="J32" s="32" t="s">
        <v>70</v>
      </c>
    </row>
    <row r="33" spans="1:10" ht="15.75" customHeight="1" x14ac:dyDescent="0.2">
      <c r="A33" s="18" t="s">
        <v>43</v>
      </c>
      <c r="B33" s="18" t="s">
        <v>69</v>
      </c>
      <c r="C33" s="18">
        <v>2011</v>
      </c>
      <c r="D33" s="18"/>
      <c r="E33" s="18"/>
      <c r="F33" s="18"/>
      <c r="G33" s="5"/>
      <c r="H33" s="22">
        <v>9.9580000000000002E-2</v>
      </c>
      <c r="I33" s="22">
        <v>6.5</v>
      </c>
      <c r="J33" s="32" t="s">
        <v>70</v>
      </c>
    </row>
    <row r="34" spans="1:10" ht="15.75" customHeight="1" x14ac:dyDescent="0.2">
      <c r="A34" s="18" t="s">
        <v>43</v>
      </c>
      <c r="B34" s="18" t="s">
        <v>69</v>
      </c>
      <c r="C34" s="18">
        <v>2012</v>
      </c>
      <c r="D34" s="18"/>
      <c r="E34" s="18"/>
      <c r="F34" s="18"/>
      <c r="G34" s="5"/>
      <c r="H34" s="22">
        <v>9.9580000000000002E-2</v>
      </c>
      <c r="I34" s="22">
        <v>6.5</v>
      </c>
      <c r="J34" s="32" t="s">
        <v>70</v>
      </c>
    </row>
    <row r="35" spans="1:10" ht="15.75" customHeight="1" x14ac:dyDescent="0.2">
      <c r="A35" s="18" t="s">
        <v>43</v>
      </c>
      <c r="B35" s="18" t="s">
        <v>69</v>
      </c>
      <c r="C35" s="18">
        <v>2013</v>
      </c>
      <c r="D35" s="18"/>
      <c r="E35" s="18"/>
      <c r="F35" s="18"/>
      <c r="G35" s="5"/>
      <c r="H35" s="22">
        <v>0.10433000000000001</v>
      </c>
      <c r="I35" s="22">
        <v>6.5</v>
      </c>
      <c r="J35" s="32" t="s">
        <v>70</v>
      </c>
    </row>
    <row r="36" spans="1:10" ht="15.75" customHeight="1" x14ac:dyDescent="0.2">
      <c r="A36" s="18" t="s">
        <v>43</v>
      </c>
      <c r="B36" s="18" t="s">
        <v>69</v>
      </c>
      <c r="C36" s="18">
        <v>2014</v>
      </c>
      <c r="D36" s="18"/>
      <c r="E36" s="18"/>
      <c r="F36" s="18"/>
      <c r="G36" s="5"/>
      <c r="H36" s="22">
        <v>0.11063000000000001</v>
      </c>
      <c r="I36" s="22">
        <v>6.5</v>
      </c>
      <c r="J36" s="32" t="s">
        <v>70</v>
      </c>
    </row>
    <row r="37" spans="1:10" ht="15.75" customHeight="1" x14ac:dyDescent="0.2">
      <c r="A37" s="18" t="s">
        <v>43</v>
      </c>
      <c r="B37" s="18" t="s">
        <v>69</v>
      </c>
      <c r="C37" s="18">
        <v>2015</v>
      </c>
      <c r="D37" s="18"/>
      <c r="E37" s="18"/>
      <c r="F37" s="18"/>
      <c r="G37" s="5"/>
      <c r="H37" s="22">
        <v>0.11720999999999999</v>
      </c>
      <c r="I37" s="22">
        <v>6.5</v>
      </c>
      <c r="J37" s="32" t="s">
        <v>70</v>
      </c>
    </row>
    <row r="38" spans="1:10" ht="15.75" customHeight="1" x14ac:dyDescent="0.2">
      <c r="A38" s="18" t="s">
        <v>43</v>
      </c>
      <c r="B38" s="18" t="s">
        <v>69</v>
      </c>
      <c r="C38" s="18">
        <v>2016</v>
      </c>
      <c r="D38" s="18"/>
      <c r="E38" s="18"/>
      <c r="F38" s="18"/>
      <c r="G38" s="5"/>
      <c r="H38" s="22">
        <v>0.11416999999999999</v>
      </c>
      <c r="I38" s="22">
        <v>6.5</v>
      </c>
      <c r="J38" s="32" t="s">
        <v>70</v>
      </c>
    </row>
    <row r="39" spans="1:10" ht="15.75" customHeight="1" x14ac:dyDescent="0.2">
      <c r="A39" s="18" t="s">
        <v>43</v>
      </c>
      <c r="B39" s="18" t="s">
        <v>69</v>
      </c>
      <c r="C39" s="18">
        <v>2017</v>
      </c>
      <c r="D39" s="18"/>
      <c r="E39" s="18"/>
      <c r="F39" s="18"/>
      <c r="G39" s="5"/>
      <c r="H39" s="22">
        <v>0.12095999999999998</v>
      </c>
      <c r="I39" s="22">
        <v>7</v>
      </c>
      <c r="J39" s="32" t="s">
        <v>70</v>
      </c>
    </row>
    <row r="40" spans="1:10" ht="15.75" customHeight="1" x14ac:dyDescent="0.2">
      <c r="A40" s="18" t="s">
        <v>43</v>
      </c>
      <c r="B40" s="18" t="s">
        <v>69</v>
      </c>
      <c r="C40" s="18">
        <v>2018</v>
      </c>
      <c r="D40" s="18"/>
      <c r="E40" s="18"/>
      <c r="F40" s="18"/>
      <c r="G40" s="5"/>
      <c r="H40" s="22">
        <v>0.12634000000000001</v>
      </c>
      <c r="I40" s="22">
        <v>7</v>
      </c>
      <c r="J40" s="32" t="s">
        <v>70</v>
      </c>
    </row>
    <row r="41" spans="1:10" ht="15.75" customHeight="1" x14ac:dyDescent="0.2">
      <c r="A41" s="18" t="s">
        <v>43</v>
      </c>
      <c r="B41" s="18" t="s">
        <v>69</v>
      </c>
      <c r="C41" s="18">
        <v>2019</v>
      </c>
      <c r="D41" s="18"/>
      <c r="E41" s="18"/>
      <c r="F41" s="18"/>
      <c r="G41" s="5"/>
      <c r="H41" s="22">
        <v>0.13680999999999999</v>
      </c>
      <c r="I41" s="22">
        <v>7</v>
      </c>
      <c r="J41" s="32" t="s">
        <v>70</v>
      </c>
    </row>
    <row r="42" spans="1:10" ht="15.75" customHeight="1" x14ac:dyDescent="0.2">
      <c r="A42" s="18" t="s">
        <v>43</v>
      </c>
      <c r="B42" s="18" t="s">
        <v>69</v>
      </c>
      <c r="C42" s="18">
        <v>2020</v>
      </c>
      <c r="D42" s="18"/>
      <c r="E42" s="18"/>
      <c r="F42" s="18"/>
      <c r="G42" s="5"/>
      <c r="H42" s="22">
        <v>0.14172000000000001</v>
      </c>
      <c r="I42" s="22">
        <v>7</v>
      </c>
      <c r="J42" s="32" t="s">
        <v>70</v>
      </c>
    </row>
    <row r="43" spans="1:10" ht="15.75" customHeight="1" x14ac:dyDescent="0.2">
      <c r="A43" s="18" t="s">
        <v>43</v>
      </c>
      <c r="B43" s="18" t="s">
        <v>69</v>
      </c>
      <c r="C43" s="18">
        <v>2021</v>
      </c>
      <c r="D43" s="18"/>
      <c r="E43" s="18"/>
      <c r="F43" s="18"/>
      <c r="G43" s="5"/>
      <c r="H43" s="22">
        <v>0.14429</v>
      </c>
      <c r="I43" s="22">
        <v>7</v>
      </c>
      <c r="J43" s="32" t="s">
        <v>70</v>
      </c>
    </row>
    <row r="44" spans="1:10" ht="15.75" customHeight="1" x14ac:dyDescent="0.2">
      <c r="A44" s="18" t="s">
        <v>43</v>
      </c>
      <c r="B44" s="18" t="s">
        <v>69</v>
      </c>
      <c r="C44" s="18">
        <v>2022</v>
      </c>
      <c r="D44" s="18"/>
      <c r="E44" s="18"/>
      <c r="F44" s="18"/>
      <c r="G44" s="5"/>
      <c r="H44" s="22">
        <v>0.16064000000000001</v>
      </c>
      <c r="I44" s="22">
        <v>7</v>
      </c>
      <c r="J44" s="32" t="s">
        <v>70</v>
      </c>
    </row>
    <row r="45" spans="1:10" ht="15.75" customHeight="1" x14ac:dyDescent="0.2">
      <c r="A45" s="18" t="s">
        <v>43</v>
      </c>
      <c r="B45" s="18" t="s">
        <v>69</v>
      </c>
      <c r="C45" s="18">
        <v>2023</v>
      </c>
      <c r="D45" s="18"/>
      <c r="E45" s="18"/>
      <c r="F45" s="18"/>
      <c r="G45" s="5"/>
      <c r="H45" s="22">
        <v>0.16152</v>
      </c>
      <c r="I45" s="22">
        <v>7</v>
      </c>
      <c r="J45" s="32" t="s">
        <v>70</v>
      </c>
    </row>
    <row r="46" spans="1:10" ht="15.75" customHeight="1" x14ac:dyDescent="0.2">
      <c r="A46" s="18" t="s">
        <v>43</v>
      </c>
      <c r="B46" s="18" t="s">
        <v>69</v>
      </c>
      <c r="C46" s="18">
        <v>2024</v>
      </c>
      <c r="D46" s="18"/>
      <c r="E46" s="18"/>
      <c r="F46" s="18"/>
      <c r="G46" s="5"/>
      <c r="H46" s="22">
        <v>0.1691</v>
      </c>
      <c r="I46" s="22">
        <v>7</v>
      </c>
      <c r="J46" s="32" t="s">
        <v>70</v>
      </c>
    </row>
    <row r="47" spans="1:10" ht="15.75" customHeight="1" x14ac:dyDescent="0.2">
      <c r="A47" s="18" t="s">
        <v>46</v>
      </c>
      <c r="B47" s="18" t="s">
        <v>71</v>
      </c>
      <c r="C47" s="18">
        <v>2010</v>
      </c>
      <c r="D47" s="18"/>
      <c r="E47" s="18"/>
      <c r="F47" s="18"/>
      <c r="G47" s="5"/>
      <c r="H47" s="22">
        <v>0.1203</v>
      </c>
      <c r="I47" s="22">
        <v>8.0500000000000007</v>
      </c>
      <c r="J47" s="32" t="s">
        <v>72</v>
      </c>
    </row>
    <row r="48" spans="1:10" ht="15.75" customHeight="1" x14ac:dyDescent="0.2">
      <c r="A48" s="18" t="s">
        <v>46</v>
      </c>
      <c r="B48" s="18" t="s">
        <v>71</v>
      </c>
      <c r="C48" s="18">
        <v>2011</v>
      </c>
      <c r="D48" s="18"/>
      <c r="E48" s="18"/>
      <c r="F48" s="18"/>
      <c r="G48" s="5"/>
      <c r="H48" s="22">
        <v>0.123</v>
      </c>
      <c r="I48" s="22">
        <v>8.25</v>
      </c>
      <c r="J48" s="32" t="s">
        <v>72</v>
      </c>
    </row>
    <row r="49" spans="1:10" ht="15.75" customHeight="1" x14ac:dyDescent="0.2">
      <c r="A49" s="18" t="s">
        <v>46</v>
      </c>
      <c r="B49" s="18" t="s">
        <v>71</v>
      </c>
      <c r="C49" s="18">
        <v>2012</v>
      </c>
      <c r="D49" s="18"/>
      <c r="E49" s="18"/>
      <c r="F49" s="18"/>
      <c r="G49" s="5"/>
      <c r="H49" s="22">
        <v>0.124</v>
      </c>
      <c r="I49" s="22">
        <v>12</v>
      </c>
      <c r="J49" s="32" t="s">
        <v>72</v>
      </c>
    </row>
    <row r="50" spans="1:10" ht="15.75" customHeight="1" x14ac:dyDescent="0.2">
      <c r="A50" s="18" t="s">
        <v>46</v>
      </c>
      <c r="B50" s="18" t="s">
        <v>71</v>
      </c>
      <c r="C50" s="18">
        <v>2013</v>
      </c>
      <c r="D50" s="18"/>
      <c r="E50" s="18"/>
      <c r="F50" s="18"/>
      <c r="G50" s="5"/>
      <c r="H50" s="22">
        <v>0.124</v>
      </c>
      <c r="I50" s="22">
        <v>12</v>
      </c>
      <c r="J50" s="32" t="s">
        <v>72</v>
      </c>
    </row>
    <row r="51" spans="1:10" ht="15.75" customHeight="1" x14ac:dyDescent="0.2">
      <c r="A51" s="18" t="s">
        <v>46</v>
      </c>
      <c r="B51" s="18" t="s">
        <v>71</v>
      </c>
      <c r="C51" s="18">
        <v>2014</v>
      </c>
      <c r="D51" s="18"/>
      <c r="E51" s="18"/>
      <c r="F51" s="18"/>
      <c r="G51" s="5"/>
      <c r="H51" s="22">
        <v>0.12520000000000001</v>
      </c>
      <c r="I51" s="22">
        <v>14</v>
      </c>
      <c r="J51" s="32" t="s">
        <v>72</v>
      </c>
    </row>
    <row r="52" spans="1:10" ht="15.75" customHeight="1" x14ac:dyDescent="0.2">
      <c r="A52" s="18" t="s">
        <v>46</v>
      </c>
      <c r="B52" s="18" t="s">
        <v>71</v>
      </c>
      <c r="C52" s="18">
        <v>2015</v>
      </c>
      <c r="D52" s="18"/>
      <c r="E52" s="18"/>
      <c r="F52" s="18"/>
      <c r="G52" s="5"/>
      <c r="H52" s="22">
        <v>0.12659999999999999</v>
      </c>
      <c r="I52" s="22">
        <v>16</v>
      </c>
      <c r="J52" s="32" t="s">
        <v>72</v>
      </c>
    </row>
    <row r="53" spans="1:10" ht="15.75" customHeight="1" x14ac:dyDescent="0.2">
      <c r="A53" s="18" t="s">
        <v>46</v>
      </c>
      <c r="B53" s="18" t="s">
        <v>71</v>
      </c>
      <c r="C53" s="18">
        <v>2016</v>
      </c>
      <c r="D53" s="18"/>
      <c r="E53" s="18"/>
      <c r="F53" s="18"/>
      <c r="G53" s="5"/>
      <c r="H53" s="22">
        <v>0.1278</v>
      </c>
      <c r="I53" s="22">
        <v>18</v>
      </c>
      <c r="J53" s="32" t="s">
        <v>72</v>
      </c>
    </row>
    <row r="54" spans="1:10" ht="15.75" customHeight="1" x14ac:dyDescent="0.2">
      <c r="A54" s="18" t="s">
        <v>46</v>
      </c>
      <c r="B54" s="18" t="s">
        <v>71</v>
      </c>
      <c r="C54" s="18">
        <v>2017</v>
      </c>
      <c r="D54" s="18"/>
      <c r="E54" s="18"/>
      <c r="F54" s="18"/>
      <c r="G54" s="5"/>
      <c r="H54" s="22">
        <v>0.129</v>
      </c>
      <c r="I54" s="22">
        <v>20</v>
      </c>
      <c r="J54" s="32" t="s">
        <v>72</v>
      </c>
    </row>
    <row r="55" spans="1:10" ht="15.75" customHeight="1" x14ac:dyDescent="0.2">
      <c r="A55" s="18" t="s">
        <v>46</v>
      </c>
      <c r="B55" s="18" t="s">
        <v>71</v>
      </c>
      <c r="C55" s="18">
        <v>2018</v>
      </c>
      <c r="D55" s="18"/>
      <c r="E55" s="18"/>
      <c r="F55" s="18"/>
      <c r="G55" s="5"/>
      <c r="H55" s="22">
        <v>0.1303</v>
      </c>
      <c r="I55" s="22">
        <v>20.2</v>
      </c>
      <c r="J55" s="32" t="s">
        <v>72</v>
      </c>
    </row>
    <row r="56" spans="1:10" ht="15.75" customHeight="1" x14ac:dyDescent="0.2">
      <c r="A56" s="18" t="s">
        <v>46</v>
      </c>
      <c r="B56" s="18" t="s">
        <v>71</v>
      </c>
      <c r="C56" s="18">
        <v>2019</v>
      </c>
      <c r="D56" s="18"/>
      <c r="E56" s="18"/>
      <c r="F56" s="18"/>
      <c r="G56" s="5"/>
      <c r="H56" s="22">
        <v>0.13159999999999999</v>
      </c>
      <c r="I56" s="22">
        <v>20.399999999999999</v>
      </c>
      <c r="J56" s="32" t="s">
        <v>72</v>
      </c>
    </row>
    <row r="57" spans="1:10" ht="15.75" customHeight="1" x14ac:dyDescent="0.2">
      <c r="A57" s="18" t="s">
        <v>46</v>
      </c>
      <c r="B57" s="18" t="s">
        <v>71</v>
      </c>
      <c r="C57" s="18">
        <v>2020</v>
      </c>
      <c r="D57" s="18"/>
      <c r="E57" s="18"/>
      <c r="F57" s="18"/>
      <c r="G57" s="5"/>
      <c r="H57" s="22">
        <v>0.13789999999999999</v>
      </c>
      <c r="I57" s="22">
        <v>21.35</v>
      </c>
      <c r="J57" s="32" t="s">
        <v>72</v>
      </c>
    </row>
    <row r="58" spans="1:10" ht="15.75" customHeight="1" x14ac:dyDescent="0.2">
      <c r="A58" s="18" t="s">
        <v>46</v>
      </c>
      <c r="B58" s="18" t="s">
        <v>71</v>
      </c>
      <c r="C58" s="18">
        <v>2021</v>
      </c>
      <c r="D58" s="18"/>
      <c r="E58" s="18"/>
      <c r="F58" s="18"/>
      <c r="G58" s="5"/>
      <c r="H58" s="22">
        <v>0.14399999999999999</v>
      </c>
      <c r="I58" s="22">
        <v>22.35</v>
      </c>
      <c r="J58" s="32" t="s">
        <v>72</v>
      </c>
    </row>
    <row r="59" spans="1:10" ht="15.75" customHeight="1" x14ac:dyDescent="0.2">
      <c r="A59" s="77" t="s">
        <v>46</v>
      </c>
      <c r="B59" s="77" t="s">
        <v>73</v>
      </c>
      <c r="C59" s="77">
        <v>2022</v>
      </c>
      <c r="D59" s="77"/>
      <c r="E59" s="77"/>
      <c r="F59" s="77"/>
      <c r="G59" s="34"/>
      <c r="H59" s="21" t="e">
        <v>#N/A</v>
      </c>
      <c r="I59" s="21" t="e">
        <v>#N/A</v>
      </c>
      <c r="J59" s="78" t="s">
        <v>286</v>
      </c>
    </row>
    <row r="60" spans="1:10" ht="15.75" customHeight="1" x14ac:dyDescent="0.2">
      <c r="A60" s="77" t="s">
        <v>46</v>
      </c>
      <c r="B60" s="77" t="s">
        <v>73</v>
      </c>
      <c r="C60" s="77">
        <v>2023</v>
      </c>
      <c r="D60" s="77"/>
      <c r="E60" s="77"/>
      <c r="F60" s="77"/>
      <c r="G60" s="34"/>
      <c r="H60" s="21" t="e">
        <v>#N/A</v>
      </c>
      <c r="I60" s="21" t="e">
        <v>#N/A</v>
      </c>
      <c r="J60" s="78" t="s">
        <v>286</v>
      </c>
    </row>
    <row r="61" spans="1:10" ht="15.75" customHeight="1" x14ac:dyDescent="0.2">
      <c r="A61" s="77" t="s">
        <v>46</v>
      </c>
      <c r="B61" s="77" t="s">
        <v>73</v>
      </c>
      <c r="C61" s="77">
        <v>2024</v>
      </c>
      <c r="D61" s="77"/>
      <c r="E61" s="77"/>
      <c r="F61" s="77"/>
      <c r="G61" s="34"/>
      <c r="H61" s="21" t="e">
        <v>#N/A</v>
      </c>
      <c r="I61" s="21" t="e">
        <v>#N/A</v>
      </c>
      <c r="J61" s="78" t="s">
        <v>286</v>
      </c>
    </row>
    <row r="62" spans="1:10" s="3" customFormat="1" ht="15.75" customHeight="1" x14ac:dyDescent="0.2">
      <c r="A62" s="18" t="s">
        <v>53</v>
      </c>
      <c r="B62" s="18" t="s">
        <v>151</v>
      </c>
      <c r="C62" s="18">
        <v>2015</v>
      </c>
      <c r="D62" s="89"/>
      <c r="E62" s="89"/>
      <c r="F62" s="89"/>
      <c r="G62" s="90"/>
      <c r="H62" s="22">
        <v>0.2084</v>
      </c>
      <c r="I62" s="22">
        <v>12</v>
      </c>
      <c r="J62" s="32"/>
    </row>
    <row r="63" spans="1:10" s="3" customFormat="1" ht="15.75" customHeight="1" x14ac:dyDescent="0.2">
      <c r="A63" s="18" t="s">
        <v>53</v>
      </c>
      <c r="B63" s="18" t="s">
        <v>151</v>
      </c>
      <c r="C63" s="87">
        <v>2016</v>
      </c>
      <c r="D63" s="96"/>
      <c r="E63" s="93"/>
      <c r="F63" s="93"/>
      <c r="G63" s="94"/>
      <c r="H63" s="22">
        <v>0.1885</v>
      </c>
      <c r="I63" s="22">
        <v>12</v>
      </c>
      <c r="J63" s="32"/>
    </row>
    <row r="64" spans="1:10" s="3" customFormat="1" ht="15.75" customHeight="1" x14ac:dyDescent="0.2">
      <c r="A64" s="18" t="s">
        <v>53</v>
      </c>
      <c r="B64" s="18" t="s">
        <v>151</v>
      </c>
      <c r="C64" s="87">
        <v>2017</v>
      </c>
      <c r="D64" s="96"/>
      <c r="E64" s="93"/>
      <c r="F64" s="93"/>
      <c r="G64" s="94"/>
      <c r="H64" s="22">
        <v>0.19531999999999999</v>
      </c>
      <c r="I64" s="22">
        <v>12</v>
      </c>
      <c r="J64" s="32"/>
    </row>
    <row r="65" spans="1:10" s="3" customFormat="1" ht="15.75" customHeight="1" x14ac:dyDescent="0.2">
      <c r="A65" s="18" t="s">
        <v>53</v>
      </c>
      <c r="B65" s="18" t="s">
        <v>151</v>
      </c>
      <c r="C65" s="87">
        <v>2018</v>
      </c>
      <c r="D65" s="96"/>
      <c r="E65" s="93"/>
      <c r="F65" s="93"/>
      <c r="G65" s="94"/>
      <c r="H65" s="22">
        <v>0.22125</v>
      </c>
      <c r="I65" s="22">
        <v>16</v>
      </c>
      <c r="J65" s="32"/>
    </row>
    <row r="66" spans="1:10" s="3" customFormat="1" ht="15.75" customHeight="1" x14ac:dyDescent="0.2">
      <c r="A66" s="18" t="s">
        <v>53</v>
      </c>
      <c r="B66" s="18" t="s">
        <v>151</v>
      </c>
      <c r="C66" s="87">
        <v>2019</v>
      </c>
      <c r="D66" s="93"/>
      <c r="E66" s="93"/>
      <c r="F66" s="93"/>
      <c r="G66" s="94"/>
      <c r="H66" s="95"/>
      <c r="I66" s="88"/>
      <c r="J66" s="85" t="s">
        <v>300</v>
      </c>
    </row>
    <row r="67" spans="1:10" s="3" customFormat="1" ht="15.75" customHeight="1" x14ac:dyDescent="0.2">
      <c r="A67" s="4" t="s">
        <v>42</v>
      </c>
      <c r="B67" s="4"/>
      <c r="C67" s="4">
        <v>2024</v>
      </c>
      <c r="D67" s="91"/>
      <c r="E67" s="91"/>
      <c r="F67" s="91"/>
      <c r="G67" s="91"/>
      <c r="H67" s="92"/>
      <c r="I67" s="22"/>
      <c r="J67" s="85" t="s">
        <v>285</v>
      </c>
    </row>
    <row r="68" spans="1:10" s="3" customFormat="1" ht="15.75" customHeight="1" x14ac:dyDescent="0.2">
      <c r="A68" s="4" t="s">
        <v>29</v>
      </c>
      <c r="B68" s="4" t="s">
        <v>66</v>
      </c>
      <c r="C68" s="4">
        <v>2010</v>
      </c>
      <c r="D68" s="5"/>
      <c r="E68" s="5">
        <f t="shared" ref="E68:E82" si="5">E2</f>
        <v>0</v>
      </c>
      <c r="F68" s="5"/>
      <c r="G68" s="5"/>
      <c r="H68" s="22" t="e">
        <v>#N/A</v>
      </c>
      <c r="I68" s="22"/>
      <c r="J68" s="32"/>
    </row>
    <row r="69" spans="1:10" s="3" customFormat="1" ht="15.75" customHeight="1" x14ac:dyDescent="0.2">
      <c r="A69" s="4" t="s">
        <v>29</v>
      </c>
      <c r="B69" s="4" t="s">
        <v>66</v>
      </c>
      <c r="C69" s="4">
        <v>2011</v>
      </c>
      <c r="D69" s="5"/>
      <c r="E69" s="5">
        <f t="shared" si="5"/>
        <v>0</v>
      </c>
      <c r="F69" s="5"/>
      <c r="G69" s="5"/>
      <c r="H69" s="22" t="e">
        <v>#N/A</v>
      </c>
      <c r="I69" s="22"/>
      <c r="J69" s="32"/>
    </row>
    <row r="70" spans="1:10" s="3" customFormat="1" ht="15.75" customHeight="1" x14ac:dyDescent="0.2">
      <c r="A70" s="4" t="s">
        <v>29</v>
      </c>
      <c r="B70" s="4" t="s">
        <v>66</v>
      </c>
      <c r="C70" s="4">
        <v>2012</v>
      </c>
      <c r="D70" s="5">
        <v>5.5E-2</v>
      </c>
      <c r="E70" s="5">
        <f t="shared" si="5"/>
        <v>8.8780000000000012E-2</v>
      </c>
      <c r="F70" s="5">
        <v>1.67E-2</v>
      </c>
      <c r="G70" s="5">
        <v>4.2000000000000002E-4</v>
      </c>
      <c r="H70" s="22">
        <f>SUM(D70:G70)</f>
        <v>0.16090000000000002</v>
      </c>
      <c r="I70" s="22"/>
      <c r="J70" s="85" t="s">
        <v>74</v>
      </c>
    </row>
    <row r="71" spans="1:10" s="3" customFormat="1" ht="15.75" customHeight="1" x14ac:dyDescent="0.2">
      <c r="A71" s="4" t="s">
        <v>29</v>
      </c>
      <c r="B71" s="4" t="s">
        <v>66</v>
      </c>
      <c r="C71" s="4">
        <v>2013</v>
      </c>
      <c r="D71" s="5">
        <v>5.8999999999999997E-2</v>
      </c>
      <c r="E71" s="5">
        <f t="shared" si="5"/>
        <v>8.0570000000000003E-2</v>
      </c>
      <c r="F71" s="5">
        <v>5.8500000000000002E-3</v>
      </c>
      <c r="G71" s="5">
        <v>5.9999999999999995E-4</v>
      </c>
      <c r="H71" s="22">
        <f t="shared" ref="H71:H82" si="6">SUM(D71:G71)</f>
        <v>0.14601999999999998</v>
      </c>
      <c r="I71" s="22"/>
      <c r="J71" s="32"/>
    </row>
    <row r="72" spans="1:10" s="3" customFormat="1" ht="15.75" customHeight="1" x14ac:dyDescent="0.2">
      <c r="A72" s="4" t="s">
        <v>29</v>
      </c>
      <c r="B72" s="4" t="s">
        <v>66</v>
      </c>
      <c r="C72" s="4">
        <v>2014</v>
      </c>
      <c r="D72" s="5">
        <v>6.3E-2</v>
      </c>
      <c r="E72" s="5">
        <f t="shared" si="5"/>
        <v>7.8799999999999995E-2</v>
      </c>
      <c r="F72" s="5">
        <v>9.75E-3</v>
      </c>
      <c r="G72" s="5">
        <v>6.3000000000000003E-4</v>
      </c>
      <c r="H72" s="22">
        <f t="shared" si="6"/>
        <v>0.15217999999999998</v>
      </c>
      <c r="I72" s="22"/>
      <c r="J72" s="32"/>
    </row>
    <row r="73" spans="1:10" s="3" customFormat="1" ht="15.75" customHeight="1" x14ac:dyDescent="0.2">
      <c r="A73" s="4" t="s">
        <v>29</v>
      </c>
      <c r="B73" s="4" t="s">
        <v>66</v>
      </c>
      <c r="C73" s="4">
        <v>2015</v>
      </c>
      <c r="D73" s="5">
        <v>6.5000000000000002E-2</v>
      </c>
      <c r="E73" s="5">
        <f t="shared" si="5"/>
        <v>8.5099999999999995E-2</v>
      </c>
      <c r="F73" s="5">
        <v>1.052E-2</v>
      </c>
      <c r="G73" s="5">
        <v>7.7999999999999999E-4</v>
      </c>
      <c r="H73" s="22">
        <f t="shared" si="6"/>
        <v>0.16140000000000002</v>
      </c>
      <c r="I73" s="22"/>
      <c r="J73" s="32"/>
    </row>
    <row r="74" spans="1:10" s="3" customFormat="1" ht="15.75" customHeight="1" x14ac:dyDescent="0.2">
      <c r="A74" s="4" t="s">
        <v>29</v>
      </c>
      <c r="B74" s="4" t="s">
        <v>66</v>
      </c>
      <c r="C74" s="4">
        <v>2016</v>
      </c>
      <c r="D74" s="5">
        <v>6.5000000000000002E-2</v>
      </c>
      <c r="E74" s="5">
        <f t="shared" si="5"/>
        <v>0.10492000000000001</v>
      </c>
      <c r="F74" s="5">
        <v>1.745E-2</v>
      </c>
      <c r="G74" s="5">
        <v>6.7000000000000002E-4</v>
      </c>
      <c r="H74" s="22">
        <f t="shared" si="6"/>
        <v>0.18804000000000001</v>
      </c>
      <c r="I74" s="22"/>
      <c r="J74" s="32"/>
    </row>
    <row r="75" spans="1:10" s="3" customFormat="1" ht="15.75" customHeight="1" x14ac:dyDescent="0.2">
      <c r="A75" s="4" t="s">
        <v>29</v>
      </c>
      <c r="B75" s="4" t="s">
        <v>66</v>
      </c>
      <c r="C75" s="4">
        <v>2017</v>
      </c>
      <c r="D75" s="5">
        <v>6.2E-2</v>
      </c>
      <c r="E75" s="5">
        <f t="shared" si="5"/>
        <v>0.10991000000000001</v>
      </c>
      <c r="F75" s="5">
        <v>2.112E-2</v>
      </c>
      <c r="G75" s="5">
        <v>6.6E-4</v>
      </c>
      <c r="H75" s="22">
        <f t="shared" si="6"/>
        <v>0.19369</v>
      </c>
      <c r="I75" s="22"/>
      <c r="J75" s="32"/>
    </row>
    <row r="76" spans="1:10" s="3" customFormat="1" ht="15.75" customHeight="1" x14ac:dyDescent="0.2">
      <c r="A76" s="4" t="s">
        <v>29</v>
      </c>
      <c r="B76" s="4" t="s">
        <v>66</v>
      </c>
      <c r="C76" s="4">
        <v>2018</v>
      </c>
      <c r="D76" s="5">
        <v>5.7000000000000002E-2</v>
      </c>
      <c r="E76" s="5">
        <f t="shared" si="5"/>
        <v>0.11022000000000001</v>
      </c>
      <c r="F76" s="5">
        <v>2.3349999999999999E-2</v>
      </c>
      <c r="G76" s="5">
        <v>6.3000000000000003E-4</v>
      </c>
      <c r="H76" s="22">
        <f>SUM(D76:G76)</f>
        <v>0.19120000000000001</v>
      </c>
      <c r="I76" s="22"/>
      <c r="J76" s="85" t="s">
        <v>75</v>
      </c>
    </row>
    <row r="77" spans="1:10" s="3" customFormat="1" ht="15.75" customHeight="1" x14ac:dyDescent="0.2">
      <c r="A77" s="4" t="s">
        <v>29</v>
      </c>
      <c r="B77" s="4" t="s">
        <v>66</v>
      </c>
      <c r="C77" s="4">
        <v>2019</v>
      </c>
      <c r="D77" s="5">
        <v>6.0999999999999999E-2</v>
      </c>
      <c r="E77" s="5">
        <f t="shared" si="5"/>
        <v>0.11077000000000001</v>
      </c>
      <c r="F77" s="5">
        <v>2.3349999999999999E-2</v>
      </c>
      <c r="G77" s="5">
        <v>6.6E-4</v>
      </c>
      <c r="H77" s="22">
        <f t="shared" si="6"/>
        <v>0.19578000000000001</v>
      </c>
      <c r="I77" s="22"/>
      <c r="J77" s="85" t="s">
        <v>292</v>
      </c>
    </row>
    <row r="78" spans="1:10" s="3" customFormat="1" ht="15.75" customHeight="1" x14ac:dyDescent="0.2">
      <c r="A78" s="4" t="s">
        <v>29</v>
      </c>
      <c r="B78" s="4" t="s">
        <v>66</v>
      </c>
      <c r="C78" s="4">
        <v>2020</v>
      </c>
      <c r="D78" s="5">
        <v>6.3E-2</v>
      </c>
      <c r="E78" s="5">
        <f t="shared" si="5"/>
        <v>0.12148000000000002</v>
      </c>
      <c r="F78" s="5">
        <v>2.4649999999999998E-2</v>
      </c>
      <c r="G78" s="5">
        <v>6.4999999999999997E-4</v>
      </c>
      <c r="H78" s="22">
        <f t="shared" si="6"/>
        <v>0.20978000000000005</v>
      </c>
      <c r="I78" s="22"/>
      <c r="J78" s="85" t="s">
        <v>294</v>
      </c>
    </row>
    <row r="79" spans="1:10" s="3" customFormat="1" ht="15.75" customHeight="1" x14ac:dyDescent="0.2">
      <c r="A79" s="4" t="s">
        <v>29</v>
      </c>
      <c r="B79" s="4" t="s">
        <v>66</v>
      </c>
      <c r="C79" s="4">
        <v>2021</v>
      </c>
      <c r="D79" s="5">
        <v>6.3E-2</v>
      </c>
      <c r="E79" s="5">
        <f t="shared" si="5"/>
        <v>0.13016</v>
      </c>
      <c r="F79" s="5">
        <v>3.7429999999999998E-2</v>
      </c>
      <c r="G79" s="5">
        <v>5.2999999999999998E-4</v>
      </c>
      <c r="H79" s="22">
        <f t="shared" si="6"/>
        <v>0.23111999999999999</v>
      </c>
      <c r="I79" s="22"/>
      <c r="J79" s="86" t="s">
        <v>76</v>
      </c>
    </row>
    <row r="80" spans="1:10" ht="15.75" customHeight="1" x14ac:dyDescent="0.2">
      <c r="A80" s="4" t="s">
        <v>29</v>
      </c>
      <c r="B80" s="4" t="s">
        <v>66</v>
      </c>
      <c r="C80" s="4">
        <v>2022</v>
      </c>
      <c r="D80" s="5">
        <v>8.5000000000000006E-2</v>
      </c>
      <c r="E80" s="5">
        <f t="shared" si="5"/>
        <v>0.16147</v>
      </c>
      <c r="F80" s="5">
        <v>4.1000000000000002E-2</v>
      </c>
      <c r="G80" s="5">
        <v>9.3000000000000005E-4</v>
      </c>
      <c r="H80" s="22">
        <f t="shared" si="6"/>
        <v>0.28839999999999999</v>
      </c>
      <c r="I80" s="22"/>
      <c r="J80" s="84" t="s">
        <v>296</v>
      </c>
    </row>
    <row r="81" spans="1:10" ht="15.75" customHeight="1" x14ac:dyDescent="0.2">
      <c r="A81" s="4" t="s">
        <v>29</v>
      </c>
      <c r="B81" s="4" t="s">
        <v>66</v>
      </c>
      <c r="C81" s="4">
        <v>2023</v>
      </c>
      <c r="D81" s="5">
        <v>0.122</v>
      </c>
      <c r="E81" s="5">
        <f t="shared" si="5"/>
        <v>0.16539999999999999</v>
      </c>
      <c r="F81" s="5">
        <v>4.4000000000000003E-3</v>
      </c>
      <c r="G81" s="5">
        <v>1.0499999999999999E-3</v>
      </c>
      <c r="H81" s="22">
        <f t="shared" si="6"/>
        <v>0.29285</v>
      </c>
      <c r="I81" s="22"/>
      <c r="J81" s="32" t="s">
        <v>77</v>
      </c>
    </row>
    <row r="82" spans="1:10" ht="15.75" customHeight="1" thickBot="1" x14ac:dyDescent="0.25">
      <c r="A82" s="35" t="s">
        <v>29</v>
      </c>
      <c r="B82" s="4" t="s">
        <v>66</v>
      </c>
      <c r="C82" s="35">
        <v>2024</v>
      </c>
      <c r="D82" s="5">
        <v>0.122</v>
      </c>
      <c r="E82" s="5">
        <f t="shared" si="5"/>
        <v>0.25728000000000001</v>
      </c>
      <c r="F82" s="5">
        <v>1.04E-2</v>
      </c>
      <c r="G82" s="5">
        <v>1.15E-3</v>
      </c>
      <c r="H82" s="22">
        <f t="shared" si="6"/>
        <v>0.39083000000000001</v>
      </c>
      <c r="I82" s="22"/>
      <c r="J82" s="32" t="s">
        <v>77</v>
      </c>
    </row>
    <row r="83" spans="1:10" ht="92" customHeight="1" thickBot="1" x14ac:dyDescent="0.25">
      <c r="A83" s="97" t="s">
        <v>55</v>
      </c>
      <c r="B83" s="98" t="s">
        <v>299</v>
      </c>
      <c r="C83" s="98" t="s">
        <v>290</v>
      </c>
      <c r="D83" s="99" t="s">
        <v>301</v>
      </c>
      <c r="E83" s="100"/>
      <c r="F83" s="100"/>
      <c r="G83" s="100"/>
      <c r="H83" s="101"/>
      <c r="I83" s="102"/>
      <c r="J83" s="102"/>
    </row>
    <row r="84" spans="1:10" ht="15.75" customHeight="1" x14ac:dyDescent="0.2"/>
    <row r="85" spans="1:10" ht="15.75" customHeight="1" x14ac:dyDescent="0.2">
      <c r="A85" s="16" t="s">
        <v>60</v>
      </c>
      <c r="B85" s="16"/>
      <c r="C85" s="17"/>
      <c r="D85" s="17"/>
      <c r="E85" s="17"/>
      <c r="F85" s="17"/>
      <c r="G85" s="17"/>
      <c r="H85" s="3" t="s">
        <v>61</v>
      </c>
    </row>
    <row r="86" spans="1:10" ht="15.75" customHeight="1" x14ac:dyDescent="0.2"/>
    <row r="87" spans="1:10" ht="15.75" customHeight="1" x14ac:dyDescent="0.2"/>
    <row r="88" spans="1:10" ht="15.75" customHeight="1" x14ac:dyDescent="0.2"/>
    <row r="89" spans="1:10" ht="15.75" customHeight="1" x14ac:dyDescent="0.2"/>
    <row r="90" spans="1:10" ht="15.75" customHeight="1" x14ac:dyDescent="0.2"/>
    <row r="91" spans="1:10" ht="15.75" customHeight="1" x14ac:dyDescent="0.2"/>
    <row r="92" spans="1:10" ht="15.75" customHeight="1" x14ac:dyDescent="0.2"/>
    <row r="93" spans="1:10" ht="15.75" customHeight="1" x14ac:dyDescent="0.2"/>
    <row r="94" spans="1:10" ht="15.75" customHeight="1" x14ac:dyDescent="0.2"/>
    <row r="95" spans="1:10" ht="15.75" customHeight="1" x14ac:dyDescent="0.2"/>
    <row r="96" spans="1:1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427E-6A8A-B345-9CEE-96E28E581634}">
  <dimension ref="A1:AB18"/>
  <sheetViews>
    <sheetView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sheetData>
    <row r="1" spans="1:28" s="36" customFormat="1" ht="119" x14ac:dyDescent="0.2">
      <c r="A1" s="37" t="s">
        <v>3</v>
      </c>
      <c r="B1" s="37" t="s">
        <v>111</v>
      </c>
      <c r="C1" s="37" t="s">
        <v>103</v>
      </c>
      <c r="D1" s="37" t="s">
        <v>104</v>
      </c>
      <c r="E1" s="37" t="s">
        <v>112</v>
      </c>
      <c r="F1" s="37" t="s">
        <v>113</v>
      </c>
      <c r="G1" s="37" t="s">
        <v>114</v>
      </c>
      <c r="H1" s="37" t="s">
        <v>94</v>
      </c>
      <c r="I1" s="37" t="s">
        <v>96</v>
      </c>
      <c r="J1" s="37" t="s">
        <v>95</v>
      </c>
      <c r="K1" s="37" t="s">
        <v>105</v>
      </c>
      <c r="L1" s="37" t="s">
        <v>106</v>
      </c>
      <c r="M1" s="37" t="s">
        <v>107</v>
      </c>
      <c r="N1" s="37" t="s">
        <v>115</v>
      </c>
      <c r="O1" s="37" t="s">
        <v>116</v>
      </c>
      <c r="P1" s="37" t="s">
        <v>117</v>
      </c>
      <c r="Q1" s="37" t="s">
        <v>97</v>
      </c>
      <c r="R1" s="37" t="s">
        <v>98</v>
      </c>
      <c r="S1" s="37" t="s">
        <v>99</v>
      </c>
      <c r="T1" s="37" t="s">
        <v>108</v>
      </c>
      <c r="U1" s="37" t="s">
        <v>109</v>
      </c>
      <c r="V1" s="37" t="s">
        <v>110</v>
      </c>
      <c r="W1" s="37" t="s">
        <v>118</v>
      </c>
      <c r="X1" s="37" t="s">
        <v>119</v>
      </c>
      <c r="Y1" s="37" t="s">
        <v>120</v>
      </c>
      <c r="Z1" s="37" t="s">
        <v>100</v>
      </c>
      <c r="AA1" s="37" t="s">
        <v>101</v>
      </c>
      <c r="AB1" s="37" t="s">
        <v>102</v>
      </c>
    </row>
    <row r="2" spans="1:28" x14ac:dyDescent="0.2">
      <c r="A2" s="38">
        <v>2006</v>
      </c>
      <c r="B2" s="38">
        <v>1759.675</v>
      </c>
      <c r="C2" s="38">
        <v>8252.1280000000006</v>
      </c>
      <c r="D2" s="38">
        <v>2338.239</v>
      </c>
      <c r="E2" s="38">
        <v>2515.0121107219702</v>
      </c>
      <c r="F2" s="38">
        <v>11794.338079036101</v>
      </c>
      <c r="G2" s="38">
        <v>3341.9235954153</v>
      </c>
      <c r="H2" s="38">
        <f>E2/E$6</f>
        <v>0.62439173811089921</v>
      </c>
      <c r="I2" s="38">
        <f t="shared" ref="I2:J2" si="0">F2/F$6</f>
        <v>0.87643300574290495</v>
      </c>
      <c r="J2" s="38">
        <f t="shared" si="0"/>
        <v>0.73980611361875803</v>
      </c>
      <c r="K2" s="38">
        <v>1447.816</v>
      </c>
      <c r="L2" s="38">
        <v>7665.1270000000004</v>
      </c>
      <c r="M2" s="38">
        <v>1191.2950000000001</v>
      </c>
      <c r="N2" s="38">
        <v>2069.2882345302601</v>
      </c>
      <c r="O2" s="38">
        <v>10955.3680283131</v>
      </c>
      <c r="P2" s="38">
        <v>1702.65608844959</v>
      </c>
      <c r="Q2" s="38">
        <f>N2/N$6</f>
        <v>0.49218249519787322</v>
      </c>
      <c r="R2" s="38">
        <f t="shared" ref="R2:S2" si="1">O2/O$6</f>
        <v>0.79144382108784994</v>
      </c>
      <c r="S2" s="38">
        <f t="shared" si="1"/>
        <v>0.61696239685347032</v>
      </c>
      <c r="T2" s="38">
        <v>417.50400000000002</v>
      </c>
      <c r="U2" s="38">
        <v>2012.02</v>
      </c>
      <c r="V2" s="38">
        <v>487.49200000000002</v>
      </c>
      <c r="W2" s="38">
        <v>596.716789336023</v>
      </c>
      <c r="X2" s="38">
        <v>2875.6757168311301</v>
      </c>
      <c r="Y2" s="38">
        <v>696.747003781991</v>
      </c>
      <c r="Z2" s="38">
        <f>W2/W$6</f>
        <v>0.6748223065665172</v>
      </c>
      <c r="AA2" s="38">
        <f t="shared" ref="AA2:AB2" si="2">X2/X$6</f>
        <v>0.85264370113303756</v>
      </c>
      <c r="AB2" s="38">
        <f t="shared" si="2"/>
        <v>0.59925766995491048</v>
      </c>
    </row>
    <row r="3" spans="1:28" x14ac:dyDescent="0.2">
      <c r="A3" s="38">
        <v>2007</v>
      </c>
      <c r="B3" s="38">
        <v>1671.7639999999999</v>
      </c>
      <c r="C3" s="38">
        <v>8811.1720000000005</v>
      </c>
      <c r="D3" s="38">
        <v>2602.9740000000002</v>
      </c>
      <c r="E3" s="38">
        <v>2334.8439022019302</v>
      </c>
      <c r="F3" s="38">
        <v>12305.9900891827</v>
      </c>
      <c r="G3" s="38">
        <v>3635.4042624976801</v>
      </c>
      <c r="H3" s="38">
        <f t="shared" ref="H3:H18" si="3">E3/E$6</f>
        <v>0.57966211617764296</v>
      </c>
      <c r="I3" s="38">
        <f t="shared" ref="I3:I18" si="4">F3/F$6</f>
        <v>0.91445368194721399</v>
      </c>
      <c r="J3" s="38">
        <f t="shared" ref="J3:J18" si="5">G3/G$6</f>
        <v>0.80477432295613371</v>
      </c>
      <c r="K3" s="38">
        <v>1583.729</v>
      </c>
      <c r="L3" s="38">
        <v>8174.3950000000004</v>
      </c>
      <c r="M3" s="38">
        <v>1212.9765689999999</v>
      </c>
      <c r="N3" s="38">
        <v>2211.89115113758</v>
      </c>
      <c r="O3" s="38">
        <v>11416.6451245151</v>
      </c>
      <c r="P3" s="38">
        <v>1694.08537667007</v>
      </c>
      <c r="Q3" s="38">
        <f t="shared" ref="Q3:Q18" si="6">N3/N$6</f>
        <v>0.52610075663051392</v>
      </c>
      <c r="R3" s="38">
        <f t="shared" ref="R3:R18" si="7">O3/O$6</f>
        <v>0.82476765892286541</v>
      </c>
      <c r="S3" s="38">
        <f t="shared" ref="S3:S18" si="8">P3/P$6</f>
        <v>0.61385677445673137</v>
      </c>
      <c r="T3" s="38">
        <v>559.04499999999996</v>
      </c>
      <c r="U3" s="38">
        <v>2126.9140000000002</v>
      </c>
      <c r="V3" s="38">
        <v>555.67499999999995</v>
      </c>
      <c r="W3" s="38">
        <v>780.78174270200805</v>
      </c>
      <c r="X3" s="38">
        <v>2970.5222647502401</v>
      </c>
      <c r="Y3" s="38">
        <v>776.07508317924101</v>
      </c>
      <c r="Z3" s="38">
        <f t="shared" ref="Z3:Z18" si="9">W3/W$6</f>
        <v>0.88297990931589565</v>
      </c>
      <c r="AA3" s="38">
        <f t="shared" ref="AA3:AA18" si="10">X3/X$6</f>
        <v>0.88076589557384799</v>
      </c>
      <c r="AB3" s="38">
        <f t="shared" ref="AB3:AB18" si="11">Y3/Y$6</f>
        <v>0.66748610834582545</v>
      </c>
    </row>
    <row r="4" spans="1:28" x14ac:dyDescent="0.2">
      <c r="A4" s="38">
        <v>2008</v>
      </c>
      <c r="B4" s="38">
        <v>2003.433</v>
      </c>
      <c r="C4" s="38">
        <v>9342.7659999999996</v>
      </c>
      <c r="D4" s="38">
        <v>2808.8670000000002</v>
      </c>
      <c r="E4" s="38">
        <v>2735.2405290861798</v>
      </c>
      <c r="F4" s="38">
        <v>12755.461359061301</v>
      </c>
      <c r="G4" s="38">
        <v>3834.8808566159801</v>
      </c>
      <c r="H4" s="38">
        <f t="shared" si="3"/>
        <v>0.67906694398271883</v>
      </c>
      <c r="I4" s="38">
        <f t="shared" si="4"/>
        <v>0.94785372978499616</v>
      </c>
      <c r="J4" s="38">
        <f t="shared" si="5"/>
        <v>0.84893272443934498</v>
      </c>
      <c r="K4" s="38">
        <v>1715.5830000000001</v>
      </c>
      <c r="L4" s="38">
        <v>8681.6129999999994</v>
      </c>
      <c r="M4" s="38">
        <v>1212.9765689999999</v>
      </c>
      <c r="N4" s="38">
        <v>2342.2456117131201</v>
      </c>
      <c r="O4" s="38">
        <v>11852.8045287471</v>
      </c>
      <c r="P4" s="38">
        <v>1656.0487285378099</v>
      </c>
      <c r="Q4" s="38">
        <f t="shared" si="6"/>
        <v>0.55710570924930969</v>
      </c>
      <c r="R4" s="38">
        <f t="shared" si="7"/>
        <v>0.85627693041394159</v>
      </c>
      <c r="S4" s="38">
        <f t="shared" si="8"/>
        <v>0.60007408413004293</v>
      </c>
      <c r="T4" s="38">
        <v>557.45399999999995</v>
      </c>
      <c r="U4" s="38">
        <v>2249.971</v>
      </c>
      <c r="V4" s="38">
        <v>601.56700000000001</v>
      </c>
      <c r="W4" s="38">
        <v>761.07899485593498</v>
      </c>
      <c r="X4" s="38">
        <v>3071.8331326620701</v>
      </c>
      <c r="Y4" s="38">
        <v>821.305448877397</v>
      </c>
      <c r="Z4" s="38">
        <f t="shared" si="9"/>
        <v>0.86069822731063483</v>
      </c>
      <c r="AA4" s="38">
        <f t="shared" si="10"/>
        <v>0.9108047740453511</v>
      </c>
      <c r="AB4" s="38">
        <f t="shared" si="11"/>
        <v>0.70638780926790989</v>
      </c>
    </row>
    <row r="5" spans="1:28" x14ac:dyDescent="0.2">
      <c r="A5" s="38">
        <v>2009</v>
      </c>
      <c r="B5" s="38">
        <v>2786.1219999999998</v>
      </c>
      <c r="C5" s="38">
        <v>9786.8520000000008</v>
      </c>
      <c r="D5" s="38">
        <v>3121.2330000000002</v>
      </c>
      <c r="E5" s="38">
        <v>3740.1244676559299</v>
      </c>
      <c r="F5" s="38">
        <v>13137.9905928482</v>
      </c>
      <c r="G5" s="38">
        <v>4189.9815989950002</v>
      </c>
      <c r="H5" s="38">
        <f t="shared" si="3"/>
        <v>0.92854535656307668</v>
      </c>
      <c r="I5" s="38">
        <f t="shared" si="4"/>
        <v>0.97627933908207865</v>
      </c>
      <c r="J5" s="38">
        <f t="shared" si="5"/>
        <v>0.92754185258427269</v>
      </c>
      <c r="K5" s="38">
        <v>2207.549</v>
      </c>
      <c r="L5" s="38">
        <v>9985.8130000000001</v>
      </c>
      <c r="M5" s="38">
        <v>1810.306</v>
      </c>
      <c r="N5" s="38">
        <v>2963.4409507011501</v>
      </c>
      <c r="O5" s="38">
        <v>13405.0782882934</v>
      </c>
      <c r="P5" s="38">
        <v>2430.1770577685902</v>
      </c>
      <c r="Q5" s="38">
        <f t="shared" si="6"/>
        <v>0.70485770766427303</v>
      </c>
      <c r="R5" s="38">
        <f t="shared" si="7"/>
        <v>0.96841715906301018</v>
      </c>
      <c r="S5" s="38">
        <f t="shared" si="8"/>
        <v>0.880581740793284</v>
      </c>
      <c r="T5" s="38">
        <v>588.58100000000002</v>
      </c>
      <c r="U5" s="38">
        <v>2380.431</v>
      </c>
      <c r="V5" s="38">
        <v>777.64800000000002</v>
      </c>
      <c r="W5" s="38">
        <v>790.11837934498203</v>
      </c>
      <c r="X5" s="38">
        <v>3195.51987553549</v>
      </c>
      <c r="Y5" s="38">
        <v>1043.9242474032701</v>
      </c>
      <c r="Z5" s="38">
        <f t="shared" si="9"/>
        <v>0.89353863799184918</v>
      </c>
      <c r="AA5" s="38">
        <f t="shared" si="10"/>
        <v>0.94747814497081007</v>
      </c>
      <c r="AB5" s="38">
        <f t="shared" si="11"/>
        <v>0.89785762796628865</v>
      </c>
    </row>
    <row r="6" spans="1:28" x14ac:dyDescent="0.2">
      <c r="A6" s="38">
        <v>2010</v>
      </c>
      <c r="B6" s="38">
        <v>3029.2530000000002</v>
      </c>
      <c r="C6" s="38">
        <v>10120.628000000001</v>
      </c>
      <c r="D6" s="38">
        <v>3397.279</v>
      </c>
      <c r="E6" s="38">
        <v>4027.93944444421</v>
      </c>
      <c r="F6" s="38">
        <v>13457.204374724201</v>
      </c>
      <c r="G6" s="38">
        <v>4517.2965374242403</v>
      </c>
      <c r="H6" s="38">
        <f t="shared" si="3"/>
        <v>1</v>
      </c>
      <c r="I6" s="38">
        <f t="shared" si="4"/>
        <v>1</v>
      </c>
      <c r="J6" s="38">
        <f t="shared" si="5"/>
        <v>1</v>
      </c>
      <c r="K6" s="38">
        <v>3161.8949625</v>
      </c>
      <c r="L6" s="38">
        <v>10410.210052500001</v>
      </c>
      <c r="M6" s="38">
        <v>2075.491</v>
      </c>
      <c r="N6" s="38">
        <v>4204.31091052586</v>
      </c>
      <c r="O6" s="38">
        <v>13842.256059633901</v>
      </c>
      <c r="P6" s="38">
        <v>2759.7404592778998</v>
      </c>
      <c r="Q6" s="38">
        <f t="shared" si="6"/>
        <v>1</v>
      </c>
      <c r="R6" s="38">
        <f t="shared" si="7"/>
        <v>1</v>
      </c>
      <c r="S6" s="38">
        <f t="shared" si="8"/>
        <v>1</v>
      </c>
      <c r="T6" s="38">
        <v>665.01499999999999</v>
      </c>
      <c r="U6" s="38">
        <v>2536.442</v>
      </c>
      <c r="V6" s="38">
        <v>874.40800000000002</v>
      </c>
      <c r="W6" s="38">
        <v>884.257653503048</v>
      </c>
      <c r="X6" s="38">
        <v>3372.6581372849901</v>
      </c>
      <c r="Y6" s="38">
        <v>1162.6834977922199</v>
      </c>
      <c r="Z6" s="38">
        <f t="shared" si="9"/>
        <v>1</v>
      </c>
      <c r="AA6" s="38">
        <f t="shared" si="10"/>
        <v>1</v>
      </c>
      <c r="AB6" s="38">
        <f t="shared" si="11"/>
        <v>1</v>
      </c>
    </row>
    <row r="7" spans="1:28" x14ac:dyDescent="0.2">
      <c r="A7" s="38">
        <v>2011</v>
      </c>
      <c r="B7" s="38">
        <v>3977.4630000000002</v>
      </c>
      <c r="C7" s="38">
        <v>10643.207</v>
      </c>
      <c r="D7" s="38">
        <v>3708.1170000000002</v>
      </c>
      <c r="E7" s="38">
        <v>5202.4793019069402</v>
      </c>
      <c r="F7" s="38">
        <v>13921.2015607464</v>
      </c>
      <c r="G7" s="38">
        <v>4850.1775985217901</v>
      </c>
      <c r="H7" s="38">
        <f t="shared" si="3"/>
        <v>1.2915981914978361</v>
      </c>
      <c r="I7" s="38">
        <f t="shared" si="4"/>
        <v>1.034479463423599</v>
      </c>
      <c r="J7" s="38">
        <f t="shared" si="5"/>
        <v>1.0736903274646119</v>
      </c>
      <c r="K7" s="38">
        <v>3387.1984583687499</v>
      </c>
      <c r="L7" s="38">
        <v>10863.054189783699</v>
      </c>
      <c r="M7" s="38">
        <v>2041</v>
      </c>
      <c r="N7" s="38">
        <v>4430.4195591799398</v>
      </c>
      <c r="O7" s="38">
        <v>14208.759346810601</v>
      </c>
      <c r="P7" s="38">
        <v>2669.60629305466</v>
      </c>
      <c r="Q7" s="38">
        <f t="shared" si="6"/>
        <v>1.0537801921565784</v>
      </c>
      <c r="R7" s="38">
        <f t="shared" si="7"/>
        <v>1.0264771353454065</v>
      </c>
      <c r="S7" s="38">
        <f t="shared" si="8"/>
        <v>0.96733962212996516</v>
      </c>
      <c r="T7" s="38">
        <v>788.61900000000003</v>
      </c>
      <c r="U7" s="38">
        <v>2664.8789999999999</v>
      </c>
      <c r="V7" s="38">
        <v>999.67600000000004</v>
      </c>
      <c r="W7" s="38">
        <v>1031.50526468519</v>
      </c>
      <c r="X7" s="38">
        <v>3485.6333898232301</v>
      </c>
      <c r="Y7" s="38">
        <v>1307.5655759998599</v>
      </c>
      <c r="Z7" s="38">
        <f t="shared" si="9"/>
        <v>1.1665211611104642</v>
      </c>
      <c r="AA7" s="38">
        <f t="shared" si="10"/>
        <v>1.0334973922465756</v>
      </c>
      <c r="AB7" s="38">
        <f t="shared" si="11"/>
        <v>1.1246100752980082</v>
      </c>
    </row>
    <row r="8" spans="1:28" x14ac:dyDescent="0.2">
      <c r="A8" s="38">
        <v>2012</v>
      </c>
      <c r="B8" s="38">
        <v>4264.3450000000003</v>
      </c>
      <c r="C8" s="38">
        <v>11319.159</v>
      </c>
      <c r="D8" s="38">
        <v>3979.59</v>
      </c>
      <c r="E8" s="38">
        <v>5462.39387766666</v>
      </c>
      <c r="F8" s="38">
        <v>14499.226685912001</v>
      </c>
      <c r="G8" s="38">
        <v>5097.6382191458397</v>
      </c>
      <c r="H8" s="38">
        <f t="shared" si="3"/>
        <v>1.3561261168414565</v>
      </c>
      <c r="I8" s="38">
        <f t="shared" si="4"/>
        <v>1.077432301849035</v>
      </c>
      <c r="J8" s="38">
        <f t="shared" si="5"/>
        <v>1.1284710173250017</v>
      </c>
      <c r="K8" s="38">
        <v>3616.3154583687501</v>
      </c>
      <c r="L8" s="38">
        <v>10863.054189783699</v>
      </c>
      <c r="M8" s="38">
        <v>2568.6329999999998</v>
      </c>
      <c r="N8" s="38">
        <v>4632.3033008597404</v>
      </c>
      <c r="O8" s="38">
        <v>13914.9812454283</v>
      </c>
      <c r="P8" s="38">
        <v>3290.2790869811301</v>
      </c>
      <c r="Q8" s="38">
        <f t="shared" si="6"/>
        <v>1.1017984633967874</v>
      </c>
      <c r="R8" s="38">
        <f t="shared" si="7"/>
        <v>1.0052538535251112</v>
      </c>
      <c r="S8" s="38">
        <f t="shared" si="8"/>
        <v>1.1922422182562953</v>
      </c>
      <c r="T8" s="38">
        <v>945.43200000000002</v>
      </c>
      <c r="U8" s="38">
        <v>2815.9749999999999</v>
      </c>
      <c r="V8" s="38">
        <v>1086.5889999999999</v>
      </c>
      <c r="W8" s="38">
        <v>1211.04694121843</v>
      </c>
      <c r="X8" s="38">
        <v>3607.11072853213</v>
      </c>
      <c r="Y8" s="38">
        <v>1391.8613763989399</v>
      </c>
      <c r="Z8" s="38">
        <f t="shared" si="9"/>
        <v>1.3695634257965239</v>
      </c>
      <c r="AA8" s="38">
        <f t="shared" si="10"/>
        <v>1.0695156703418141</v>
      </c>
      <c r="AB8" s="38">
        <f t="shared" si="11"/>
        <v>1.1971111476527345</v>
      </c>
    </row>
    <row r="9" spans="1:28" x14ac:dyDescent="0.2">
      <c r="A9" s="38">
        <v>2013</v>
      </c>
      <c r="B9" s="38">
        <v>4547.5129999999999</v>
      </c>
      <c r="C9" s="38">
        <v>12007.289000000001</v>
      </c>
      <c r="D9" s="38">
        <v>4370.2709999999997</v>
      </c>
      <c r="E9" s="38">
        <v>5724.12632365835</v>
      </c>
      <c r="F9" s="38">
        <v>15114.028050205299</v>
      </c>
      <c r="G9" s="38">
        <v>5501.0251257381196</v>
      </c>
      <c r="H9" s="38">
        <f t="shared" si="3"/>
        <v>1.421105357369191</v>
      </c>
      <c r="I9" s="38">
        <f t="shared" si="4"/>
        <v>1.1231179693304654</v>
      </c>
      <c r="J9" s="38">
        <f t="shared" si="5"/>
        <v>1.2177693184771086</v>
      </c>
      <c r="K9" s="38">
        <v>4234.9603680989903</v>
      </c>
      <c r="L9" s="38">
        <v>13403.033276517101</v>
      </c>
      <c r="M9" s="38">
        <v>3256.2376399999998</v>
      </c>
      <c r="N9" s="38">
        <v>5330.7045241399601</v>
      </c>
      <c r="O9" s="38">
        <v>16870.904073277001</v>
      </c>
      <c r="P9" s="38">
        <v>4098.7492704718297</v>
      </c>
      <c r="Q9" s="38">
        <f t="shared" si="6"/>
        <v>1.2679139667796868</v>
      </c>
      <c r="R9" s="38">
        <f t="shared" si="7"/>
        <v>1.218797282798076</v>
      </c>
      <c r="S9" s="38">
        <f t="shared" si="8"/>
        <v>1.4851937459163418</v>
      </c>
      <c r="T9" s="38">
        <v>963.60900000000004</v>
      </c>
      <c r="U9" s="38">
        <v>2982.7069999999999</v>
      </c>
      <c r="V9" s="38">
        <v>1182.444</v>
      </c>
      <c r="W9" s="38">
        <v>1212.9310334273</v>
      </c>
      <c r="X9" s="38">
        <v>3754.4459255993402</v>
      </c>
      <c r="Y9" s="38">
        <v>1488.3869109669099</v>
      </c>
      <c r="Z9" s="38">
        <f t="shared" si="9"/>
        <v>1.3716941308024755</v>
      </c>
      <c r="AA9" s="38">
        <f t="shared" si="10"/>
        <v>1.1132008560528734</v>
      </c>
      <c r="AB9" s="38">
        <f t="shared" si="11"/>
        <v>1.2801307611169825</v>
      </c>
    </row>
    <row r="10" spans="1:28" x14ac:dyDescent="0.2">
      <c r="A10" s="38">
        <v>2014</v>
      </c>
      <c r="B10" s="38">
        <v>4773.433</v>
      </c>
      <c r="C10" s="38">
        <v>12757.508</v>
      </c>
      <c r="D10" s="38">
        <v>4757.1390000000001</v>
      </c>
      <c r="E10" s="38">
        <v>5905.1542412846002</v>
      </c>
      <c r="F10" s="38">
        <v>15782.1535306816</v>
      </c>
      <c r="G10" s="38">
        <v>5884.9971377477004</v>
      </c>
      <c r="H10" s="38">
        <f t="shared" si="3"/>
        <v>1.4660484157550226</v>
      </c>
      <c r="I10" s="38">
        <f t="shared" si="4"/>
        <v>1.1727661326392724</v>
      </c>
      <c r="J10" s="38">
        <f t="shared" si="5"/>
        <v>1.3027697183464786</v>
      </c>
      <c r="K10" s="38">
        <v>4291.1563904786199</v>
      </c>
      <c r="L10" s="38">
        <v>14362.899484344</v>
      </c>
      <c r="M10" s="38">
        <v>4076.1611520341298</v>
      </c>
      <c r="N10" s="38">
        <v>5308.5358816705702</v>
      </c>
      <c r="O10" s="38">
        <v>17768.163250038</v>
      </c>
      <c r="P10" s="38">
        <v>5042.5679621132003</v>
      </c>
      <c r="Q10" s="38">
        <f t="shared" si="6"/>
        <v>1.262641130650016</v>
      </c>
      <c r="R10" s="38">
        <f t="shared" si="7"/>
        <v>1.2836175818082598</v>
      </c>
      <c r="S10" s="38">
        <f t="shared" si="8"/>
        <v>1.8271892000426062</v>
      </c>
      <c r="T10" s="38">
        <v>702.58100000000002</v>
      </c>
      <c r="U10" s="38">
        <v>3100.9659999999999</v>
      </c>
      <c r="V10" s="38">
        <v>1222.194</v>
      </c>
      <c r="W10" s="38">
        <v>869.15416472714298</v>
      </c>
      <c r="X10" s="38">
        <v>3836.1662407284998</v>
      </c>
      <c r="Y10" s="38">
        <v>1511.9609058664</v>
      </c>
      <c r="Z10" s="38">
        <f t="shared" si="9"/>
        <v>0.98291958377055433</v>
      </c>
      <c r="AA10" s="38">
        <f t="shared" si="10"/>
        <v>1.1374310957637219</v>
      </c>
      <c r="AB10" s="38">
        <f t="shared" si="11"/>
        <v>1.300406265967833</v>
      </c>
    </row>
    <row r="11" spans="1:28" x14ac:dyDescent="0.2">
      <c r="A11" s="38">
        <v>2015</v>
      </c>
      <c r="B11" s="38">
        <v>5003.2860000000001</v>
      </c>
      <c r="C11" s="38">
        <v>12988.047</v>
      </c>
      <c r="D11" s="38">
        <v>5320.2920000000004</v>
      </c>
      <c r="E11" s="38">
        <v>6078.2311776353599</v>
      </c>
      <c r="F11" s="38">
        <v>15778.500811665201</v>
      </c>
      <c r="G11" s="38">
        <v>6463.3452312188401</v>
      </c>
      <c r="H11" s="38">
        <f t="shared" si="3"/>
        <v>1.5090175166409576</v>
      </c>
      <c r="I11" s="38">
        <f t="shared" si="4"/>
        <v>1.1724947004075335</v>
      </c>
      <c r="J11" s="38">
        <f t="shared" si="5"/>
        <v>1.4307994123636247</v>
      </c>
      <c r="K11" s="38">
        <v>2288</v>
      </c>
      <c r="L11" s="38">
        <v>15264</v>
      </c>
      <c r="M11" s="38">
        <v>4679.3761713920503</v>
      </c>
      <c r="N11" s="38">
        <v>2779.5718522646298</v>
      </c>
      <c r="O11" s="38">
        <v>18543.437392031199</v>
      </c>
      <c r="P11" s="38">
        <v>5684.7300227968499</v>
      </c>
      <c r="Q11" s="38">
        <f t="shared" si="6"/>
        <v>0.6611242392435176</v>
      </c>
      <c r="R11" s="38">
        <f t="shared" si="7"/>
        <v>1.3396253697478295</v>
      </c>
      <c r="S11" s="38">
        <f t="shared" si="8"/>
        <v>2.0598784946191238</v>
      </c>
      <c r="T11" s="38">
        <v>704.03399999999999</v>
      </c>
      <c r="U11" s="38">
        <v>3192.9250000000002</v>
      </c>
      <c r="V11" s="38">
        <v>2820.1109999999999</v>
      </c>
      <c r="W11" s="38">
        <v>855.29418244636304</v>
      </c>
      <c r="X11" s="38">
        <v>3878.9180316398802</v>
      </c>
      <c r="Y11" s="38">
        <v>3426.0057499396298</v>
      </c>
      <c r="Z11" s="38">
        <f t="shared" si="9"/>
        <v>0.9672454392201818</v>
      </c>
      <c r="AA11" s="38">
        <f t="shared" si="10"/>
        <v>1.1501070887553495</v>
      </c>
      <c r="AB11" s="38">
        <f t="shared" si="11"/>
        <v>2.9466366009710772</v>
      </c>
    </row>
    <row r="12" spans="1:28" x14ac:dyDescent="0.2">
      <c r="A12" s="38">
        <v>2016</v>
      </c>
      <c r="B12" s="38">
        <v>5232</v>
      </c>
      <c r="C12" s="38">
        <v>13622</v>
      </c>
      <c r="D12" s="38">
        <v>5846</v>
      </c>
      <c r="E12" s="38">
        <v>6218.8477706089798</v>
      </c>
      <c r="F12" s="38">
        <v>16191.3502162147</v>
      </c>
      <c r="G12" s="38">
        <v>6948.6590342087302</v>
      </c>
      <c r="H12" s="38">
        <f t="shared" si="3"/>
        <v>1.5439278212552869</v>
      </c>
      <c r="I12" s="38">
        <f t="shared" si="4"/>
        <v>1.2031733906505775</v>
      </c>
      <c r="J12" s="38">
        <f t="shared" si="5"/>
        <v>1.5382339805769871</v>
      </c>
      <c r="K12" s="38">
        <v>2307</v>
      </c>
      <c r="L12" s="38">
        <v>16406</v>
      </c>
      <c r="M12" s="38">
        <v>5171</v>
      </c>
      <c r="N12" s="38">
        <v>2742.14101811829</v>
      </c>
      <c r="O12" s="38">
        <v>19500.4618739699</v>
      </c>
      <c r="P12" s="38">
        <v>6146.3420913262598</v>
      </c>
      <c r="Q12" s="38">
        <f t="shared" si="6"/>
        <v>0.6522212739436325</v>
      </c>
      <c r="R12" s="38">
        <f t="shared" si="7"/>
        <v>1.4087632673431159</v>
      </c>
      <c r="S12" s="38">
        <f t="shared" si="8"/>
        <v>2.2271449732394335</v>
      </c>
      <c r="T12" s="38">
        <v>670</v>
      </c>
      <c r="U12" s="38">
        <v>3428</v>
      </c>
      <c r="V12" s="38">
        <v>2896</v>
      </c>
      <c r="W12" s="38">
        <v>796.37385441666902</v>
      </c>
      <c r="X12" s="38">
        <v>4074.58145214976</v>
      </c>
      <c r="Y12" s="38">
        <v>3442.2368393890602</v>
      </c>
      <c r="Z12" s="38">
        <f t="shared" si="9"/>
        <v>0.90061290536958183</v>
      </c>
      <c r="AA12" s="38">
        <f t="shared" si="10"/>
        <v>1.2081216910498442</v>
      </c>
      <c r="AB12" s="38">
        <f t="shared" si="11"/>
        <v>2.9605966248986988</v>
      </c>
    </row>
    <row r="13" spans="1:28" x14ac:dyDescent="0.2">
      <c r="A13" s="38">
        <v>2017</v>
      </c>
      <c r="B13" s="38">
        <v>5321</v>
      </c>
      <c r="C13" s="38">
        <v>13838</v>
      </c>
      <c r="D13" s="38">
        <v>6964</v>
      </c>
      <c r="E13" s="38">
        <v>6210.5361874262499</v>
      </c>
      <c r="F13" s="38">
        <v>16151.362481038201</v>
      </c>
      <c r="G13" s="38">
        <v>8128.2040987101</v>
      </c>
      <c r="H13" s="38">
        <f t="shared" si="3"/>
        <v>1.5418643385993611</v>
      </c>
      <c r="I13" s="38">
        <f t="shared" si="4"/>
        <v>1.2002019164823166</v>
      </c>
      <c r="J13" s="38">
        <f t="shared" si="5"/>
        <v>1.7993514553164129</v>
      </c>
      <c r="K13" s="38">
        <v>2332</v>
      </c>
      <c r="L13" s="38">
        <v>17843</v>
      </c>
      <c r="M13" s="38">
        <v>5429</v>
      </c>
      <c r="N13" s="38">
        <v>2721.8512289189998</v>
      </c>
      <c r="O13" s="38">
        <v>20825.896860035002</v>
      </c>
      <c r="P13" s="38">
        <v>6336.5910470846002</v>
      </c>
      <c r="Q13" s="38">
        <f t="shared" si="6"/>
        <v>0.6473953251422504</v>
      </c>
      <c r="R13" s="38">
        <f t="shared" si="7"/>
        <v>1.5045160825168122</v>
      </c>
      <c r="S13" s="38">
        <f t="shared" si="8"/>
        <v>2.2960822369298457</v>
      </c>
      <c r="T13" s="38">
        <v>665</v>
      </c>
      <c r="U13" s="38">
        <v>3609</v>
      </c>
      <c r="V13" s="38">
        <v>3207</v>
      </c>
      <c r="W13" s="38">
        <v>776.17112659997395</v>
      </c>
      <c r="X13" s="38">
        <v>4212.3332269162502</v>
      </c>
      <c r="Y13" s="38">
        <v>3743.12902707686</v>
      </c>
      <c r="Z13" s="38">
        <f t="shared" si="9"/>
        <v>0.87776579996239579</v>
      </c>
      <c r="AA13" s="38">
        <f t="shared" si="10"/>
        <v>1.2489653725495</v>
      </c>
      <c r="AB13" s="38">
        <f t="shared" si="11"/>
        <v>3.2193877647567546</v>
      </c>
    </row>
    <row r="14" spans="1:28" x14ac:dyDescent="0.2">
      <c r="A14" s="38">
        <v>2018</v>
      </c>
      <c r="B14" s="38">
        <v>5321</v>
      </c>
      <c r="C14" s="38">
        <v>13838</v>
      </c>
      <c r="D14" s="38">
        <v>6964</v>
      </c>
      <c r="E14" s="38">
        <v>6080.1118663826601</v>
      </c>
      <c r="F14" s="38">
        <v>15812.1759081006</v>
      </c>
      <c r="G14" s="38">
        <v>7957.5078063313003</v>
      </c>
      <c r="H14" s="38">
        <f t="shared" si="3"/>
        <v>1.5094844275201402</v>
      </c>
      <c r="I14" s="38">
        <f t="shared" si="4"/>
        <v>1.1749970846693532</v>
      </c>
      <c r="J14" s="38">
        <f t="shared" si="5"/>
        <v>1.7615641878734545</v>
      </c>
      <c r="K14" s="38">
        <v>2244</v>
      </c>
      <c r="L14" s="38">
        <v>20077</v>
      </c>
      <c r="M14" s="38">
        <v>5429</v>
      </c>
      <c r="N14" s="38">
        <v>2564.1366337460399</v>
      </c>
      <c r="O14" s="38">
        <v>22941.252761015701</v>
      </c>
      <c r="P14" s="38">
        <v>6203.51951185707</v>
      </c>
      <c r="Q14" s="38">
        <f t="shared" si="6"/>
        <v>0.60988273424938666</v>
      </c>
      <c r="R14" s="38">
        <f t="shared" si="7"/>
        <v>1.6573348059869981</v>
      </c>
      <c r="S14" s="38">
        <f t="shared" si="8"/>
        <v>2.2478633782396527</v>
      </c>
      <c r="T14" s="38">
        <v>634</v>
      </c>
      <c r="U14" s="38">
        <v>3913</v>
      </c>
      <c r="V14" s="38">
        <v>3244</v>
      </c>
      <c r="W14" s="38">
        <v>724.44858547013803</v>
      </c>
      <c r="X14" s="38">
        <v>4471.2418216792603</v>
      </c>
      <c r="Y14" s="38">
        <v>3706.8000177683398</v>
      </c>
      <c r="Z14" s="38">
        <f t="shared" si="9"/>
        <v>0.81927318649737968</v>
      </c>
      <c r="AA14" s="38">
        <f t="shared" si="10"/>
        <v>1.3257322976940191</v>
      </c>
      <c r="AB14" s="38">
        <f t="shared" si="11"/>
        <v>3.1881419361391607</v>
      </c>
    </row>
    <row r="15" spans="1:28" x14ac:dyDescent="0.2">
      <c r="A15" s="38">
        <v>2019</v>
      </c>
      <c r="B15" s="38">
        <v>5321</v>
      </c>
      <c r="C15" s="38">
        <v>13838</v>
      </c>
      <c r="D15" s="38">
        <v>8476</v>
      </c>
      <c r="E15" s="38">
        <v>5949.5645032681596</v>
      </c>
      <c r="F15" s="38">
        <v>15472.6693471574</v>
      </c>
      <c r="G15" s="38">
        <v>9477.2615541629293</v>
      </c>
      <c r="H15" s="38">
        <f t="shared" si="3"/>
        <v>1.4770739692907926</v>
      </c>
      <c r="I15" s="38">
        <f t="shared" si="4"/>
        <v>1.1497684746631862</v>
      </c>
      <c r="J15" s="38">
        <f t="shared" si="5"/>
        <v>2.0979941156501667</v>
      </c>
      <c r="K15" s="38">
        <v>2282</v>
      </c>
      <c r="L15" s="38">
        <v>21922</v>
      </c>
      <c r="M15" s="38">
        <v>5624</v>
      </c>
      <c r="N15" s="38">
        <v>2551.57041842848</v>
      </c>
      <c r="O15" s="38">
        <v>24511.624326375601</v>
      </c>
      <c r="P15" s="38">
        <v>6288.3575956361801</v>
      </c>
      <c r="Q15" s="38">
        <f t="shared" si="6"/>
        <v>0.6068938460379798</v>
      </c>
      <c r="R15" s="38">
        <f t="shared" si="7"/>
        <v>1.7707824664402201</v>
      </c>
      <c r="S15" s="38">
        <f t="shared" si="8"/>
        <v>2.2786047051980973</v>
      </c>
      <c r="T15" s="38">
        <v>622</v>
      </c>
      <c r="U15" s="38">
        <v>4246</v>
      </c>
      <c r="V15" s="38">
        <v>3656</v>
      </c>
      <c r="W15" s="38">
        <v>695.47624901950701</v>
      </c>
      <c r="X15" s="38">
        <v>4747.5758092231899</v>
      </c>
      <c r="Y15" s="38">
        <v>4087.8796887705998</v>
      </c>
      <c r="Z15" s="38">
        <f t="shared" si="9"/>
        <v>0.78650859991353161</v>
      </c>
      <c r="AA15" s="38">
        <f t="shared" si="10"/>
        <v>1.4076658872532561</v>
      </c>
      <c r="AB15" s="38">
        <f t="shared" si="11"/>
        <v>3.5159006699010824</v>
      </c>
    </row>
    <row r="16" spans="1:28" x14ac:dyDescent="0.2">
      <c r="A16" s="38">
        <v>2020</v>
      </c>
      <c r="B16" s="38">
        <v>5400.5240000000003</v>
      </c>
      <c r="C16" s="38">
        <v>16817.602999999999</v>
      </c>
      <c r="D16" s="38">
        <v>9377.8700000000008</v>
      </c>
      <c r="E16" s="38">
        <v>5937.0572069500704</v>
      </c>
      <c r="F16" s="38">
        <v>18488.404290912302</v>
      </c>
      <c r="G16" s="38">
        <v>10309.54601245</v>
      </c>
      <c r="H16" s="38">
        <f t="shared" si="3"/>
        <v>1.4739688341489672</v>
      </c>
      <c r="I16" s="38">
        <f t="shared" si="4"/>
        <v>1.3738666498695584</v>
      </c>
      <c r="J16" s="38">
        <f t="shared" si="5"/>
        <v>2.2822380437146368</v>
      </c>
      <c r="K16" s="38">
        <v>2322.5100000000002</v>
      </c>
      <c r="L16" s="38">
        <v>23781.513999999999</v>
      </c>
      <c r="M16" s="38">
        <v>5829.1019999999999</v>
      </c>
      <c r="N16" s="38">
        <v>2553.24756147988</v>
      </c>
      <c r="O16" s="38">
        <v>26144.1684336342</v>
      </c>
      <c r="P16" s="38">
        <v>6408.2137287320702</v>
      </c>
      <c r="Q16" s="38">
        <f t="shared" si="6"/>
        <v>0.607292756367661</v>
      </c>
      <c r="R16" s="38">
        <f t="shared" si="7"/>
        <v>1.8887216304193739</v>
      </c>
      <c r="S16" s="38">
        <f t="shared" si="8"/>
        <v>2.3220349244032938</v>
      </c>
      <c r="T16" s="38">
        <v>610.29200000000003</v>
      </c>
      <c r="U16" s="38">
        <v>4412.8029999999999</v>
      </c>
      <c r="V16" s="38">
        <v>4359.5460000000003</v>
      </c>
      <c r="W16" s="38">
        <v>670.92350981941195</v>
      </c>
      <c r="X16" s="38">
        <v>4851.2077446560497</v>
      </c>
      <c r="Y16" s="38">
        <v>4792.6597490040504</v>
      </c>
      <c r="Z16" s="38">
        <f t="shared" si="9"/>
        <v>0.75874210097193051</v>
      </c>
      <c r="AA16" s="38">
        <f t="shared" si="10"/>
        <v>1.4383929669673847</v>
      </c>
      <c r="AB16" s="38">
        <f t="shared" si="11"/>
        <v>4.122067405364116</v>
      </c>
    </row>
    <row r="17" spans="1:28" x14ac:dyDescent="0.2">
      <c r="A17" s="38">
        <v>2021</v>
      </c>
      <c r="B17" s="38">
        <v>5180.1819999999998</v>
      </c>
      <c r="C17" s="38">
        <v>17958.395</v>
      </c>
      <c r="D17" s="38">
        <v>9886.3729999999996</v>
      </c>
      <c r="E17" s="38">
        <v>5498.8721723717799</v>
      </c>
      <c r="F17" s="38">
        <v>19063.2140967171</v>
      </c>
      <c r="G17" s="38">
        <v>10494.592926539601</v>
      </c>
      <c r="H17" s="38">
        <f t="shared" si="3"/>
        <v>1.3651824334043667</v>
      </c>
      <c r="I17" s="38">
        <f t="shared" si="4"/>
        <v>1.416580559073793</v>
      </c>
      <c r="J17" s="38">
        <f t="shared" si="5"/>
        <v>2.3232021275547279</v>
      </c>
      <c r="K17" s="38">
        <v>2403.4340000000002</v>
      </c>
      <c r="L17" s="38">
        <v>25578.834999999999</v>
      </c>
      <c r="M17" s="38">
        <v>7098.63</v>
      </c>
      <c r="N17" s="38">
        <v>2551.2957538426599</v>
      </c>
      <c r="O17" s="38">
        <v>27152.471473625701</v>
      </c>
      <c r="P17" s="38">
        <v>7535.3450842004204</v>
      </c>
      <c r="Q17" s="38">
        <f t="shared" si="6"/>
        <v>0.60682851676246585</v>
      </c>
      <c r="R17" s="38">
        <f t="shared" si="7"/>
        <v>1.9615640222699238</v>
      </c>
      <c r="S17" s="38">
        <f t="shared" si="8"/>
        <v>2.7304542566195091</v>
      </c>
      <c r="T17" s="38">
        <v>580.78700000000003</v>
      </c>
      <c r="U17" s="38">
        <v>4923.6750000000002</v>
      </c>
      <c r="V17" s="38">
        <v>4718.6040000000003</v>
      </c>
      <c r="W17" s="38">
        <v>616.51761895147501</v>
      </c>
      <c r="X17" s="38">
        <v>5226.5845955417399</v>
      </c>
      <c r="Y17" s="38">
        <v>5008.8974148094003</v>
      </c>
      <c r="Z17" s="38">
        <f t="shared" si="9"/>
        <v>0.69721490847050938</v>
      </c>
      <c r="AA17" s="38">
        <f t="shared" si="10"/>
        <v>1.5496929670284258</v>
      </c>
      <c r="AB17" s="38">
        <f t="shared" si="11"/>
        <v>4.3080489439478802</v>
      </c>
    </row>
    <row r="18" spans="1:28" x14ac:dyDescent="0.2">
      <c r="A18" s="38">
        <v>2022</v>
      </c>
      <c r="B18" s="38">
        <v>4913.1899999999996</v>
      </c>
      <c r="C18" s="38">
        <v>18292.43</v>
      </c>
      <c r="D18" s="38">
        <v>11227.463</v>
      </c>
      <c r="E18" s="38">
        <v>4913.1899999999996</v>
      </c>
      <c r="F18" s="38">
        <v>18292.43</v>
      </c>
      <c r="G18" s="38">
        <v>11227.463</v>
      </c>
      <c r="H18" s="38">
        <f t="shared" si="3"/>
        <v>1.2197775234125794</v>
      </c>
      <c r="I18" s="38">
        <f t="shared" si="4"/>
        <v>1.3593038710445309</v>
      </c>
      <c r="J18" s="38">
        <f t="shared" si="5"/>
        <v>2.4854385597634225</v>
      </c>
      <c r="K18" s="38">
        <v>2373.1669999999999</v>
      </c>
      <c r="L18" s="38">
        <v>27576.739000000001</v>
      </c>
      <c r="M18" s="38">
        <v>7298.75</v>
      </c>
      <c r="N18" s="38">
        <v>2373.1669999999999</v>
      </c>
      <c r="O18" s="38">
        <v>27576.739000000001</v>
      </c>
      <c r="P18" s="38">
        <v>7298.75</v>
      </c>
      <c r="Q18" s="38">
        <f t="shared" si="6"/>
        <v>0.56446039565213146</v>
      </c>
      <c r="R18" s="38">
        <f t="shared" si="7"/>
        <v>1.9922141940733142</v>
      </c>
      <c r="S18" s="38">
        <f t="shared" si="8"/>
        <v>2.6447233381901989</v>
      </c>
      <c r="T18" s="38">
        <v>558.37199999999996</v>
      </c>
      <c r="U18" s="38">
        <v>5799.5140000000001</v>
      </c>
      <c r="V18" s="38">
        <v>4966.317</v>
      </c>
      <c r="W18" s="38">
        <v>558.37199999999996</v>
      </c>
      <c r="X18" s="38">
        <v>5799.5140000000001</v>
      </c>
      <c r="Y18" s="38">
        <v>4966.317</v>
      </c>
      <c r="Z18" s="38">
        <f t="shared" si="9"/>
        <v>0.63145848700089913</v>
      </c>
      <c r="AA18" s="38">
        <f t="shared" si="10"/>
        <v>1.7195677011808388</v>
      </c>
      <c r="AB18" s="38">
        <f t="shared" si="11"/>
        <v>4.2714264109109399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F23B-0422-A745-B28A-A73847A018F2}">
  <dimension ref="A1:O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RowHeight="16" x14ac:dyDescent="0.2"/>
  <sheetData>
    <row r="1" spans="1:15" ht="102" x14ac:dyDescent="0.2">
      <c r="A1" s="37" t="s">
        <v>81</v>
      </c>
      <c r="B1" s="37" t="s">
        <v>1</v>
      </c>
      <c r="C1" s="37" t="s">
        <v>3</v>
      </c>
      <c r="D1" s="37" t="s">
        <v>82</v>
      </c>
      <c r="E1" s="37" t="s">
        <v>83</v>
      </c>
      <c r="F1" s="37" t="s">
        <v>84</v>
      </c>
      <c r="G1" s="37" t="s">
        <v>85</v>
      </c>
      <c r="H1" s="37" t="s">
        <v>86</v>
      </c>
      <c r="I1" s="37" t="s">
        <v>87</v>
      </c>
      <c r="J1" s="37" t="s">
        <v>88</v>
      </c>
      <c r="K1" s="37" t="s">
        <v>89</v>
      </c>
      <c r="L1" s="37" t="s">
        <v>90</v>
      </c>
      <c r="M1" s="37" t="s">
        <v>91</v>
      </c>
      <c r="N1" s="37" t="s">
        <v>92</v>
      </c>
      <c r="O1" s="37" t="s">
        <v>93</v>
      </c>
    </row>
    <row r="2" spans="1:15" x14ac:dyDescent="0.2">
      <c r="A2" s="38" t="s">
        <v>12</v>
      </c>
      <c r="B2" s="38" t="s">
        <v>13</v>
      </c>
      <c r="C2" s="38">
        <v>1994</v>
      </c>
      <c r="D2" s="38">
        <v>261100704</v>
      </c>
      <c r="E2" s="38">
        <v>59727860</v>
      </c>
      <c r="F2" s="38">
        <v>1311204608</v>
      </c>
      <c r="G2" s="38">
        <v>1843089664</v>
      </c>
      <c r="H2" s="38">
        <v>3154294272</v>
      </c>
      <c r="I2" s="39">
        <f>G2/H2</f>
        <v>0.58431126111495535</v>
      </c>
      <c r="J2" s="38">
        <v>112321198.499424</v>
      </c>
      <c r="K2" s="38">
        <v>491012803.77906698</v>
      </c>
      <c r="L2" s="38">
        <v>5931806581.5669699</v>
      </c>
      <c r="M2" s="38">
        <f>J2/J$18</f>
        <v>0.40585344997818074</v>
      </c>
      <c r="N2" s="38">
        <f t="shared" ref="N2:O17" si="0">K2/K$18</f>
        <v>0.72946882336467533</v>
      </c>
      <c r="O2" s="38">
        <f>L2/L$18</f>
        <v>1.0257041196249672</v>
      </c>
    </row>
    <row r="3" spans="1:15" x14ac:dyDescent="0.2">
      <c r="A3" s="38" t="s">
        <v>12</v>
      </c>
      <c r="B3" s="38" t="s">
        <v>13</v>
      </c>
      <c r="C3" s="38">
        <v>1995</v>
      </c>
      <c r="D3" s="38">
        <v>281930272</v>
      </c>
      <c r="E3" s="38">
        <v>74250960</v>
      </c>
      <c r="F3" s="38">
        <v>850188544</v>
      </c>
      <c r="G3" s="38">
        <v>1736896000</v>
      </c>
      <c r="H3" s="38">
        <v>2587084544</v>
      </c>
      <c r="I3" s="39">
        <f t="shared" ref="I3:I66" si="1">G3/H3</f>
        <v>0.67137195188623877</v>
      </c>
      <c r="J3" s="38">
        <v>135540412.67644501</v>
      </c>
      <c r="K3" s="38">
        <v>514645809.46647203</v>
      </c>
      <c r="L3" s="38">
        <v>4722558559.8168001</v>
      </c>
      <c r="M3" s="38">
        <f t="shared" ref="M3:O30" si="2">J3/J$18</f>
        <v>0.48975211118748563</v>
      </c>
      <c r="N3" s="38">
        <f t="shared" si="0"/>
        <v>0.76457898896255461</v>
      </c>
      <c r="O3" s="38">
        <f t="shared" si="0"/>
        <v>0.81660581871073878</v>
      </c>
    </row>
    <row r="4" spans="1:15" x14ac:dyDescent="0.2">
      <c r="A4" s="38" t="s">
        <v>12</v>
      </c>
      <c r="B4" s="38" t="s">
        <v>13</v>
      </c>
      <c r="C4" s="38">
        <v>1996</v>
      </c>
      <c r="D4" s="38">
        <v>363790848</v>
      </c>
      <c r="E4" s="38">
        <v>79535688</v>
      </c>
      <c r="F4" s="38">
        <v>882169088</v>
      </c>
      <c r="G4" s="38">
        <v>1864527360</v>
      </c>
      <c r="H4" s="38">
        <v>2746696448</v>
      </c>
      <c r="I4" s="39">
        <f t="shared" si="1"/>
        <v>0.67882541638616489</v>
      </c>
      <c r="J4" s="38">
        <v>141387206.10403699</v>
      </c>
      <c r="K4" s="38">
        <v>646695501.08045197</v>
      </c>
      <c r="L4" s="38">
        <v>4882685327.3539696</v>
      </c>
      <c r="M4" s="38">
        <f t="shared" si="2"/>
        <v>0.510878499755269</v>
      </c>
      <c r="N4" s="38">
        <f t="shared" si="0"/>
        <v>0.96075744383368356</v>
      </c>
      <c r="O4" s="38">
        <f t="shared" si="0"/>
        <v>0.84429429487169227</v>
      </c>
    </row>
    <row r="5" spans="1:15" x14ac:dyDescent="0.2">
      <c r="A5" s="38" t="s">
        <v>12</v>
      </c>
      <c r="B5" s="38" t="s">
        <v>13</v>
      </c>
      <c r="C5" s="38">
        <v>1997</v>
      </c>
      <c r="D5" s="38">
        <v>384806272</v>
      </c>
      <c r="E5" s="38">
        <v>82739984</v>
      </c>
      <c r="F5" s="38">
        <v>1040149632</v>
      </c>
      <c r="G5" s="38">
        <v>2014935424</v>
      </c>
      <c r="H5" s="38">
        <v>3055085056</v>
      </c>
      <c r="I5" s="39">
        <f t="shared" si="1"/>
        <v>0.65953496778847132</v>
      </c>
      <c r="J5" s="38">
        <v>143655909.16410699</v>
      </c>
      <c r="K5" s="38">
        <v>668113434.20383894</v>
      </c>
      <c r="L5" s="38">
        <v>5304340176.0067596</v>
      </c>
      <c r="M5" s="38">
        <f t="shared" si="2"/>
        <v>0.51907607043833282</v>
      </c>
      <c r="N5" s="38">
        <f t="shared" si="0"/>
        <v>0.99257680649423519</v>
      </c>
      <c r="O5" s="38">
        <f t="shared" si="0"/>
        <v>0.91720515421545057</v>
      </c>
    </row>
    <row r="6" spans="1:15" x14ac:dyDescent="0.2">
      <c r="A6" s="38" t="s">
        <v>12</v>
      </c>
      <c r="B6" s="38" t="s">
        <v>13</v>
      </c>
      <c r="C6" s="38">
        <v>1998</v>
      </c>
      <c r="D6" s="38">
        <v>410748512</v>
      </c>
      <c r="E6" s="38">
        <v>89896616</v>
      </c>
      <c r="F6" s="38">
        <v>1301073152</v>
      </c>
      <c r="G6" s="38">
        <v>1564051200</v>
      </c>
      <c r="H6" s="38">
        <v>2865124352</v>
      </c>
      <c r="I6" s="39">
        <f t="shared" si="1"/>
        <v>0.5458929553644728</v>
      </c>
      <c r="J6" s="38">
        <v>152593175.85455599</v>
      </c>
      <c r="K6" s="38">
        <v>697216677.47330105</v>
      </c>
      <c r="L6" s="38">
        <v>4863346848.2273703</v>
      </c>
      <c r="M6" s="38">
        <f t="shared" si="2"/>
        <v>0.55136935583906155</v>
      </c>
      <c r="N6" s="38">
        <f t="shared" si="0"/>
        <v>1.0358137821096876</v>
      </c>
      <c r="O6" s="38">
        <f t="shared" si="0"/>
        <v>0.84095036289503733</v>
      </c>
    </row>
    <row r="7" spans="1:15" x14ac:dyDescent="0.2">
      <c r="A7" s="38" t="s">
        <v>12</v>
      </c>
      <c r="B7" s="38" t="s">
        <v>13</v>
      </c>
      <c r="C7" s="38">
        <v>1999</v>
      </c>
      <c r="D7" s="38">
        <v>366350080</v>
      </c>
      <c r="E7" s="38">
        <v>100545416</v>
      </c>
      <c r="F7" s="38">
        <v>1008942208</v>
      </c>
      <c r="G7" s="38">
        <v>1899478400</v>
      </c>
      <c r="H7" s="38">
        <v>2908420608</v>
      </c>
      <c r="I7" s="39">
        <f t="shared" si="1"/>
        <v>0.65309618381028878</v>
      </c>
      <c r="J7" s="38">
        <v>167205080.950959</v>
      </c>
      <c r="K7" s="38">
        <v>609233093.06105304</v>
      </c>
      <c r="L7" s="38">
        <v>4836647184.3935404</v>
      </c>
      <c r="M7" s="38">
        <f t="shared" si="2"/>
        <v>0.60416697706600508</v>
      </c>
      <c r="N7" s="38">
        <f t="shared" si="0"/>
        <v>0.90510174913897967</v>
      </c>
      <c r="O7" s="38">
        <f t="shared" si="0"/>
        <v>0.83633356448625862</v>
      </c>
    </row>
    <row r="8" spans="1:15" x14ac:dyDescent="0.2">
      <c r="A8" s="38" t="s">
        <v>12</v>
      </c>
      <c r="B8" s="38" t="s">
        <v>13</v>
      </c>
      <c r="C8" s="38">
        <v>2000</v>
      </c>
      <c r="D8" s="38">
        <v>368936384</v>
      </c>
      <c r="E8" s="38">
        <v>95745024</v>
      </c>
      <c r="F8" s="38">
        <v>5236139264</v>
      </c>
      <c r="G8" s="38">
        <v>1915480320</v>
      </c>
      <c r="H8" s="38">
        <v>7151619584</v>
      </c>
      <c r="I8" s="39">
        <f t="shared" si="1"/>
        <v>0.26783867591131649</v>
      </c>
      <c r="J8" s="38">
        <v>155430944.76578</v>
      </c>
      <c r="K8" s="38">
        <v>598925441.00872302</v>
      </c>
      <c r="L8" s="38">
        <v>11609825159.650801</v>
      </c>
      <c r="M8" s="38">
        <f t="shared" si="2"/>
        <v>0.56162314869604391</v>
      </c>
      <c r="N8" s="38">
        <f t="shared" si="0"/>
        <v>0.88978827715536735</v>
      </c>
      <c r="O8" s="38">
        <f t="shared" si="0"/>
        <v>2.0075242391389114</v>
      </c>
    </row>
    <row r="9" spans="1:15" x14ac:dyDescent="0.2">
      <c r="A9" s="38" t="s">
        <v>12</v>
      </c>
      <c r="B9" s="38" t="s">
        <v>13</v>
      </c>
      <c r="C9" s="38">
        <v>2001</v>
      </c>
      <c r="D9" s="38">
        <v>362471840</v>
      </c>
      <c r="E9" s="38">
        <v>105341288</v>
      </c>
      <c r="F9" s="38">
        <v>2158694272</v>
      </c>
      <c r="G9" s="38">
        <v>1458024064</v>
      </c>
      <c r="H9" s="38">
        <v>3616718336</v>
      </c>
      <c r="I9" s="39">
        <f t="shared" si="1"/>
        <v>0.40313453483152301</v>
      </c>
      <c r="J9" s="38">
        <v>166568559.33446801</v>
      </c>
      <c r="K9" s="38">
        <v>573150502.85044897</v>
      </c>
      <c r="L9" s="38">
        <v>5718855105.9493103</v>
      </c>
      <c r="M9" s="38">
        <f t="shared" si="2"/>
        <v>0.60186701501529849</v>
      </c>
      <c r="N9" s="38">
        <f t="shared" si="0"/>
        <v>0.85149596855179488</v>
      </c>
      <c r="O9" s="38">
        <f t="shared" si="0"/>
        <v>0.98888140755272891</v>
      </c>
    </row>
    <row r="10" spans="1:15" x14ac:dyDescent="0.2">
      <c r="A10" s="38" t="s">
        <v>12</v>
      </c>
      <c r="B10" s="38" t="s">
        <v>13</v>
      </c>
      <c r="C10" s="38">
        <v>2002</v>
      </c>
      <c r="D10" s="38">
        <v>395691392</v>
      </c>
      <c r="E10" s="38">
        <v>106518208</v>
      </c>
      <c r="F10" s="38">
        <v>533001728</v>
      </c>
      <c r="G10" s="38">
        <v>1216375424</v>
      </c>
      <c r="H10" s="38">
        <v>1749377152</v>
      </c>
      <c r="I10" s="39">
        <f t="shared" si="1"/>
        <v>0.69531914407900075</v>
      </c>
      <c r="J10" s="38">
        <v>164611811.411163</v>
      </c>
      <c r="K10" s="38">
        <v>611496175.34801698</v>
      </c>
      <c r="L10" s="38">
        <v>2703464010.88555</v>
      </c>
      <c r="M10" s="38">
        <f t="shared" si="2"/>
        <v>0.5947966408916191</v>
      </c>
      <c r="N10" s="38">
        <f t="shared" si="0"/>
        <v>0.90846387729601208</v>
      </c>
      <c r="O10" s="38">
        <f t="shared" si="0"/>
        <v>0.46747211580365305</v>
      </c>
    </row>
    <row r="11" spans="1:15" x14ac:dyDescent="0.2">
      <c r="A11" s="38" t="s">
        <v>12</v>
      </c>
      <c r="B11" s="38" t="s">
        <v>13</v>
      </c>
      <c r="C11" s="38">
        <v>2003</v>
      </c>
      <c r="D11" s="38">
        <v>426735392</v>
      </c>
      <c r="E11" s="38">
        <v>100771488</v>
      </c>
      <c r="F11" s="38">
        <v>845155456</v>
      </c>
      <c r="G11" s="38">
        <v>1924031616</v>
      </c>
      <c r="H11" s="38">
        <v>2769187072</v>
      </c>
      <c r="I11" s="39">
        <f t="shared" si="1"/>
        <v>0.69480015830436459</v>
      </c>
      <c r="J11" s="38">
        <v>153487662.296949</v>
      </c>
      <c r="K11" s="38">
        <v>649971723.52414</v>
      </c>
      <c r="L11" s="38">
        <v>4217820522.25142</v>
      </c>
      <c r="M11" s="38">
        <f t="shared" si="2"/>
        <v>0.55460142969024795</v>
      </c>
      <c r="N11" s="38">
        <f t="shared" si="0"/>
        <v>0.96562473469185317</v>
      </c>
      <c r="O11" s="38">
        <f t="shared" si="0"/>
        <v>0.7293285487351775</v>
      </c>
    </row>
    <row r="12" spans="1:15" x14ac:dyDescent="0.2">
      <c r="A12" s="38" t="s">
        <v>12</v>
      </c>
      <c r="B12" s="38" t="s">
        <v>13</v>
      </c>
      <c r="C12" s="38">
        <v>2004</v>
      </c>
      <c r="D12" s="38">
        <v>434234176</v>
      </c>
      <c r="E12" s="38">
        <v>110421880</v>
      </c>
      <c r="F12" s="38">
        <v>947212800</v>
      </c>
      <c r="G12" s="38">
        <v>2283060992</v>
      </c>
      <c r="H12" s="38">
        <v>3230273792</v>
      </c>
      <c r="I12" s="39">
        <f t="shared" si="1"/>
        <v>0.70677011888408992</v>
      </c>
      <c r="J12" s="38">
        <v>165264169.90178999</v>
      </c>
      <c r="K12" s="38">
        <v>649901547.04509497</v>
      </c>
      <c r="L12" s="38">
        <v>4834626224.3532495</v>
      </c>
      <c r="M12" s="38">
        <f t="shared" si="2"/>
        <v>0.59715382677977435</v>
      </c>
      <c r="N12" s="38">
        <f t="shared" si="0"/>
        <v>0.96552047762726567</v>
      </c>
      <c r="O12" s="38">
        <f t="shared" si="0"/>
        <v>0.83598410821009395</v>
      </c>
    </row>
    <row r="13" spans="1:15" x14ac:dyDescent="0.2">
      <c r="A13" s="38" t="s">
        <v>12</v>
      </c>
      <c r="B13" s="38" t="s">
        <v>13</v>
      </c>
      <c r="C13" s="38">
        <v>2005</v>
      </c>
      <c r="D13" s="38">
        <v>450099328</v>
      </c>
      <c r="E13" s="38">
        <v>127725016</v>
      </c>
      <c r="F13" s="38">
        <v>760923904</v>
      </c>
      <c r="G13" s="38">
        <v>2083796992</v>
      </c>
      <c r="H13" s="38">
        <v>2844720896</v>
      </c>
      <c r="I13" s="39">
        <f t="shared" si="1"/>
        <v>0.73251368699476094</v>
      </c>
      <c r="J13" s="38">
        <v>187140251.672708</v>
      </c>
      <c r="K13" s="38">
        <v>659476930.65575194</v>
      </c>
      <c r="L13" s="38">
        <v>4168030673.1458998</v>
      </c>
      <c r="M13" s="38">
        <f t="shared" si="2"/>
        <v>0.6761993086420196</v>
      </c>
      <c r="N13" s="38">
        <f t="shared" si="0"/>
        <v>0.97974606148571486</v>
      </c>
      <c r="O13" s="38">
        <f t="shared" si="0"/>
        <v>0.7207190884230803</v>
      </c>
    </row>
    <row r="14" spans="1:15" x14ac:dyDescent="0.2">
      <c r="A14" s="38" t="s">
        <v>12</v>
      </c>
      <c r="B14" s="38" t="s">
        <v>13</v>
      </c>
      <c r="C14" s="38">
        <v>2006</v>
      </c>
      <c r="D14" s="38">
        <v>470509504</v>
      </c>
      <c r="E14" s="38">
        <v>170137296</v>
      </c>
      <c r="F14" s="38">
        <v>758996480</v>
      </c>
      <c r="G14" s="38">
        <v>2599282688</v>
      </c>
      <c r="H14" s="38">
        <v>3358279168</v>
      </c>
      <c r="I14" s="39">
        <f t="shared" si="1"/>
        <v>0.77399244016630842</v>
      </c>
      <c r="J14" s="38">
        <v>243168403.21393901</v>
      </c>
      <c r="K14" s="38">
        <v>672474804.02335</v>
      </c>
      <c r="L14" s="38">
        <v>4799814044.4714499</v>
      </c>
      <c r="M14" s="38">
        <f t="shared" si="2"/>
        <v>0.87864745647784892</v>
      </c>
      <c r="N14" s="38">
        <f t="shared" si="0"/>
        <v>0.99905623694087675</v>
      </c>
      <c r="O14" s="38">
        <f t="shared" si="0"/>
        <v>0.8299645261777252</v>
      </c>
    </row>
    <row r="15" spans="1:15" x14ac:dyDescent="0.2">
      <c r="A15" s="38" t="s">
        <v>12</v>
      </c>
      <c r="B15" s="38" t="s">
        <v>13</v>
      </c>
      <c r="C15" s="38">
        <v>2007</v>
      </c>
      <c r="D15" s="38">
        <v>498388192</v>
      </c>
      <c r="E15" s="38">
        <v>176055952</v>
      </c>
      <c r="F15" s="38">
        <v>550310144</v>
      </c>
      <c r="G15" s="38">
        <v>3351824640</v>
      </c>
      <c r="H15" s="38">
        <v>3902134784</v>
      </c>
      <c r="I15" s="39">
        <f t="shared" si="1"/>
        <v>0.85897203083387907</v>
      </c>
      <c r="J15" s="38">
        <v>245885882.202007</v>
      </c>
      <c r="K15" s="38">
        <v>696066329.35070205</v>
      </c>
      <c r="L15" s="38">
        <v>5449857519.3582697</v>
      </c>
      <c r="M15" s="38">
        <f t="shared" si="2"/>
        <v>0.88846660226052387</v>
      </c>
      <c r="N15" s="38">
        <f t="shared" si="0"/>
        <v>1.0341047776092069</v>
      </c>
      <c r="O15" s="38">
        <f t="shared" si="0"/>
        <v>0.94236742754653691</v>
      </c>
    </row>
    <row r="16" spans="1:15" x14ac:dyDescent="0.2">
      <c r="A16" s="38" t="s">
        <v>12</v>
      </c>
      <c r="B16" s="38" t="s">
        <v>13</v>
      </c>
      <c r="C16" s="38">
        <v>2008</v>
      </c>
      <c r="D16" s="38">
        <v>532969504</v>
      </c>
      <c r="E16" s="38">
        <v>208842256</v>
      </c>
      <c r="F16" s="38">
        <v>559423488</v>
      </c>
      <c r="G16" s="38">
        <v>4385859072</v>
      </c>
      <c r="H16" s="38">
        <v>4945282560</v>
      </c>
      <c r="I16" s="39">
        <f t="shared" si="1"/>
        <v>0.88687734599335011</v>
      </c>
      <c r="J16" s="38">
        <v>285127480.07894099</v>
      </c>
      <c r="K16" s="38">
        <v>727650881.31610203</v>
      </c>
      <c r="L16" s="38">
        <v>6751679385.2826996</v>
      </c>
      <c r="M16" s="38">
        <f t="shared" si="2"/>
        <v>1.0302594080156351</v>
      </c>
      <c r="N16" s="38">
        <f t="shared" si="0"/>
        <v>1.0810280875134994</v>
      </c>
      <c r="O16" s="38">
        <f t="shared" si="0"/>
        <v>1.1674732250022279</v>
      </c>
    </row>
    <row r="17" spans="1:15" x14ac:dyDescent="0.2">
      <c r="A17" s="38" t="s">
        <v>12</v>
      </c>
      <c r="B17" s="38" t="s">
        <v>13</v>
      </c>
      <c r="C17" s="38">
        <v>2009</v>
      </c>
      <c r="D17" s="38">
        <v>485303648</v>
      </c>
      <c r="E17" s="38">
        <v>201451120</v>
      </c>
      <c r="F17" s="38">
        <v>721306112</v>
      </c>
      <c r="G17" s="38">
        <v>3490737408</v>
      </c>
      <c r="H17" s="38">
        <v>4212043520</v>
      </c>
      <c r="I17" s="39">
        <f t="shared" si="1"/>
        <v>0.82875150539755105</v>
      </c>
      <c r="J17" s="38">
        <v>270430463.18455899</v>
      </c>
      <c r="K17" s="38">
        <v>651477590.76145399</v>
      </c>
      <c r="L17" s="38">
        <v>5654299068.0177097</v>
      </c>
      <c r="M17" s="38">
        <f t="shared" si="2"/>
        <v>0.97715424985617028</v>
      </c>
      <c r="N17" s="38">
        <f t="shared" si="0"/>
        <v>0.96786191301651681</v>
      </c>
      <c r="O17" s="38">
        <f t="shared" si="0"/>
        <v>0.97771863730009245</v>
      </c>
    </row>
    <row r="18" spans="1:15" x14ac:dyDescent="0.2">
      <c r="A18" s="38" t="s">
        <v>12</v>
      </c>
      <c r="B18" s="38" t="s">
        <v>13</v>
      </c>
      <c r="C18" s="38">
        <v>2010</v>
      </c>
      <c r="D18" s="38">
        <v>506219296</v>
      </c>
      <c r="E18" s="38">
        <v>208134992</v>
      </c>
      <c r="F18" s="38">
        <v>715743488</v>
      </c>
      <c r="G18" s="38">
        <v>3633537792</v>
      </c>
      <c r="H18" s="38">
        <v>4349281280</v>
      </c>
      <c r="I18" s="39">
        <f t="shared" si="1"/>
        <v>0.83543407705284123</v>
      </c>
      <c r="J18" s="38">
        <v>276753095.25017601</v>
      </c>
      <c r="K18" s="38">
        <v>673110060.43311095</v>
      </c>
      <c r="L18" s="38">
        <v>5783155656.7559099</v>
      </c>
      <c r="M18" s="38">
        <f t="shared" si="2"/>
        <v>1</v>
      </c>
      <c r="N18" s="38">
        <f t="shared" si="2"/>
        <v>1</v>
      </c>
      <c r="O18" s="38">
        <f t="shared" si="2"/>
        <v>1</v>
      </c>
    </row>
    <row r="19" spans="1:15" x14ac:dyDescent="0.2">
      <c r="A19" s="38" t="s">
        <v>12</v>
      </c>
      <c r="B19" s="38" t="s">
        <v>13</v>
      </c>
      <c r="C19" s="38">
        <v>2011</v>
      </c>
      <c r="D19" s="38">
        <v>600835776</v>
      </c>
      <c r="E19" s="38">
        <v>204857904</v>
      </c>
      <c r="F19" s="38">
        <v>925926144</v>
      </c>
      <c r="G19" s="38">
        <v>3612226816</v>
      </c>
      <c r="H19" s="38">
        <v>4538152960</v>
      </c>
      <c r="I19" s="39">
        <f t="shared" si="1"/>
        <v>0.79596850256893936</v>
      </c>
      <c r="J19" s="38">
        <v>267951959.676819</v>
      </c>
      <c r="K19" s="38">
        <v>785886804.85153401</v>
      </c>
      <c r="L19" s="38">
        <v>5935855806.3991404</v>
      </c>
      <c r="M19" s="38">
        <f t="shared" si="2"/>
        <v>0.96819860111988609</v>
      </c>
      <c r="N19" s="38">
        <f t="shared" si="2"/>
        <v>1.1675457715575623</v>
      </c>
      <c r="O19" s="38">
        <f t="shared" si="2"/>
        <v>1.026404295285541</v>
      </c>
    </row>
    <row r="20" spans="1:15" x14ac:dyDescent="0.2">
      <c r="A20" s="38" t="s">
        <v>12</v>
      </c>
      <c r="B20" s="38" t="s">
        <v>13</v>
      </c>
      <c r="C20" s="38">
        <v>2012</v>
      </c>
      <c r="D20" s="38">
        <v>648493120</v>
      </c>
      <c r="E20" s="38">
        <v>211157968</v>
      </c>
      <c r="F20" s="38">
        <v>1117806080</v>
      </c>
      <c r="G20" s="38">
        <v>3687963648</v>
      </c>
      <c r="H20" s="38">
        <v>4805769728</v>
      </c>
      <c r="I20" s="39">
        <f t="shared" si="1"/>
        <v>0.76740332074437667</v>
      </c>
      <c r="J20" s="38">
        <v>270481865.70827001</v>
      </c>
      <c r="K20" s="38">
        <v>830684395.46916401</v>
      </c>
      <c r="L20" s="38">
        <v>6155929489.6878595</v>
      </c>
      <c r="M20" s="38">
        <f t="shared" si="2"/>
        <v>0.97733998408857181</v>
      </c>
      <c r="N20" s="38">
        <f t="shared" si="2"/>
        <v>1.2340989153165565</v>
      </c>
      <c r="O20" s="38">
        <f t="shared" si="2"/>
        <v>1.0644585508426483</v>
      </c>
    </row>
    <row r="21" spans="1:15" x14ac:dyDescent="0.2">
      <c r="A21" s="38" t="s">
        <v>12</v>
      </c>
      <c r="B21" s="38" t="s">
        <v>13</v>
      </c>
      <c r="C21" s="38">
        <v>2013</v>
      </c>
      <c r="D21" s="38">
        <v>629019264</v>
      </c>
      <c r="E21" s="38">
        <v>227245120</v>
      </c>
      <c r="F21" s="38">
        <v>1348723200</v>
      </c>
      <c r="G21" s="38">
        <v>4225871872</v>
      </c>
      <c r="H21" s="38">
        <v>5574595072</v>
      </c>
      <c r="I21" s="39">
        <f t="shared" si="1"/>
        <v>0.75805898319425058</v>
      </c>
      <c r="J21" s="38">
        <v>286042013.143206</v>
      </c>
      <c r="K21" s="38">
        <v>791770298.87558401</v>
      </c>
      <c r="L21" s="38">
        <v>7016953309.50595</v>
      </c>
      <c r="M21" s="38">
        <f t="shared" si="2"/>
        <v>1.0335639169080768</v>
      </c>
      <c r="N21" s="38">
        <f t="shared" si="2"/>
        <v>1.1762865323482483</v>
      </c>
      <c r="O21" s="38">
        <f t="shared" si="2"/>
        <v>1.2133433242988561</v>
      </c>
    </row>
    <row r="22" spans="1:15" x14ac:dyDescent="0.2">
      <c r="A22" s="38" t="s">
        <v>12</v>
      </c>
      <c r="B22" s="38" t="s">
        <v>13</v>
      </c>
      <c r="C22" s="38">
        <v>2014</v>
      </c>
      <c r="D22" s="38">
        <v>675093952</v>
      </c>
      <c r="E22" s="38">
        <v>243047584</v>
      </c>
      <c r="F22" s="38">
        <v>1215938048</v>
      </c>
      <c r="G22" s="38">
        <v>5026087936</v>
      </c>
      <c r="H22" s="38">
        <v>6242025984</v>
      </c>
      <c r="I22" s="39">
        <f t="shared" si="1"/>
        <v>0.80520137994991081</v>
      </c>
      <c r="J22" s="38">
        <v>300671125.26594102</v>
      </c>
      <c r="K22" s="38">
        <v>835150281.55174398</v>
      </c>
      <c r="L22" s="38">
        <v>7721932247.4257698</v>
      </c>
      <c r="M22" s="38">
        <f t="shared" si="2"/>
        <v>1.0864237127832079</v>
      </c>
      <c r="N22" s="38">
        <f t="shared" si="2"/>
        <v>1.2407336194237963</v>
      </c>
      <c r="O22" s="38">
        <f t="shared" si="2"/>
        <v>1.3352454448299298</v>
      </c>
    </row>
    <row r="23" spans="1:15" x14ac:dyDescent="0.2">
      <c r="A23" s="38" t="s">
        <v>12</v>
      </c>
      <c r="B23" s="38" t="s">
        <v>13</v>
      </c>
      <c r="C23" s="38">
        <v>2015</v>
      </c>
      <c r="D23" s="38">
        <v>829694528</v>
      </c>
      <c r="E23" s="38">
        <v>286712480</v>
      </c>
      <c r="F23" s="38">
        <v>1323432448</v>
      </c>
      <c r="G23" s="38">
        <v>4419716608</v>
      </c>
      <c r="H23" s="38">
        <v>5743149056</v>
      </c>
      <c r="I23" s="39">
        <f t="shared" si="1"/>
        <v>0.76956327702876182</v>
      </c>
      <c r="J23" s="38">
        <v>348312036.32036102</v>
      </c>
      <c r="K23" s="38">
        <v>1007952603.14982</v>
      </c>
      <c r="L23" s="38">
        <v>6977052211.2840099</v>
      </c>
      <c r="M23" s="38">
        <f t="shared" si="2"/>
        <v>1.2585660008806694</v>
      </c>
      <c r="N23" s="38">
        <f t="shared" si="2"/>
        <v>1.4974558581122015</v>
      </c>
      <c r="O23" s="38">
        <f t="shared" si="2"/>
        <v>1.2064437869890956</v>
      </c>
    </row>
    <row r="24" spans="1:15" x14ac:dyDescent="0.2">
      <c r="A24" s="38" t="s">
        <v>12</v>
      </c>
      <c r="B24" s="38" t="s">
        <v>13</v>
      </c>
      <c r="C24" s="38">
        <v>2016</v>
      </c>
      <c r="D24" s="38">
        <v>933330688</v>
      </c>
      <c r="E24" s="38">
        <v>296115200</v>
      </c>
      <c r="F24" s="38">
        <v>1333390336</v>
      </c>
      <c r="G24" s="38">
        <v>4130065920</v>
      </c>
      <c r="H24" s="38">
        <v>5463456256</v>
      </c>
      <c r="I24" s="39">
        <f t="shared" si="1"/>
        <v>0.75594380671838224</v>
      </c>
      <c r="J24" s="38">
        <v>351967765.93337703</v>
      </c>
      <c r="K24" s="38">
        <v>1109373369.3252499</v>
      </c>
      <c r="L24" s="38">
        <v>6493960771.6829596</v>
      </c>
      <c r="M24" s="38">
        <f t="shared" si="2"/>
        <v>1.2717753549069049</v>
      </c>
      <c r="N24" s="38">
        <f t="shared" si="2"/>
        <v>1.648130721165312</v>
      </c>
      <c r="O24" s="38">
        <f t="shared" si="2"/>
        <v>1.1229095596098444</v>
      </c>
    </row>
    <row r="25" spans="1:15" x14ac:dyDescent="0.2">
      <c r="A25" s="38" t="s">
        <v>12</v>
      </c>
      <c r="B25" s="38" t="s">
        <v>13</v>
      </c>
      <c r="C25" s="38">
        <v>2017</v>
      </c>
      <c r="D25" s="38">
        <v>726323648</v>
      </c>
      <c r="E25" s="38">
        <v>300976256</v>
      </c>
      <c r="F25" s="38">
        <v>1171076608</v>
      </c>
      <c r="G25" s="38">
        <v>3852611584</v>
      </c>
      <c r="H25" s="38">
        <v>5023688192</v>
      </c>
      <c r="I25" s="39">
        <f t="shared" si="1"/>
        <v>0.76688907367601211</v>
      </c>
      <c r="J25" s="38">
        <v>351291849.17197299</v>
      </c>
      <c r="K25" s="38">
        <v>847746532.54791403</v>
      </c>
      <c r="L25" s="38">
        <v>5863521388.9798899</v>
      </c>
      <c r="M25" s="38">
        <f t="shared" si="2"/>
        <v>1.2693330452344762</v>
      </c>
      <c r="N25" s="38">
        <f t="shared" si="2"/>
        <v>1.259447128159745</v>
      </c>
      <c r="O25" s="38">
        <f t="shared" si="2"/>
        <v>1.0138965189584852</v>
      </c>
    </row>
    <row r="26" spans="1:15" x14ac:dyDescent="0.2">
      <c r="A26" s="38" t="s">
        <v>12</v>
      </c>
      <c r="B26" s="38" t="s">
        <v>13</v>
      </c>
      <c r="C26" s="38">
        <v>2018</v>
      </c>
      <c r="D26" s="38">
        <v>1156968832</v>
      </c>
      <c r="E26" s="38">
        <v>349089760</v>
      </c>
      <c r="F26" s="38">
        <v>1289127680</v>
      </c>
      <c r="G26" s="38">
        <v>3496844544</v>
      </c>
      <c r="H26" s="38">
        <v>4785972224</v>
      </c>
      <c r="I26" s="39">
        <f t="shared" si="1"/>
        <v>0.73064455461411382</v>
      </c>
      <c r="J26" s="38">
        <v>398892086.48913199</v>
      </c>
      <c r="K26" s="38">
        <v>1322025920.78144</v>
      </c>
      <c r="L26" s="38">
        <v>5468755217.3125696</v>
      </c>
      <c r="M26" s="38">
        <f t="shared" si="2"/>
        <v>1.441328365735336</v>
      </c>
      <c r="N26" s="38">
        <f t="shared" si="2"/>
        <v>1.9640561009157786</v>
      </c>
      <c r="O26" s="38">
        <f t="shared" si="2"/>
        <v>0.94563514141694316</v>
      </c>
    </row>
    <row r="27" spans="1:15" x14ac:dyDescent="0.2">
      <c r="A27" s="38" t="s">
        <v>12</v>
      </c>
      <c r="B27" s="38" t="s">
        <v>13</v>
      </c>
      <c r="C27" s="38">
        <v>2019</v>
      </c>
      <c r="D27" s="38">
        <v>1423755392</v>
      </c>
      <c r="E27" s="38">
        <v>994875904</v>
      </c>
      <c r="F27" s="38">
        <v>1233907200</v>
      </c>
      <c r="G27" s="38">
        <v>4058377216</v>
      </c>
      <c r="H27" s="38">
        <v>5292284416</v>
      </c>
      <c r="I27" s="39">
        <f t="shared" si="1"/>
        <v>0.76684790479711062</v>
      </c>
      <c r="J27" s="38">
        <v>1112399617.2890799</v>
      </c>
      <c r="K27" s="38">
        <v>1591942217.9251699</v>
      </c>
      <c r="L27" s="38">
        <v>5917456775.5370903</v>
      </c>
      <c r="M27" s="38">
        <f t="shared" si="2"/>
        <v>4.0194658574044348</v>
      </c>
      <c r="N27" s="38">
        <f t="shared" si="2"/>
        <v>2.3650548573005117</v>
      </c>
      <c r="O27" s="38">
        <f t="shared" si="2"/>
        <v>1.0232228089216808</v>
      </c>
    </row>
    <row r="28" spans="1:15" x14ac:dyDescent="0.2">
      <c r="A28" s="38" t="s">
        <v>12</v>
      </c>
      <c r="B28" s="38" t="s">
        <v>13</v>
      </c>
      <c r="C28" s="38">
        <v>2020</v>
      </c>
      <c r="D28" s="38">
        <v>2947567360</v>
      </c>
      <c r="E28" s="38">
        <v>698964992</v>
      </c>
      <c r="F28" s="38">
        <v>1087082496</v>
      </c>
      <c r="G28" s="38">
        <v>4613389312</v>
      </c>
      <c r="H28" s="38">
        <v>5700471808</v>
      </c>
      <c r="I28" s="39">
        <f t="shared" si="1"/>
        <v>0.80929955754286931</v>
      </c>
      <c r="J28" s="38">
        <v>768406018.22330499</v>
      </c>
      <c r="K28" s="38">
        <v>3240403345.6121602</v>
      </c>
      <c r="L28" s="38">
        <v>6266804338.0053596</v>
      </c>
      <c r="M28" s="38">
        <f t="shared" si="2"/>
        <v>2.7765037913259483</v>
      </c>
      <c r="N28" s="38">
        <f t="shared" si="2"/>
        <v>4.8140765323387544</v>
      </c>
      <c r="O28" s="38">
        <f t="shared" si="2"/>
        <v>1.0836305833622943</v>
      </c>
    </row>
    <row r="29" spans="1:15" x14ac:dyDescent="0.2">
      <c r="A29" s="38" t="s">
        <v>12</v>
      </c>
      <c r="B29" s="38" t="s">
        <v>13</v>
      </c>
      <c r="C29" s="38">
        <v>2021</v>
      </c>
      <c r="D29" s="38">
        <v>3154064128</v>
      </c>
      <c r="E29" s="38">
        <v>734416832</v>
      </c>
      <c r="F29" s="38">
        <v>1366368256</v>
      </c>
      <c r="G29" s="38">
        <v>5391098880</v>
      </c>
      <c r="H29" s="38">
        <v>6757467136</v>
      </c>
      <c r="I29" s="39">
        <f t="shared" si="1"/>
        <v>0.79779875676779022</v>
      </c>
      <c r="J29" s="38">
        <v>779598917.64541101</v>
      </c>
      <c r="K29" s="38">
        <v>3348105426.28333</v>
      </c>
      <c r="L29" s="38">
        <v>7173193526.7655201</v>
      </c>
      <c r="M29" s="38">
        <f t="shared" si="2"/>
        <v>2.8169474200123337</v>
      </c>
      <c r="N29" s="38">
        <f t="shared" si="2"/>
        <v>4.9740831746430887</v>
      </c>
      <c r="O29" s="38">
        <f t="shared" si="2"/>
        <v>1.2403597538284763</v>
      </c>
    </row>
    <row r="30" spans="1:15" x14ac:dyDescent="0.2">
      <c r="A30" s="38" t="s">
        <v>12</v>
      </c>
      <c r="B30" s="38" t="s">
        <v>13</v>
      </c>
      <c r="C30" s="38">
        <v>2022</v>
      </c>
      <c r="D30" s="38">
        <v>2837939456</v>
      </c>
      <c r="E30" s="38">
        <v>739500672</v>
      </c>
      <c r="F30" s="38">
        <v>1420549120</v>
      </c>
      <c r="G30" s="38">
        <v>6677567488</v>
      </c>
      <c r="H30" s="38">
        <v>8098116608</v>
      </c>
      <c r="I30" s="39">
        <f t="shared" si="1"/>
        <v>0.82458277785273404</v>
      </c>
      <c r="J30" s="38">
        <v>739500672</v>
      </c>
      <c r="K30" s="38">
        <v>2837939456</v>
      </c>
      <c r="L30" s="38">
        <v>8098116608</v>
      </c>
      <c r="M30" s="38">
        <f t="shared" si="2"/>
        <v>2.672059263985882</v>
      </c>
      <c r="N30" s="38">
        <f t="shared" si="2"/>
        <v>4.2161596190880513</v>
      </c>
      <c r="O30" s="38">
        <f t="shared" si="2"/>
        <v>1.4002937303857179</v>
      </c>
    </row>
    <row r="31" spans="1:15" x14ac:dyDescent="0.2">
      <c r="A31" s="38" t="s">
        <v>39</v>
      </c>
      <c r="B31" s="38" t="s">
        <v>13</v>
      </c>
      <c r="C31" s="38">
        <v>1994</v>
      </c>
      <c r="D31" s="38">
        <v>200356672</v>
      </c>
      <c r="E31" s="38">
        <v>79949184</v>
      </c>
      <c r="F31" s="38">
        <v>1309976064</v>
      </c>
      <c r="G31" s="38">
        <v>2561978624</v>
      </c>
      <c r="H31" s="38">
        <v>3871954688</v>
      </c>
      <c r="I31" s="39">
        <f t="shared" si="1"/>
        <v>0.66167577630495245</v>
      </c>
      <c r="J31" s="38">
        <v>150348399.656894</v>
      </c>
      <c r="K31" s="38">
        <v>376780643.512025</v>
      </c>
      <c r="L31" s="38">
        <v>7281402532.9490604</v>
      </c>
      <c r="M31" s="38">
        <f>J31/J$46</f>
        <v>0.44847527279088789</v>
      </c>
      <c r="N31" s="38">
        <f t="shared" ref="N31:O46" si="3">K31/K$46</f>
        <v>0.62149994176676315</v>
      </c>
      <c r="O31" s="38">
        <f t="shared" si="3"/>
        <v>1.4089590103106753</v>
      </c>
    </row>
    <row r="32" spans="1:15" x14ac:dyDescent="0.2">
      <c r="A32" s="38" t="s">
        <v>39</v>
      </c>
      <c r="B32" s="38" t="s">
        <v>13</v>
      </c>
      <c r="C32" s="38">
        <v>1996</v>
      </c>
      <c r="D32" s="38">
        <v>161688480</v>
      </c>
      <c r="E32" s="38">
        <v>68031584</v>
      </c>
      <c r="F32" s="38">
        <v>1055713280</v>
      </c>
      <c r="G32" s="38">
        <v>2705318400</v>
      </c>
      <c r="H32" s="38">
        <v>3761031680</v>
      </c>
      <c r="I32" s="39">
        <f t="shared" si="1"/>
        <v>0.71930221018505225</v>
      </c>
      <c r="J32" s="38">
        <v>120936850.242524</v>
      </c>
      <c r="K32" s="38">
        <v>287426726.55837798</v>
      </c>
      <c r="L32" s="38">
        <v>6685825881.1311598</v>
      </c>
      <c r="M32" s="38">
        <f t="shared" ref="M32:O58" si="4">J32/J$46</f>
        <v>0.36074336026695275</v>
      </c>
      <c r="N32" s="38">
        <f t="shared" si="3"/>
        <v>0.47411059165129882</v>
      </c>
      <c r="O32" s="38">
        <f t="shared" si="3"/>
        <v>1.2937143048968087</v>
      </c>
    </row>
    <row r="33" spans="1:15" x14ac:dyDescent="0.2">
      <c r="A33" s="38" t="s">
        <v>39</v>
      </c>
      <c r="B33" s="38" t="s">
        <v>13</v>
      </c>
      <c r="C33" s="38">
        <v>1997</v>
      </c>
      <c r="D33" s="38">
        <v>177923248</v>
      </c>
      <c r="E33" s="38">
        <v>71952440</v>
      </c>
      <c r="F33" s="38">
        <v>1350674944</v>
      </c>
      <c r="G33" s="38">
        <v>2853523456</v>
      </c>
      <c r="H33" s="38">
        <v>4204198400</v>
      </c>
      <c r="I33" s="39">
        <f t="shared" si="1"/>
        <v>0.67873187335783203</v>
      </c>
      <c r="J33" s="38">
        <v>124926216.867238</v>
      </c>
      <c r="K33" s="38">
        <v>308916254.47825599</v>
      </c>
      <c r="L33" s="38">
        <v>7299468941.8635197</v>
      </c>
      <c r="M33" s="38">
        <f t="shared" si="4"/>
        <v>0.37264326934057379</v>
      </c>
      <c r="N33" s="38">
        <f t="shared" si="3"/>
        <v>0.50955758337122559</v>
      </c>
      <c r="O33" s="38">
        <f t="shared" si="3"/>
        <v>1.4124548793426095</v>
      </c>
    </row>
    <row r="34" spans="1:15" x14ac:dyDescent="0.2">
      <c r="A34" s="38" t="s">
        <v>39</v>
      </c>
      <c r="B34" s="38" t="s">
        <v>13</v>
      </c>
      <c r="C34" s="38">
        <v>1998</v>
      </c>
      <c r="D34" s="38">
        <v>203753600</v>
      </c>
      <c r="E34" s="38">
        <v>192363968</v>
      </c>
      <c r="F34" s="38">
        <v>780141056</v>
      </c>
      <c r="G34" s="38">
        <v>3261804288</v>
      </c>
      <c r="H34" s="38">
        <v>4041945344</v>
      </c>
      <c r="I34" s="39">
        <f t="shared" si="1"/>
        <v>0.80698871716361342</v>
      </c>
      <c r="J34" s="38">
        <v>326524290.93776101</v>
      </c>
      <c r="K34" s="38">
        <v>345857389.29036897</v>
      </c>
      <c r="L34" s="38">
        <v>6860917619.7632999</v>
      </c>
      <c r="M34" s="38">
        <f t="shared" si="4"/>
        <v>0.97399154753456607</v>
      </c>
      <c r="N34" s="38">
        <f t="shared" si="3"/>
        <v>0.57049201174451758</v>
      </c>
      <c r="O34" s="38">
        <f t="shared" si="3"/>
        <v>1.3275947395603762</v>
      </c>
    </row>
    <row r="35" spans="1:15" x14ac:dyDescent="0.2">
      <c r="A35" s="38" t="s">
        <v>39</v>
      </c>
      <c r="B35" s="38" t="s">
        <v>13</v>
      </c>
      <c r="C35" s="38">
        <v>1999</v>
      </c>
      <c r="D35" s="38">
        <v>179610768</v>
      </c>
      <c r="E35" s="38">
        <v>204709008</v>
      </c>
      <c r="F35" s="38">
        <v>654535424</v>
      </c>
      <c r="G35" s="38">
        <v>3176586496</v>
      </c>
      <c r="H35" s="38">
        <v>3831121920</v>
      </c>
      <c r="I35" s="39">
        <f t="shared" si="1"/>
        <v>0.8291530685611801</v>
      </c>
      <c r="J35" s="38">
        <v>340427118.56730002</v>
      </c>
      <c r="K35" s="38">
        <v>298689231.17393899</v>
      </c>
      <c r="L35" s="38">
        <v>6371081609.1963196</v>
      </c>
      <c r="M35" s="38">
        <f t="shared" si="4"/>
        <v>1.015462387450063</v>
      </c>
      <c r="N35" s="38">
        <f t="shared" si="3"/>
        <v>0.49268810109412581</v>
      </c>
      <c r="O35" s="38">
        <f t="shared" si="3"/>
        <v>1.232810958889009</v>
      </c>
    </row>
    <row r="36" spans="1:15" x14ac:dyDescent="0.2">
      <c r="A36" s="38" t="s">
        <v>39</v>
      </c>
      <c r="B36" s="38" t="s">
        <v>13</v>
      </c>
      <c r="C36" s="38">
        <v>2000</v>
      </c>
      <c r="D36" s="38">
        <v>201689248</v>
      </c>
      <c r="E36" s="38">
        <v>98150456</v>
      </c>
      <c r="F36" s="38">
        <v>662474240</v>
      </c>
      <c r="G36" s="38">
        <v>4684154880</v>
      </c>
      <c r="H36" s="38">
        <v>5346629120</v>
      </c>
      <c r="I36" s="39">
        <f t="shared" si="1"/>
        <v>0.87609497028288363</v>
      </c>
      <c r="J36" s="38">
        <v>159335884.70636499</v>
      </c>
      <c r="K36" s="38">
        <v>327419108.12764299</v>
      </c>
      <c r="L36" s="38">
        <v>8679632431.1729603</v>
      </c>
      <c r="M36" s="38">
        <f t="shared" si="4"/>
        <v>0.47528410360294709</v>
      </c>
      <c r="N36" s="38">
        <f t="shared" si="3"/>
        <v>0.54007805373940665</v>
      </c>
      <c r="O36" s="38">
        <f t="shared" si="3"/>
        <v>1.6795179589024718</v>
      </c>
    </row>
    <row r="37" spans="1:15" x14ac:dyDescent="0.2">
      <c r="A37" s="38" t="s">
        <v>39</v>
      </c>
      <c r="B37" s="38" t="s">
        <v>13</v>
      </c>
      <c r="C37" s="38">
        <v>2001</v>
      </c>
      <c r="D37" s="38">
        <v>200453216</v>
      </c>
      <c r="E37" s="38">
        <v>151231408</v>
      </c>
      <c r="F37" s="38">
        <v>640698624</v>
      </c>
      <c r="G37" s="38">
        <v>3767231744</v>
      </c>
      <c r="H37" s="38">
        <v>4407930368</v>
      </c>
      <c r="I37" s="39">
        <f t="shared" si="1"/>
        <v>0.85464865129194345</v>
      </c>
      <c r="J37" s="38">
        <v>239131286.83867201</v>
      </c>
      <c r="K37" s="38">
        <v>316962171.59487402</v>
      </c>
      <c r="L37" s="38">
        <v>6969941463.4498701</v>
      </c>
      <c r="M37" s="38">
        <f t="shared" si="4"/>
        <v>0.71330635605399972</v>
      </c>
      <c r="N37" s="38">
        <f t="shared" si="3"/>
        <v>0.52282932942704097</v>
      </c>
      <c r="O37" s="38">
        <f t="shared" si="3"/>
        <v>1.3486909674101339</v>
      </c>
    </row>
    <row r="38" spans="1:15" x14ac:dyDescent="0.2">
      <c r="A38" s="38" t="s">
        <v>39</v>
      </c>
      <c r="B38" s="38" t="s">
        <v>13</v>
      </c>
      <c r="C38" s="38">
        <v>2002</v>
      </c>
      <c r="D38" s="38">
        <v>251208256</v>
      </c>
      <c r="E38" s="38">
        <v>127226960</v>
      </c>
      <c r="F38" s="38">
        <v>742456960</v>
      </c>
      <c r="G38" s="38">
        <v>2013804416</v>
      </c>
      <c r="H38" s="38">
        <v>2756261376</v>
      </c>
      <c r="I38" s="39">
        <f t="shared" si="1"/>
        <v>0.73062897210514766</v>
      </c>
      <c r="J38" s="38">
        <v>196614839.27645099</v>
      </c>
      <c r="K38" s="38">
        <v>388213872.89578801</v>
      </c>
      <c r="L38" s="38">
        <v>4259489399.4647799</v>
      </c>
      <c r="M38" s="38">
        <f t="shared" si="4"/>
        <v>0.5864837529396324</v>
      </c>
      <c r="N38" s="38">
        <f t="shared" si="3"/>
        <v>0.64035906183721336</v>
      </c>
      <c r="O38" s="38">
        <f t="shared" si="3"/>
        <v>0.82421565646749739</v>
      </c>
    </row>
    <row r="39" spans="1:15" x14ac:dyDescent="0.2">
      <c r="A39" s="38" t="s">
        <v>39</v>
      </c>
      <c r="B39" s="38" t="s">
        <v>13</v>
      </c>
      <c r="C39" s="38">
        <v>2003</v>
      </c>
      <c r="D39" s="38">
        <v>272761760</v>
      </c>
      <c r="E39" s="38">
        <v>140744896</v>
      </c>
      <c r="F39" s="38">
        <v>719911424</v>
      </c>
      <c r="G39" s="38">
        <v>2783792640</v>
      </c>
      <c r="H39" s="38">
        <v>3503704064</v>
      </c>
      <c r="I39" s="39">
        <f t="shared" si="1"/>
        <v>0.79452847305313967</v>
      </c>
      <c r="J39" s="38">
        <v>214372194.91357699</v>
      </c>
      <c r="K39" s="38">
        <v>415450498.32350802</v>
      </c>
      <c r="L39" s="38">
        <v>5336582369.0494699</v>
      </c>
      <c r="M39" s="38">
        <f t="shared" si="4"/>
        <v>0.63945229089267164</v>
      </c>
      <c r="N39" s="38">
        <f t="shared" si="3"/>
        <v>0.68528589501915971</v>
      </c>
      <c r="O39" s="38">
        <f t="shared" si="3"/>
        <v>1.0326342732891103</v>
      </c>
    </row>
    <row r="40" spans="1:15" x14ac:dyDescent="0.2">
      <c r="A40" s="38" t="s">
        <v>39</v>
      </c>
      <c r="B40" s="38" t="s">
        <v>13</v>
      </c>
      <c r="C40" s="38">
        <v>2004</v>
      </c>
      <c r="D40" s="38">
        <v>413760000</v>
      </c>
      <c r="E40" s="38">
        <v>228981024</v>
      </c>
      <c r="F40" s="38">
        <v>792641792</v>
      </c>
      <c r="G40" s="38">
        <v>2998764032</v>
      </c>
      <c r="H40" s="38">
        <v>3791405824</v>
      </c>
      <c r="I40" s="39">
        <f t="shared" si="1"/>
        <v>0.7909372331016391</v>
      </c>
      <c r="J40" s="38">
        <v>342707069.05752599</v>
      </c>
      <c r="K40" s="38">
        <v>619258637.31503797</v>
      </c>
      <c r="L40" s="38">
        <v>5674450899.2617397</v>
      </c>
      <c r="M40" s="38">
        <f t="shared" si="4"/>
        <v>1.0222632674087937</v>
      </c>
      <c r="N40" s="38">
        <f t="shared" si="3"/>
        <v>1.0214675664929111</v>
      </c>
      <c r="O40" s="38">
        <f t="shared" si="3"/>
        <v>1.0980121874737554</v>
      </c>
    </row>
    <row r="41" spans="1:15" x14ac:dyDescent="0.2">
      <c r="A41" s="38" t="s">
        <v>39</v>
      </c>
      <c r="B41" s="38" t="s">
        <v>13</v>
      </c>
      <c r="C41" s="38">
        <v>2005</v>
      </c>
      <c r="D41" s="38">
        <v>328470048</v>
      </c>
      <c r="E41" s="38">
        <v>320350400</v>
      </c>
      <c r="F41" s="38">
        <v>736642560</v>
      </c>
      <c r="G41" s="38">
        <v>3513789696</v>
      </c>
      <c r="H41" s="38">
        <v>4250432256</v>
      </c>
      <c r="I41" s="39">
        <f t="shared" si="1"/>
        <v>0.82668996571815967</v>
      </c>
      <c r="J41" s="38">
        <v>469371281.81258303</v>
      </c>
      <c r="K41" s="38">
        <v>481268034.83560699</v>
      </c>
      <c r="L41" s="38">
        <v>6227652084.2685699</v>
      </c>
      <c r="M41" s="38">
        <f t="shared" si="4"/>
        <v>1.4000908166065382</v>
      </c>
      <c r="N41" s="38">
        <f t="shared" si="3"/>
        <v>0.79385196871183816</v>
      </c>
      <c r="O41" s="38">
        <f t="shared" si="3"/>
        <v>1.2050571957126055</v>
      </c>
    </row>
    <row r="42" spans="1:15" x14ac:dyDescent="0.2">
      <c r="A42" s="38" t="s">
        <v>39</v>
      </c>
      <c r="B42" s="38" t="s">
        <v>13</v>
      </c>
      <c r="C42" s="38">
        <v>2006</v>
      </c>
      <c r="D42" s="38">
        <v>370328032</v>
      </c>
      <c r="E42" s="38">
        <v>299033120</v>
      </c>
      <c r="F42" s="38">
        <v>666200576</v>
      </c>
      <c r="G42" s="38">
        <v>4486013952</v>
      </c>
      <c r="H42" s="38">
        <v>5152214528</v>
      </c>
      <c r="I42" s="39">
        <f t="shared" si="1"/>
        <v>0.8706962661629295</v>
      </c>
      <c r="J42" s="38">
        <v>427392511.85984701</v>
      </c>
      <c r="K42" s="38">
        <v>529290627.769238</v>
      </c>
      <c r="L42" s="38">
        <v>7363792708.8568497</v>
      </c>
      <c r="M42" s="38">
        <f t="shared" si="4"/>
        <v>1.274872055722202</v>
      </c>
      <c r="N42" s="38">
        <f t="shared" si="3"/>
        <v>0.87306527020615465</v>
      </c>
      <c r="O42" s="38">
        <f t="shared" si="3"/>
        <v>1.4249015955723838</v>
      </c>
    </row>
    <row r="43" spans="1:15" x14ac:dyDescent="0.2">
      <c r="A43" s="38" t="s">
        <v>39</v>
      </c>
      <c r="B43" s="38" t="s">
        <v>13</v>
      </c>
      <c r="C43" s="38">
        <v>2007</v>
      </c>
      <c r="D43" s="38">
        <v>380092480</v>
      </c>
      <c r="E43" s="38">
        <v>283847136</v>
      </c>
      <c r="F43" s="38">
        <v>683899904</v>
      </c>
      <c r="G43" s="38">
        <v>4237598208</v>
      </c>
      <c r="H43" s="38">
        <v>4921498112</v>
      </c>
      <c r="I43" s="39">
        <f t="shared" si="1"/>
        <v>0.8610382675282432</v>
      </c>
      <c r="J43" s="38">
        <v>396430808.80260801</v>
      </c>
      <c r="K43" s="38">
        <v>530850412.61853403</v>
      </c>
      <c r="L43" s="38">
        <v>6873535891.7296495</v>
      </c>
      <c r="M43" s="38">
        <f t="shared" si="4"/>
        <v>1.1825161792622358</v>
      </c>
      <c r="N43" s="38">
        <f t="shared" si="3"/>
        <v>0.87563813643402189</v>
      </c>
      <c r="O43" s="38">
        <f t="shared" si="3"/>
        <v>1.3300363883912285</v>
      </c>
    </row>
    <row r="44" spans="1:15" x14ac:dyDescent="0.2">
      <c r="A44" s="38" t="s">
        <v>39</v>
      </c>
      <c r="B44" s="38" t="s">
        <v>13</v>
      </c>
      <c r="C44" s="38">
        <v>2008</v>
      </c>
      <c r="D44" s="38">
        <v>334884000</v>
      </c>
      <c r="E44" s="38">
        <v>285577504</v>
      </c>
      <c r="F44" s="38">
        <v>766570496</v>
      </c>
      <c r="G44" s="38">
        <v>5724208128</v>
      </c>
      <c r="H44" s="38">
        <v>6490778624</v>
      </c>
      <c r="I44" s="39">
        <f t="shared" si="1"/>
        <v>0.88189853014466324</v>
      </c>
      <c r="J44" s="38">
        <v>389892331.38121998</v>
      </c>
      <c r="K44" s="38">
        <v>457209344.83084702</v>
      </c>
      <c r="L44" s="38">
        <v>8861709254.9094791</v>
      </c>
      <c r="M44" s="38">
        <f t="shared" si="4"/>
        <v>1.1630125101052253</v>
      </c>
      <c r="N44" s="38">
        <f t="shared" si="3"/>
        <v>0.75416714228984139</v>
      </c>
      <c r="O44" s="38">
        <f t="shared" si="3"/>
        <v>1.7147500148438173</v>
      </c>
    </row>
    <row r="45" spans="1:15" x14ac:dyDescent="0.2">
      <c r="A45" s="38" t="s">
        <v>39</v>
      </c>
      <c r="B45" s="38" t="s">
        <v>13</v>
      </c>
      <c r="C45" s="38">
        <v>2009</v>
      </c>
      <c r="D45" s="38">
        <v>416993760</v>
      </c>
      <c r="E45" s="38">
        <v>238531696</v>
      </c>
      <c r="F45" s="38">
        <v>856333824</v>
      </c>
      <c r="G45" s="38">
        <v>2793313280</v>
      </c>
      <c r="H45" s="38">
        <v>3649647104</v>
      </c>
      <c r="I45" s="39">
        <f t="shared" si="1"/>
        <v>0.76536530804267044</v>
      </c>
      <c r="J45" s="38">
        <v>320207884.83816099</v>
      </c>
      <c r="K45" s="38">
        <v>559777556.27206802</v>
      </c>
      <c r="L45" s="38">
        <v>4899331196.5448799</v>
      </c>
      <c r="M45" s="38">
        <f t="shared" si="4"/>
        <v>0.95515029644682126</v>
      </c>
      <c r="N45" s="38">
        <f t="shared" si="3"/>
        <v>0.92335348064218681</v>
      </c>
      <c r="O45" s="38">
        <f t="shared" si="3"/>
        <v>0.94802571381427325</v>
      </c>
    </row>
    <row r="46" spans="1:15" x14ac:dyDescent="0.2">
      <c r="A46" s="38" t="s">
        <v>39</v>
      </c>
      <c r="B46" s="38" t="s">
        <v>13</v>
      </c>
      <c r="C46" s="38">
        <v>2010</v>
      </c>
      <c r="D46" s="38">
        <v>455932032</v>
      </c>
      <c r="E46" s="38">
        <v>252123264</v>
      </c>
      <c r="F46" s="38">
        <v>975833088</v>
      </c>
      <c r="G46" s="38">
        <v>2910761984</v>
      </c>
      <c r="H46" s="38">
        <v>3886595072</v>
      </c>
      <c r="I46" s="39">
        <f t="shared" si="1"/>
        <v>0.74892339697794996</v>
      </c>
      <c r="J46" s="38">
        <v>335243454.38549399</v>
      </c>
      <c r="K46" s="38">
        <v>606244052.80060899</v>
      </c>
      <c r="L46" s="38">
        <v>5167930706.0490799</v>
      </c>
      <c r="M46" s="38">
        <f t="shared" si="4"/>
        <v>1</v>
      </c>
      <c r="N46" s="38">
        <f t="shared" si="3"/>
        <v>1</v>
      </c>
      <c r="O46" s="38">
        <f t="shared" si="3"/>
        <v>1</v>
      </c>
    </row>
    <row r="47" spans="1:15" x14ac:dyDescent="0.2">
      <c r="A47" s="38" t="s">
        <v>39</v>
      </c>
      <c r="B47" s="38" t="s">
        <v>13</v>
      </c>
      <c r="C47" s="38">
        <v>2011</v>
      </c>
      <c r="D47" s="38">
        <v>485876032</v>
      </c>
      <c r="E47" s="38">
        <v>235054672</v>
      </c>
      <c r="F47" s="38">
        <v>921796352</v>
      </c>
      <c r="G47" s="38">
        <v>3867812096</v>
      </c>
      <c r="H47" s="38">
        <v>4789608448</v>
      </c>
      <c r="I47" s="39">
        <f t="shared" si="1"/>
        <v>0.80754244068011127</v>
      </c>
      <c r="J47" s="38">
        <v>307449011.06472301</v>
      </c>
      <c r="K47" s="38">
        <v>635520682.34768701</v>
      </c>
      <c r="L47" s="38">
        <v>6264756910.3618698</v>
      </c>
      <c r="M47" s="38">
        <f t="shared" si="4"/>
        <v>0.91709176433670092</v>
      </c>
      <c r="N47" s="38">
        <f t="shared" si="4"/>
        <v>1.048291821440279</v>
      </c>
      <c r="O47" s="38">
        <f t="shared" si="4"/>
        <v>1.212237018392865</v>
      </c>
    </row>
    <row r="48" spans="1:15" x14ac:dyDescent="0.2">
      <c r="A48" s="38" t="s">
        <v>39</v>
      </c>
      <c r="B48" s="38" t="s">
        <v>13</v>
      </c>
      <c r="C48" s="38">
        <v>2012</v>
      </c>
      <c r="D48" s="38">
        <v>467645056</v>
      </c>
      <c r="E48" s="38">
        <v>265131504</v>
      </c>
      <c r="F48" s="38">
        <v>999283968</v>
      </c>
      <c r="G48" s="38">
        <v>3668240640</v>
      </c>
      <c r="H48" s="38">
        <v>4667524608</v>
      </c>
      <c r="I48" s="39">
        <f t="shared" si="1"/>
        <v>0.78590708096380324</v>
      </c>
      <c r="J48" s="38">
        <v>339619028.06319702</v>
      </c>
      <c r="K48" s="38">
        <v>599027867.30798805</v>
      </c>
      <c r="L48" s="38">
        <v>5978845014.3217001</v>
      </c>
      <c r="M48" s="38">
        <f t="shared" si="4"/>
        <v>1.0130519287415276</v>
      </c>
      <c r="N48" s="38">
        <f t="shared" si="4"/>
        <v>0.98809689685319801</v>
      </c>
      <c r="O48" s="38">
        <f t="shared" si="4"/>
        <v>1.1569127672945465</v>
      </c>
    </row>
    <row r="49" spans="1:15" x14ac:dyDescent="0.2">
      <c r="A49" s="38" t="s">
        <v>39</v>
      </c>
      <c r="B49" s="38" t="s">
        <v>13</v>
      </c>
      <c r="C49" s="38">
        <v>2013</v>
      </c>
      <c r="D49" s="38">
        <v>461915520</v>
      </c>
      <c r="E49" s="38">
        <v>316012256</v>
      </c>
      <c r="F49" s="38">
        <v>951155200</v>
      </c>
      <c r="G49" s="38">
        <v>4579573760</v>
      </c>
      <c r="H49" s="38">
        <v>5530728960</v>
      </c>
      <c r="I49" s="39">
        <f t="shared" si="1"/>
        <v>0.82802353778696114</v>
      </c>
      <c r="J49" s="38">
        <v>397776559.00450701</v>
      </c>
      <c r="K49" s="38">
        <v>581430506.59521794</v>
      </c>
      <c r="L49" s="38">
        <v>6961737377.9812403</v>
      </c>
      <c r="M49" s="38">
        <f t="shared" si="4"/>
        <v>1.1865304267719026</v>
      </c>
      <c r="N49" s="38">
        <f t="shared" si="4"/>
        <v>0.95907003773354604</v>
      </c>
      <c r="O49" s="38">
        <f t="shared" si="4"/>
        <v>1.3471034682861562</v>
      </c>
    </row>
    <row r="50" spans="1:15" x14ac:dyDescent="0.2">
      <c r="A50" s="38" t="s">
        <v>39</v>
      </c>
      <c r="B50" s="38" t="s">
        <v>13</v>
      </c>
      <c r="C50" s="38">
        <v>2014</v>
      </c>
      <c r="D50" s="38">
        <v>494880704</v>
      </c>
      <c r="E50" s="38">
        <v>243690352</v>
      </c>
      <c r="F50" s="38">
        <v>602819584</v>
      </c>
      <c r="G50" s="38">
        <v>6766931968</v>
      </c>
      <c r="H50" s="38">
        <v>7369751552</v>
      </c>
      <c r="I50" s="39">
        <f t="shared" si="1"/>
        <v>0.91820354054725128</v>
      </c>
      <c r="J50" s="38">
        <v>301466285.51672101</v>
      </c>
      <c r="K50" s="38">
        <v>612210727.19686496</v>
      </c>
      <c r="L50" s="38">
        <v>9117027438.0108891</v>
      </c>
      <c r="M50" s="38">
        <f t="shared" si="4"/>
        <v>0.89924585125550915</v>
      </c>
      <c r="N50" s="38">
        <f t="shared" si="4"/>
        <v>1.0098420336969778</v>
      </c>
      <c r="O50" s="38">
        <f t="shared" si="4"/>
        <v>1.7641543504713364</v>
      </c>
    </row>
    <row r="51" spans="1:15" x14ac:dyDescent="0.2">
      <c r="A51" s="38" t="s">
        <v>39</v>
      </c>
      <c r="B51" s="38" t="s">
        <v>13</v>
      </c>
      <c r="C51" s="38">
        <v>2015</v>
      </c>
      <c r="D51" s="38">
        <v>497565600</v>
      </c>
      <c r="E51" s="38">
        <v>312493760</v>
      </c>
      <c r="F51" s="38">
        <v>418983936</v>
      </c>
      <c r="G51" s="38">
        <v>4350075392</v>
      </c>
      <c r="H51" s="38">
        <v>4769059328</v>
      </c>
      <c r="I51" s="39">
        <f t="shared" si="1"/>
        <v>0.91214537140687879</v>
      </c>
      <c r="J51" s="38">
        <v>379632368.57707101</v>
      </c>
      <c r="K51" s="38">
        <v>604466493.18844604</v>
      </c>
      <c r="L51" s="38">
        <v>5793681411.6647196</v>
      </c>
      <c r="M51" s="38">
        <f t="shared" si="4"/>
        <v>1.1324079966689955</v>
      </c>
      <c r="N51" s="38">
        <f t="shared" si="4"/>
        <v>0.99706791414455731</v>
      </c>
      <c r="O51" s="38">
        <f t="shared" si="4"/>
        <v>1.1210834164016936</v>
      </c>
    </row>
    <row r="52" spans="1:15" x14ac:dyDescent="0.2">
      <c r="A52" s="38" t="s">
        <v>39</v>
      </c>
      <c r="B52" s="38" t="s">
        <v>13</v>
      </c>
      <c r="C52" s="38">
        <v>2016</v>
      </c>
      <c r="D52" s="38">
        <v>523427456</v>
      </c>
      <c r="E52" s="38">
        <v>227741360</v>
      </c>
      <c r="F52" s="38">
        <v>419360256</v>
      </c>
      <c r="G52" s="38">
        <v>4394115072</v>
      </c>
      <c r="H52" s="38">
        <v>4813475328</v>
      </c>
      <c r="I52" s="39">
        <f t="shared" si="1"/>
        <v>0.91287786320196129</v>
      </c>
      <c r="J52" s="38">
        <v>270697409.96013999</v>
      </c>
      <c r="K52" s="38">
        <v>622155135.28691304</v>
      </c>
      <c r="L52" s="38">
        <v>5721381940.4461203</v>
      </c>
      <c r="M52" s="38">
        <f t="shared" si="4"/>
        <v>0.80746516127013479</v>
      </c>
      <c r="N52" s="38">
        <f t="shared" si="4"/>
        <v>1.0262453419753994</v>
      </c>
      <c r="O52" s="38">
        <f t="shared" si="4"/>
        <v>1.1070933930575393</v>
      </c>
    </row>
    <row r="53" spans="1:15" x14ac:dyDescent="0.2">
      <c r="A53" s="38" t="s">
        <v>39</v>
      </c>
      <c r="B53" s="38" t="s">
        <v>13</v>
      </c>
      <c r="C53" s="38">
        <v>2017</v>
      </c>
      <c r="D53" s="38">
        <v>523405760</v>
      </c>
      <c r="E53" s="38">
        <v>221093104</v>
      </c>
      <c r="F53" s="38">
        <v>399123456</v>
      </c>
      <c r="G53" s="38">
        <v>4689692672</v>
      </c>
      <c r="H53" s="38">
        <v>5088816128</v>
      </c>
      <c r="I53" s="39">
        <f t="shared" si="1"/>
        <v>0.92156850513738975</v>
      </c>
      <c r="J53" s="38">
        <v>258054261.075436</v>
      </c>
      <c r="K53" s="38">
        <v>610905922.41821897</v>
      </c>
      <c r="L53" s="38">
        <v>5939537063.3532</v>
      </c>
      <c r="M53" s="38">
        <f t="shared" si="4"/>
        <v>0.76975182572454137</v>
      </c>
      <c r="N53" s="38">
        <f t="shared" si="4"/>
        <v>1.0076897572785646</v>
      </c>
      <c r="O53" s="38">
        <f t="shared" si="4"/>
        <v>1.1493066376453061</v>
      </c>
    </row>
    <row r="54" spans="1:15" x14ac:dyDescent="0.2">
      <c r="A54" s="38" t="s">
        <v>39</v>
      </c>
      <c r="B54" s="38" t="s">
        <v>13</v>
      </c>
      <c r="C54" s="38">
        <v>2018</v>
      </c>
      <c r="D54" s="38">
        <v>532926752</v>
      </c>
      <c r="E54" s="38">
        <v>259977840</v>
      </c>
      <c r="F54" s="38">
        <v>369092608</v>
      </c>
      <c r="G54" s="38">
        <v>5081913856</v>
      </c>
      <c r="H54" s="38">
        <v>5451006464</v>
      </c>
      <c r="I54" s="39">
        <f t="shared" si="1"/>
        <v>0.93228909001712024</v>
      </c>
      <c r="J54" s="38">
        <v>297067158.42520797</v>
      </c>
      <c r="K54" s="38">
        <v>608955885.876333</v>
      </c>
      <c r="L54" s="38">
        <v>6228665492.4816704</v>
      </c>
      <c r="M54" s="38">
        <f t="shared" si="4"/>
        <v>0.88612366487434124</v>
      </c>
      <c r="N54" s="38">
        <f t="shared" si="4"/>
        <v>1.0044731706038128</v>
      </c>
      <c r="O54" s="38">
        <f t="shared" si="4"/>
        <v>1.2052532912623997</v>
      </c>
    </row>
    <row r="55" spans="1:15" x14ac:dyDescent="0.2">
      <c r="A55" s="38" t="s">
        <v>39</v>
      </c>
      <c r="B55" s="38" t="s">
        <v>13</v>
      </c>
      <c r="C55" s="38">
        <v>2019</v>
      </c>
      <c r="D55" s="38">
        <v>971076096</v>
      </c>
      <c r="E55" s="38">
        <v>458436960</v>
      </c>
      <c r="F55" s="38">
        <v>395907072</v>
      </c>
      <c r="G55" s="38">
        <v>4583716352</v>
      </c>
      <c r="H55" s="38">
        <v>4979623424</v>
      </c>
      <c r="I55" s="39">
        <f t="shared" si="1"/>
        <v>0.92049457593683293</v>
      </c>
      <c r="J55" s="38">
        <v>512591667.76962298</v>
      </c>
      <c r="K55" s="38">
        <v>1085788361.3482101</v>
      </c>
      <c r="L55" s="38">
        <v>5567861447.6739397</v>
      </c>
      <c r="M55" s="38">
        <f t="shared" si="4"/>
        <v>1.5290132023881295</v>
      </c>
      <c r="N55" s="38">
        <f t="shared" si="4"/>
        <v>1.7910086809632113</v>
      </c>
      <c r="O55" s="38">
        <f t="shared" si="4"/>
        <v>1.0773870170427671</v>
      </c>
    </row>
    <row r="56" spans="1:15" x14ac:dyDescent="0.2">
      <c r="A56" s="38" t="s">
        <v>39</v>
      </c>
      <c r="B56" s="38" t="s">
        <v>13</v>
      </c>
      <c r="C56" s="38">
        <v>2020</v>
      </c>
      <c r="D56" s="38">
        <v>1194442112</v>
      </c>
      <c r="E56" s="38">
        <v>535693728</v>
      </c>
      <c r="F56" s="38">
        <v>375033856</v>
      </c>
      <c r="G56" s="38">
        <v>4629307392</v>
      </c>
      <c r="H56" s="38">
        <v>5004341248</v>
      </c>
      <c r="I56" s="39">
        <f t="shared" si="1"/>
        <v>0.92505829690373664</v>
      </c>
      <c r="J56" s="38">
        <v>588914021.77646995</v>
      </c>
      <c r="K56" s="38">
        <v>1313107977.9173701</v>
      </c>
      <c r="L56" s="38">
        <v>5501514347.9551001</v>
      </c>
      <c r="M56" s="38">
        <f t="shared" si="4"/>
        <v>1.7566756757591515</v>
      </c>
      <c r="N56" s="38">
        <f t="shared" si="4"/>
        <v>2.165972551567851</v>
      </c>
      <c r="O56" s="38">
        <f t="shared" si="4"/>
        <v>1.0645487838131342</v>
      </c>
    </row>
    <row r="57" spans="1:15" x14ac:dyDescent="0.2">
      <c r="A57" s="38" t="s">
        <v>39</v>
      </c>
      <c r="B57" s="38" t="s">
        <v>13</v>
      </c>
      <c r="C57" s="38">
        <v>2021</v>
      </c>
      <c r="D57" s="38">
        <v>905314752</v>
      </c>
      <c r="E57" s="38">
        <v>556028160</v>
      </c>
      <c r="F57" s="38">
        <v>410298368</v>
      </c>
      <c r="G57" s="38">
        <v>5417142272</v>
      </c>
      <c r="H57" s="38">
        <v>5827440640</v>
      </c>
      <c r="I57" s="39">
        <f t="shared" si="1"/>
        <v>0.92959201245505951</v>
      </c>
      <c r="J57" s="38">
        <v>590235589.42119896</v>
      </c>
      <c r="K57" s="38">
        <v>961010655.033059</v>
      </c>
      <c r="L57" s="38">
        <v>6185950835.5969696</v>
      </c>
      <c r="M57" s="38">
        <f t="shared" si="4"/>
        <v>1.7606177889531331</v>
      </c>
      <c r="N57" s="38">
        <f t="shared" si="4"/>
        <v>1.5851877648837427</v>
      </c>
      <c r="O57" s="38">
        <f t="shared" si="4"/>
        <v>1.1969879604531644</v>
      </c>
    </row>
    <row r="58" spans="1:15" x14ac:dyDescent="0.2">
      <c r="A58" s="38" t="s">
        <v>39</v>
      </c>
      <c r="B58" s="38" t="s">
        <v>13</v>
      </c>
      <c r="C58" s="38">
        <v>2022</v>
      </c>
      <c r="D58" s="38">
        <v>1030998080</v>
      </c>
      <c r="E58" s="38">
        <v>487118688</v>
      </c>
      <c r="F58" s="38">
        <v>672263168</v>
      </c>
      <c r="G58" s="38">
        <v>6022254592</v>
      </c>
      <c r="H58" s="38">
        <v>6694517760</v>
      </c>
      <c r="I58" s="39">
        <f t="shared" si="1"/>
        <v>0.89958004562826044</v>
      </c>
      <c r="J58" s="38">
        <v>487118688</v>
      </c>
      <c r="K58" s="38">
        <v>1030998080</v>
      </c>
      <c r="L58" s="38">
        <v>6694517760</v>
      </c>
      <c r="M58" s="38">
        <f t="shared" si="4"/>
        <v>1.4530296762777828</v>
      </c>
      <c r="N58" s="38">
        <f t="shared" si="4"/>
        <v>1.700632072574064</v>
      </c>
      <c r="O58" s="38">
        <f t="shared" si="4"/>
        <v>1.2953961925542161</v>
      </c>
    </row>
    <row r="59" spans="1:15" x14ac:dyDescent="0.2">
      <c r="A59" s="38" t="s">
        <v>53</v>
      </c>
      <c r="B59" s="38" t="s">
        <v>13</v>
      </c>
      <c r="C59" s="38">
        <v>1994</v>
      </c>
      <c r="D59" s="38">
        <v>33720920</v>
      </c>
      <c r="E59" s="38">
        <v>24759348</v>
      </c>
      <c r="F59" s="38">
        <v>254621664</v>
      </c>
      <c r="G59" s="38">
        <v>342612256</v>
      </c>
      <c r="H59" s="38">
        <v>597233920</v>
      </c>
      <c r="I59" s="39">
        <f t="shared" si="1"/>
        <v>0.57366509926294873</v>
      </c>
      <c r="J59" s="38">
        <v>46561180.015897699</v>
      </c>
      <c r="K59" s="38">
        <v>63413859.945814602</v>
      </c>
      <c r="L59" s="38">
        <v>1123127962.0416601</v>
      </c>
      <c r="M59" s="38">
        <f>J59/J$75</f>
        <v>0.38013044807680663</v>
      </c>
      <c r="N59" s="38">
        <f t="shared" ref="N59:O74" si="5">K59/K$75</f>
        <v>0.43587896206585963</v>
      </c>
      <c r="O59" s="38">
        <f t="shared" si="5"/>
        <v>0.854333977886782</v>
      </c>
    </row>
    <row r="60" spans="1:15" x14ac:dyDescent="0.2">
      <c r="A60" s="38" t="s">
        <v>53</v>
      </c>
      <c r="B60" s="38" t="s">
        <v>13</v>
      </c>
      <c r="C60" s="38">
        <v>1995</v>
      </c>
      <c r="D60" s="38">
        <v>35478608</v>
      </c>
      <c r="E60" s="38">
        <v>25031352</v>
      </c>
      <c r="F60" s="38">
        <v>233444032</v>
      </c>
      <c r="G60" s="38">
        <v>341726592</v>
      </c>
      <c r="H60" s="38">
        <v>575170624</v>
      </c>
      <c r="I60" s="39">
        <f t="shared" si="1"/>
        <v>0.59413081569339676</v>
      </c>
      <c r="J60" s="38">
        <v>45693143.629784398</v>
      </c>
      <c r="K60" s="38">
        <v>64763946.075658202</v>
      </c>
      <c r="L60" s="38">
        <v>1049937451.80303</v>
      </c>
      <c r="M60" s="38">
        <f t="shared" ref="M60:O87" si="6">J60/J$75</f>
        <v>0.37304370628272931</v>
      </c>
      <c r="N60" s="38">
        <f t="shared" si="5"/>
        <v>0.44515885989069759</v>
      </c>
      <c r="O60" s="38">
        <f t="shared" si="5"/>
        <v>0.79865987674334282</v>
      </c>
    </row>
    <row r="61" spans="1:15" x14ac:dyDescent="0.2">
      <c r="A61" s="38" t="s">
        <v>53</v>
      </c>
      <c r="B61" s="38" t="s">
        <v>13</v>
      </c>
      <c r="C61" s="38">
        <v>1996</v>
      </c>
      <c r="D61" s="38">
        <v>38778940</v>
      </c>
      <c r="E61" s="38">
        <v>21714224</v>
      </c>
      <c r="F61" s="38">
        <v>232398592</v>
      </c>
      <c r="G61" s="38">
        <v>310731008</v>
      </c>
      <c r="H61" s="38">
        <v>543129600</v>
      </c>
      <c r="I61" s="39">
        <f t="shared" si="1"/>
        <v>0.57211208521870283</v>
      </c>
      <c r="J61" s="38">
        <v>38600451.461200997</v>
      </c>
      <c r="K61" s="38">
        <v>68935670.516562194</v>
      </c>
      <c r="L61" s="38">
        <v>965498364.66371298</v>
      </c>
      <c r="M61" s="38">
        <f t="shared" si="6"/>
        <v>0.31513820966099632</v>
      </c>
      <c r="N61" s="38">
        <f t="shared" si="5"/>
        <v>0.47383345753985118</v>
      </c>
      <c r="O61" s="38">
        <f t="shared" si="5"/>
        <v>0.73442927823369109</v>
      </c>
    </row>
    <row r="62" spans="1:15" x14ac:dyDescent="0.2">
      <c r="A62" s="38" t="s">
        <v>53</v>
      </c>
      <c r="B62" s="38" t="s">
        <v>13</v>
      </c>
      <c r="C62" s="38">
        <v>1997</v>
      </c>
      <c r="D62" s="38">
        <v>48191024</v>
      </c>
      <c r="E62" s="38">
        <v>27285362</v>
      </c>
      <c r="F62" s="38">
        <v>291865440</v>
      </c>
      <c r="G62" s="38">
        <v>441400032</v>
      </c>
      <c r="H62" s="38">
        <v>733265472</v>
      </c>
      <c r="I62" s="39">
        <f t="shared" si="1"/>
        <v>0.60196483927719968</v>
      </c>
      <c r="J62" s="38">
        <v>47373752.0299953</v>
      </c>
      <c r="K62" s="38">
        <v>83670856.961602807</v>
      </c>
      <c r="L62" s="38">
        <v>1273119874.4105101</v>
      </c>
      <c r="M62" s="38">
        <f t="shared" si="6"/>
        <v>0.38676437281213616</v>
      </c>
      <c r="N62" s="38">
        <f t="shared" si="5"/>
        <v>0.57511664356573411</v>
      </c>
      <c r="O62" s="38">
        <f t="shared" si="5"/>
        <v>0.96842889091163642</v>
      </c>
    </row>
    <row r="63" spans="1:15" x14ac:dyDescent="0.2">
      <c r="A63" s="38" t="s">
        <v>53</v>
      </c>
      <c r="B63" s="38" t="s">
        <v>13</v>
      </c>
      <c r="C63" s="38">
        <v>1998</v>
      </c>
      <c r="D63" s="38">
        <v>68735848</v>
      </c>
      <c r="E63" s="38">
        <v>21006596</v>
      </c>
      <c r="F63" s="38">
        <v>303073792</v>
      </c>
      <c r="G63" s="38">
        <v>261752064</v>
      </c>
      <c r="H63" s="38">
        <v>564825856</v>
      </c>
      <c r="I63" s="39">
        <f t="shared" si="1"/>
        <v>0.46342082470105617</v>
      </c>
      <c r="J63" s="38">
        <v>35657217.592413098</v>
      </c>
      <c r="K63" s="38">
        <v>116674262.14771</v>
      </c>
      <c r="L63" s="38">
        <v>958752120.01092601</v>
      </c>
      <c r="M63" s="38">
        <f t="shared" si="6"/>
        <v>0.29110933391181698</v>
      </c>
      <c r="N63" s="38">
        <f t="shared" si="5"/>
        <v>0.80196752457899234</v>
      </c>
      <c r="O63" s="38">
        <f t="shared" si="5"/>
        <v>0.72929758689948565</v>
      </c>
    </row>
    <row r="64" spans="1:15" x14ac:dyDescent="0.2">
      <c r="A64" s="38" t="s">
        <v>53</v>
      </c>
      <c r="B64" s="38" t="s">
        <v>13</v>
      </c>
      <c r="C64" s="38">
        <v>1999</v>
      </c>
      <c r="D64" s="38">
        <v>66910080</v>
      </c>
      <c r="E64" s="38">
        <v>72181040</v>
      </c>
      <c r="F64" s="38">
        <v>179510720</v>
      </c>
      <c r="G64" s="38">
        <v>413457344</v>
      </c>
      <c r="H64" s="38">
        <v>592968064</v>
      </c>
      <c r="I64" s="39">
        <f t="shared" si="1"/>
        <v>0.69726747375049192</v>
      </c>
      <c r="J64" s="38">
        <v>120035672.59918</v>
      </c>
      <c r="K64" s="38">
        <v>111270168.128153</v>
      </c>
      <c r="L64" s="38">
        <v>986094414.71159196</v>
      </c>
      <c r="M64" s="38">
        <f t="shared" si="6"/>
        <v>0.97998405527410737</v>
      </c>
      <c r="N64" s="38">
        <f t="shared" si="5"/>
        <v>0.76482216086570376</v>
      </c>
      <c r="O64" s="38">
        <f t="shared" si="5"/>
        <v>0.75009615321218703</v>
      </c>
    </row>
    <row r="65" spans="1:15" x14ac:dyDescent="0.2">
      <c r="A65" s="38" t="s">
        <v>53</v>
      </c>
      <c r="B65" s="38" t="s">
        <v>13</v>
      </c>
      <c r="C65" s="38">
        <v>2000</v>
      </c>
      <c r="D65" s="38">
        <v>57185668</v>
      </c>
      <c r="E65" s="38">
        <v>58707032</v>
      </c>
      <c r="F65" s="38">
        <v>101604480</v>
      </c>
      <c r="G65" s="38">
        <v>1261791232</v>
      </c>
      <c r="H65" s="38">
        <v>1363395712</v>
      </c>
      <c r="I65" s="39">
        <f t="shared" si="1"/>
        <v>0.92547689632164543</v>
      </c>
      <c r="J65" s="38">
        <v>95304059.3332026</v>
      </c>
      <c r="K65" s="38">
        <v>92834301.282354504</v>
      </c>
      <c r="L65" s="38">
        <v>2213314851.80654</v>
      </c>
      <c r="M65" s="38">
        <f t="shared" si="6"/>
        <v>0.77807252233511492</v>
      </c>
      <c r="N65" s="38">
        <f t="shared" si="5"/>
        <v>0.63810212659563381</v>
      </c>
      <c r="O65" s="38">
        <f t="shared" si="5"/>
        <v>1.6836105462305597</v>
      </c>
    </row>
    <row r="66" spans="1:15" x14ac:dyDescent="0.2">
      <c r="A66" s="38" t="s">
        <v>53</v>
      </c>
      <c r="B66" s="38" t="s">
        <v>13</v>
      </c>
      <c r="C66" s="38">
        <v>2001</v>
      </c>
      <c r="D66" s="38">
        <v>61332928</v>
      </c>
      <c r="E66" s="38">
        <v>107316312</v>
      </c>
      <c r="F66" s="38">
        <v>84147392</v>
      </c>
      <c r="G66" s="38">
        <v>653526400</v>
      </c>
      <c r="H66" s="38">
        <v>737673792</v>
      </c>
      <c r="I66" s="39">
        <f t="shared" si="1"/>
        <v>0.88592872227186292</v>
      </c>
      <c r="J66" s="38">
        <v>169691521.93134701</v>
      </c>
      <c r="K66" s="38">
        <v>96981322.809767604</v>
      </c>
      <c r="L66" s="38">
        <v>1166430211.03211</v>
      </c>
      <c r="M66" s="38">
        <f t="shared" si="6"/>
        <v>1.3853797142721438</v>
      </c>
      <c r="N66" s="38">
        <f t="shared" si="5"/>
        <v>0.66660692729027915</v>
      </c>
      <c r="O66" s="38">
        <f t="shared" si="5"/>
        <v>0.88727286275276374</v>
      </c>
    </row>
    <row r="67" spans="1:15" x14ac:dyDescent="0.2">
      <c r="A67" s="38" t="s">
        <v>53</v>
      </c>
      <c r="B67" s="38" t="s">
        <v>13</v>
      </c>
      <c r="C67" s="38">
        <v>2002</v>
      </c>
      <c r="D67" s="38">
        <v>76310456</v>
      </c>
      <c r="E67" s="38">
        <v>79599128</v>
      </c>
      <c r="F67" s="38">
        <v>113456368</v>
      </c>
      <c r="G67" s="38">
        <v>235026672</v>
      </c>
      <c r="H67" s="38">
        <v>348483040</v>
      </c>
      <c r="I67" s="39">
        <f t="shared" ref="I67:I87" si="7">G67/H67</f>
        <v>0.67442786311781489</v>
      </c>
      <c r="J67" s="38">
        <v>123011425.86654299</v>
      </c>
      <c r="K67" s="38">
        <v>117929156.222491</v>
      </c>
      <c r="L67" s="38">
        <v>538541020.70951796</v>
      </c>
      <c r="M67" s="38">
        <f t="shared" si="6"/>
        <v>1.0042784228675079</v>
      </c>
      <c r="N67" s="38">
        <f t="shared" si="5"/>
        <v>0.81059311411549939</v>
      </c>
      <c r="O67" s="38">
        <f t="shared" si="5"/>
        <v>0.40965402699225478</v>
      </c>
    </row>
    <row r="68" spans="1:15" x14ac:dyDescent="0.2">
      <c r="A68" s="38" t="s">
        <v>53</v>
      </c>
      <c r="B68" s="38" t="s">
        <v>13</v>
      </c>
      <c r="C68" s="38">
        <v>2003</v>
      </c>
      <c r="D68" s="38">
        <v>103531008</v>
      </c>
      <c r="E68" s="38">
        <v>147488512</v>
      </c>
      <c r="F68" s="38">
        <v>101566592</v>
      </c>
      <c r="G68" s="38">
        <v>424121952</v>
      </c>
      <c r="H68" s="38">
        <v>525688544</v>
      </c>
      <c r="I68" s="39">
        <f t="shared" si="7"/>
        <v>0.80679321784878011</v>
      </c>
      <c r="J68" s="38">
        <v>224643571.03207099</v>
      </c>
      <c r="K68" s="38">
        <v>157690758.65156099</v>
      </c>
      <c r="L68" s="38">
        <v>800689831.18366599</v>
      </c>
      <c r="M68" s="38">
        <f t="shared" si="6"/>
        <v>1.8340141140073873</v>
      </c>
      <c r="N68" s="38">
        <f t="shared" si="5"/>
        <v>1.0838968683999328</v>
      </c>
      <c r="O68" s="38">
        <f t="shared" si="5"/>
        <v>0.60906375021162873</v>
      </c>
    </row>
    <row r="69" spans="1:15" x14ac:dyDescent="0.2">
      <c r="A69" s="38" t="s">
        <v>53</v>
      </c>
      <c r="B69" s="38" t="s">
        <v>13</v>
      </c>
      <c r="C69" s="38">
        <v>2004</v>
      </c>
      <c r="D69" s="38">
        <v>101165432</v>
      </c>
      <c r="E69" s="38">
        <v>220233040</v>
      </c>
      <c r="F69" s="38">
        <v>122107872</v>
      </c>
      <c r="G69" s="38">
        <v>381375552</v>
      </c>
      <c r="H69" s="38">
        <v>503483424</v>
      </c>
      <c r="I69" s="39">
        <f t="shared" si="7"/>
        <v>0.75747389848528557</v>
      </c>
      <c r="J69" s="38">
        <v>329614298.72908998</v>
      </c>
      <c r="K69" s="38">
        <v>151410401.111047</v>
      </c>
      <c r="L69" s="38">
        <v>753544226.25906205</v>
      </c>
      <c r="M69" s="38">
        <f t="shared" si="6"/>
        <v>2.6910063496163663</v>
      </c>
      <c r="N69" s="38">
        <f t="shared" si="5"/>
        <v>1.040728454925326</v>
      </c>
      <c r="O69" s="38">
        <f t="shared" si="5"/>
        <v>0.57320132530868484</v>
      </c>
    </row>
    <row r="70" spans="1:15" x14ac:dyDescent="0.2">
      <c r="A70" s="38" t="s">
        <v>53</v>
      </c>
      <c r="B70" s="38" t="s">
        <v>13</v>
      </c>
      <c r="C70" s="38">
        <v>2005</v>
      </c>
      <c r="D70" s="38">
        <v>105096864</v>
      </c>
      <c r="E70" s="38">
        <v>214715776</v>
      </c>
      <c r="F70" s="38">
        <v>104966176</v>
      </c>
      <c r="G70" s="38">
        <v>393714080</v>
      </c>
      <c r="H70" s="38">
        <v>498680256</v>
      </c>
      <c r="I70" s="39">
        <f t="shared" si="7"/>
        <v>0.78951206762836024</v>
      </c>
      <c r="J70" s="38">
        <v>314597450.18736798</v>
      </c>
      <c r="K70" s="38">
        <v>153985915.953789</v>
      </c>
      <c r="L70" s="38">
        <v>730656777.62021601</v>
      </c>
      <c r="M70" s="38">
        <f t="shared" si="6"/>
        <v>2.5684071937763022</v>
      </c>
      <c r="N70" s="38">
        <f t="shared" si="5"/>
        <v>1.058431410358079</v>
      </c>
      <c r="O70" s="38">
        <f t="shared" si="5"/>
        <v>0.55579144353193721</v>
      </c>
    </row>
    <row r="71" spans="1:15" x14ac:dyDescent="0.2">
      <c r="A71" s="38" t="s">
        <v>53</v>
      </c>
      <c r="B71" s="38" t="s">
        <v>13</v>
      </c>
      <c r="C71" s="38">
        <v>2006</v>
      </c>
      <c r="D71" s="38">
        <v>118176680</v>
      </c>
      <c r="E71" s="38">
        <v>261786336</v>
      </c>
      <c r="F71" s="38">
        <v>257325280</v>
      </c>
      <c r="G71" s="38">
        <v>443113120</v>
      </c>
      <c r="H71" s="38">
        <v>700438400</v>
      </c>
      <c r="I71" s="39">
        <f t="shared" si="7"/>
        <v>0.63262254039755672</v>
      </c>
      <c r="J71" s="38">
        <v>374157617.43590802</v>
      </c>
      <c r="K71" s="38">
        <v>168903792.69178399</v>
      </c>
      <c r="L71" s="38">
        <v>1001100236.58614</v>
      </c>
      <c r="M71" s="38">
        <f t="shared" si="6"/>
        <v>3.0546627623848881</v>
      </c>
      <c r="N71" s="38">
        <f t="shared" si="5"/>
        <v>1.1609703290477755</v>
      </c>
      <c r="O71" s="38">
        <f t="shared" si="5"/>
        <v>0.76151068826680235</v>
      </c>
    </row>
    <row r="72" spans="1:15" x14ac:dyDescent="0.2">
      <c r="A72" s="38" t="s">
        <v>53</v>
      </c>
      <c r="B72" s="38" t="s">
        <v>13</v>
      </c>
      <c r="C72" s="38">
        <v>2007</v>
      </c>
      <c r="D72" s="38">
        <v>119393304</v>
      </c>
      <c r="E72" s="38">
        <v>124209960</v>
      </c>
      <c r="F72" s="38">
        <v>312185632</v>
      </c>
      <c r="G72" s="38">
        <v>508811936</v>
      </c>
      <c r="H72" s="38">
        <v>820997568</v>
      </c>
      <c r="I72" s="39">
        <f t="shared" si="7"/>
        <v>0.61974840831684408</v>
      </c>
      <c r="J72" s="38">
        <v>173475961.73786801</v>
      </c>
      <c r="K72" s="38">
        <v>166748851.99594</v>
      </c>
      <c r="L72" s="38">
        <v>1146633834.30162</v>
      </c>
      <c r="M72" s="38">
        <f t="shared" si="6"/>
        <v>1.416276285168357</v>
      </c>
      <c r="N72" s="38">
        <f t="shared" si="5"/>
        <v>1.1461582151877998</v>
      </c>
      <c r="O72" s="38">
        <f t="shared" si="5"/>
        <v>0.87221427828910181</v>
      </c>
    </row>
    <row r="73" spans="1:15" x14ac:dyDescent="0.2">
      <c r="A73" s="38" t="s">
        <v>53</v>
      </c>
      <c r="B73" s="38" t="s">
        <v>13</v>
      </c>
      <c r="C73" s="38">
        <v>2008</v>
      </c>
      <c r="D73" s="38">
        <v>119420864</v>
      </c>
      <c r="E73" s="38">
        <v>112238784</v>
      </c>
      <c r="F73" s="38">
        <v>361681920</v>
      </c>
      <c r="G73" s="38">
        <v>733321600</v>
      </c>
      <c r="H73" s="38">
        <v>1095003520</v>
      </c>
      <c r="I73" s="39">
        <f t="shared" si="7"/>
        <v>0.66969793850525705</v>
      </c>
      <c r="J73" s="38">
        <v>153237004.14845401</v>
      </c>
      <c r="K73" s="38">
        <v>163042531.11099201</v>
      </c>
      <c r="L73" s="38">
        <v>1494982865.6092</v>
      </c>
      <c r="M73" s="38">
        <f t="shared" si="6"/>
        <v>1.25104327315181</v>
      </c>
      <c r="N73" s="38">
        <f t="shared" si="5"/>
        <v>1.1206825967379128</v>
      </c>
      <c r="O73" s="38">
        <f t="shared" si="5"/>
        <v>1.1371942482196991</v>
      </c>
    </row>
    <row r="74" spans="1:15" x14ac:dyDescent="0.2">
      <c r="A74" s="38" t="s">
        <v>53</v>
      </c>
      <c r="B74" s="38" t="s">
        <v>13</v>
      </c>
      <c r="C74" s="38">
        <v>2009</v>
      </c>
      <c r="D74" s="38">
        <v>145443280</v>
      </c>
      <c r="E74" s="38">
        <v>85844440</v>
      </c>
      <c r="F74" s="38">
        <v>280621440</v>
      </c>
      <c r="G74" s="38">
        <v>650759488</v>
      </c>
      <c r="H74" s="38">
        <v>931380928</v>
      </c>
      <c r="I74" s="39">
        <f t="shared" si="7"/>
        <v>0.69870390131072124</v>
      </c>
      <c r="J74" s="38">
        <v>115238632.93000799</v>
      </c>
      <c r="K74" s="38">
        <v>195244849.358403</v>
      </c>
      <c r="L74" s="38">
        <v>1250297222.2755799</v>
      </c>
      <c r="M74" s="38">
        <f t="shared" si="6"/>
        <v>0.94082051091672725</v>
      </c>
      <c r="N74" s="38">
        <f t="shared" si="5"/>
        <v>1.3420271587278254</v>
      </c>
      <c r="O74" s="38">
        <f t="shared" si="5"/>
        <v>0.95106829813562122</v>
      </c>
    </row>
    <row r="75" spans="1:15" x14ac:dyDescent="0.2">
      <c r="A75" s="38" t="s">
        <v>53</v>
      </c>
      <c r="B75" s="38" t="s">
        <v>13</v>
      </c>
      <c r="C75" s="38">
        <v>2010</v>
      </c>
      <c r="D75" s="38">
        <v>109413496</v>
      </c>
      <c r="E75" s="38">
        <v>92117880</v>
      </c>
      <c r="F75" s="38">
        <v>286202048</v>
      </c>
      <c r="G75" s="38">
        <v>702474368</v>
      </c>
      <c r="H75" s="38">
        <v>988676416</v>
      </c>
      <c r="I75" s="39">
        <f t="shared" si="7"/>
        <v>0.71052000091403011</v>
      </c>
      <c r="J75" s="38">
        <v>122487373.08854</v>
      </c>
      <c r="K75" s="38">
        <v>145485020.99129301</v>
      </c>
      <c r="L75" s="38">
        <v>1314624012.5199599</v>
      </c>
      <c r="M75" s="38">
        <f t="shared" si="6"/>
        <v>1</v>
      </c>
      <c r="N75" s="38">
        <f t="shared" si="6"/>
        <v>1</v>
      </c>
      <c r="O75" s="38">
        <f t="shared" si="6"/>
        <v>1</v>
      </c>
    </row>
    <row r="76" spans="1:15" x14ac:dyDescent="0.2">
      <c r="A76" s="38" t="s">
        <v>53</v>
      </c>
      <c r="B76" s="38" t="s">
        <v>13</v>
      </c>
      <c r="C76" s="38">
        <v>2011</v>
      </c>
      <c r="D76" s="38">
        <v>127596496</v>
      </c>
      <c r="E76" s="38">
        <v>61402044</v>
      </c>
      <c r="F76" s="38">
        <v>279639552</v>
      </c>
      <c r="G76" s="38">
        <v>1182157440</v>
      </c>
      <c r="H76" s="38">
        <v>1461796992</v>
      </c>
      <c r="I76" s="39">
        <f t="shared" si="7"/>
        <v>0.80870151359567166</v>
      </c>
      <c r="J76" s="38">
        <v>80313220.513875201</v>
      </c>
      <c r="K76" s="38">
        <v>166894859.72235301</v>
      </c>
      <c r="L76" s="38">
        <v>1912014918.6729901</v>
      </c>
      <c r="M76" s="38">
        <f t="shared" si="6"/>
        <v>0.65568571264746434</v>
      </c>
      <c r="N76" s="38">
        <f t="shared" si="6"/>
        <v>1.1471618080348034</v>
      </c>
      <c r="O76" s="38">
        <f t="shared" si="6"/>
        <v>1.4544195910493913</v>
      </c>
    </row>
    <row r="77" spans="1:15" x14ac:dyDescent="0.2">
      <c r="A77" s="38" t="s">
        <v>53</v>
      </c>
      <c r="B77" s="38" t="s">
        <v>13</v>
      </c>
      <c r="C77" s="38">
        <v>2012</v>
      </c>
      <c r="D77" s="38">
        <v>140918048</v>
      </c>
      <c r="E77" s="38">
        <v>75535448</v>
      </c>
      <c r="F77" s="38">
        <v>334319744</v>
      </c>
      <c r="G77" s="38">
        <v>1351660928</v>
      </c>
      <c r="H77" s="38">
        <v>1685980672</v>
      </c>
      <c r="I77" s="39">
        <f t="shared" si="7"/>
        <v>0.80170606368612041</v>
      </c>
      <c r="J77" s="38">
        <v>96756798.219189197</v>
      </c>
      <c r="K77" s="38">
        <v>180508350.672362</v>
      </c>
      <c r="L77" s="38">
        <v>2159649489.1002302</v>
      </c>
      <c r="M77" s="38">
        <f t="shared" si="6"/>
        <v>0.78993283780564505</v>
      </c>
      <c r="N77" s="38">
        <f t="shared" si="6"/>
        <v>1.2407349529348803</v>
      </c>
      <c r="O77" s="38">
        <f t="shared" si="6"/>
        <v>1.6427887126148475</v>
      </c>
    </row>
    <row r="78" spans="1:15" x14ac:dyDescent="0.2">
      <c r="A78" s="38" t="s">
        <v>53</v>
      </c>
      <c r="B78" s="38" t="s">
        <v>13</v>
      </c>
      <c r="C78" s="38">
        <v>2013</v>
      </c>
      <c r="D78" s="38">
        <v>128782256</v>
      </c>
      <c r="E78" s="38">
        <v>95858544</v>
      </c>
      <c r="F78" s="38">
        <v>560763008</v>
      </c>
      <c r="G78" s="38">
        <v>1667798400</v>
      </c>
      <c r="H78" s="38">
        <v>2228561408</v>
      </c>
      <c r="I78" s="39">
        <f t="shared" si="7"/>
        <v>0.74837444192159319</v>
      </c>
      <c r="J78" s="38">
        <v>120660768.876958</v>
      </c>
      <c r="K78" s="38">
        <v>162103088.345148</v>
      </c>
      <c r="L78" s="38">
        <v>2805174392.99721</v>
      </c>
      <c r="M78" s="38">
        <f t="shared" si="6"/>
        <v>0.98508740806889827</v>
      </c>
      <c r="N78" s="38">
        <f t="shared" si="6"/>
        <v>1.1142252806551785</v>
      </c>
      <c r="O78" s="38">
        <f t="shared" si="6"/>
        <v>2.1338225730565066</v>
      </c>
    </row>
    <row r="79" spans="1:15" x14ac:dyDescent="0.2">
      <c r="A79" s="38" t="s">
        <v>53</v>
      </c>
      <c r="B79" s="38" t="s">
        <v>13</v>
      </c>
      <c r="C79" s="38">
        <v>2014</v>
      </c>
      <c r="D79" s="38">
        <v>112218560</v>
      </c>
      <c r="E79" s="38">
        <v>81093520</v>
      </c>
      <c r="F79" s="38">
        <v>265357184</v>
      </c>
      <c r="G79" s="38">
        <v>1930778496</v>
      </c>
      <c r="H79" s="38">
        <v>2196135680</v>
      </c>
      <c r="I79" s="39">
        <f t="shared" si="7"/>
        <v>0.87917086070019135</v>
      </c>
      <c r="J79" s="38">
        <v>100319778.986883</v>
      </c>
      <c r="K79" s="38">
        <v>138824176.54858699</v>
      </c>
      <c r="L79" s="38">
        <v>2716811972.6805501</v>
      </c>
      <c r="M79" s="38">
        <f t="shared" si="6"/>
        <v>0.81902139344899527</v>
      </c>
      <c r="N79" s="38">
        <f t="shared" si="6"/>
        <v>0.95421628702858241</v>
      </c>
      <c r="O79" s="38">
        <f t="shared" si="6"/>
        <v>2.0666075979190293</v>
      </c>
    </row>
    <row r="80" spans="1:15" x14ac:dyDescent="0.2">
      <c r="A80" s="38" t="s">
        <v>53</v>
      </c>
      <c r="B80" s="38" t="s">
        <v>13</v>
      </c>
      <c r="C80" s="38">
        <v>2015</v>
      </c>
      <c r="D80" s="38">
        <v>141442064</v>
      </c>
      <c r="E80" s="38">
        <v>85341096</v>
      </c>
      <c r="F80" s="38">
        <v>186572160</v>
      </c>
      <c r="G80" s="38">
        <v>1671028608</v>
      </c>
      <c r="H80" s="38">
        <v>1857600768</v>
      </c>
      <c r="I80" s="39">
        <f t="shared" si="7"/>
        <v>0.89956283222208488</v>
      </c>
      <c r="J80" s="38">
        <v>103676445.92789</v>
      </c>
      <c r="K80" s="38">
        <v>171830585.58593199</v>
      </c>
      <c r="L80" s="38">
        <v>2256702275.9956102</v>
      </c>
      <c r="M80" s="38">
        <f t="shared" si="6"/>
        <v>0.84642558096945619</v>
      </c>
      <c r="N80" s="38">
        <f t="shared" si="6"/>
        <v>1.1810878151931237</v>
      </c>
      <c r="O80" s="38">
        <f t="shared" si="6"/>
        <v>1.7166142216357445</v>
      </c>
    </row>
    <row r="81" spans="1:15" x14ac:dyDescent="0.2">
      <c r="A81" s="38" t="s">
        <v>53</v>
      </c>
      <c r="B81" s="38" t="s">
        <v>13</v>
      </c>
      <c r="C81" s="38">
        <v>2016</v>
      </c>
      <c r="D81" s="38">
        <v>141030960</v>
      </c>
      <c r="E81" s="38">
        <v>87876560</v>
      </c>
      <c r="F81" s="38">
        <v>150474240</v>
      </c>
      <c r="G81" s="38">
        <v>1589224832</v>
      </c>
      <c r="H81" s="38">
        <v>1739699072</v>
      </c>
      <c r="I81" s="39">
        <f t="shared" si="7"/>
        <v>0.9135055927649538</v>
      </c>
      <c r="J81" s="38">
        <v>104451634.029966</v>
      </c>
      <c r="K81" s="38">
        <v>167631894.339228</v>
      </c>
      <c r="L81" s="38">
        <v>2067837097.7518499</v>
      </c>
      <c r="M81" s="38">
        <f t="shared" si="6"/>
        <v>0.85275429945308023</v>
      </c>
      <c r="N81" s="38">
        <f t="shared" si="6"/>
        <v>1.1522278595901665</v>
      </c>
      <c r="O81" s="38">
        <f t="shared" si="6"/>
        <v>1.5729494350160853</v>
      </c>
    </row>
    <row r="82" spans="1:15" x14ac:dyDescent="0.2">
      <c r="A82" s="38" t="s">
        <v>53</v>
      </c>
      <c r="B82" s="38" t="s">
        <v>13</v>
      </c>
      <c r="C82" s="38">
        <v>2017</v>
      </c>
      <c r="D82" s="38">
        <v>144376048</v>
      </c>
      <c r="E82" s="38">
        <v>87095504</v>
      </c>
      <c r="F82" s="38">
        <v>161932032</v>
      </c>
      <c r="G82" s="38">
        <v>1757208320</v>
      </c>
      <c r="H82" s="38">
        <v>1919140352</v>
      </c>
      <c r="I82" s="39">
        <f t="shared" si="7"/>
        <v>0.91562262143503714</v>
      </c>
      <c r="J82" s="38">
        <v>101655662.348079</v>
      </c>
      <c r="K82" s="38">
        <v>168512059.895055</v>
      </c>
      <c r="L82" s="38">
        <v>2239971923.4816699</v>
      </c>
      <c r="M82" s="38">
        <f t="shared" si="6"/>
        <v>0.82992768793071592</v>
      </c>
      <c r="N82" s="38">
        <f t="shared" si="6"/>
        <v>1.1582777302217258</v>
      </c>
      <c r="O82" s="38">
        <f t="shared" si="6"/>
        <v>1.7038878813630831</v>
      </c>
    </row>
    <row r="83" spans="1:15" x14ac:dyDescent="0.2">
      <c r="A83" s="38" t="s">
        <v>53</v>
      </c>
      <c r="B83" s="38" t="s">
        <v>13</v>
      </c>
      <c r="C83" s="38">
        <v>2018</v>
      </c>
      <c r="D83" s="38">
        <v>138732928</v>
      </c>
      <c r="E83" s="38">
        <v>88575248</v>
      </c>
      <c r="F83" s="38">
        <v>179113728</v>
      </c>
      <c r="G83" s="38">
        <v>1868120704</v>
      </c>
      <c r="H83" s="38">
        <v>2047234432</v>
      </c>
      <c r="I83" s="39">
        <f t="shared" si="7"/>
        <v>0.91250941992753665</v>
      </c>
      <c r="J83" s="38">
        <v>101211692.620294</v>
      </c>
      <c r="K83" s="38">
        <v>158525036.98380199</v>
      </c>
      <c r="L83" s="38">
        <v>2339299823.95609</v>
      </c>
      <c r="M83" s="38">
        <f t="shared" si="6"/>
        <v>0.82630307164096928</v>
      </c>
      <c r="N83" s="38">
        <f t="shared" si="6"/>
        <v>1.0896313304535277</v>
      </c>
      <c r="O83" s="38">
        <f t="shared" si="6"/>
        <v>1.779444009600861</v>
      </c>
    </row>
    <row r="84" spans="1:15" x14ac:dyDescent="0.2">
      <c r="A84" s="38" t="s">
        <v>53</v>
      </c>
      <c r="B84" s="38" t="s">
        <v>13</v>
      </c>
      <c r="C84" s="38">
        <v>2019</v>
      </c>
      <c r="D84" s="38">
        <v>180491024</v>
      </c>
      <c r="E84" s="38">
        <v>96429352</v>
      </c>
      <c r="F84" s="38">
        <v>150320640</v>
      </c>
      <c r="G84" s="38">
        <v>1731994880</v>
      </c>
      <c r="H84" s="38">
        <v>1882315520</v>
      </c>
      <c r="I84" s="39">
        <f t="shared" si="7"/>
        <v>0.92014057239457925</v>
      </c>
      <c r="J84" s="38">
        <v>107820456.63077401</v>
      </c>
      <c r="K84" s="38">
        <v>201812251.37171999</v>
      </c>
      <c r="L84" s="38">
        <v>2104671603.4096501</v>
      </c>
      <c r="M84" s="38">
        <f t="shared" si="6"/>
        <v>0.88025772707882288</v>
      </c>
      <c r="N84" s="38">
        <f t="shared" si="6"/>
        <v>1.3871685895677057</v>
      </c>
      <c r="O84" s="38">
        <f t="shared" si="6"/>
        <v>1.6009684771962089</v>
      </c>
    </row>
    <row r="85" spans="1:15" x14ac:dyDescent="0.2">
      <c r="A85" s="38" t="s">
        <v>53</v>
      </c>
      <c r="B85" s="38" t="s">
        <v>13</v>
      </c>
      <c r="C85" s="38">
        <v>2020</v>
      </c>
      <c r="D85" s="38">
        <v>316664768</v>
      </c>
      <c r="E85" s="38">
        <v>99751976</v>
      </c>
      <c r="F85" s="38">
        <v>136280064</v>
      </c>
      <c r="G85" s="38">
        <v>1712801152</v>
      </c>
      <c r="H85" s="38">
        <v>1849081216</v>
      </c>
      <c r="I85" s="39">
        <f t="shared" si="7"/>
        <v>0.92629849742630233</v>
      </c>
      <c r="J85" s="38">
        <v>109662171.30380499</v>
      </c>
      <c r="K85" s="38">
        <v>348124893.62913102</v>
      </c>
      <c r="L85" s="38">
        <v>2032784403.8261399</v>
      </c>
      <c r="M85" s="38">
        <f t="shared" si="6"/>
        <v>0.89529368243154084</v>
      </c>
      <c r="N85" s="38">
        <f t="shared" si="6"/>
        <v>2.3928572938788357</v>
      </c>
      <c r="O85" s="38">
        <f t="shared" si="6"/>
        <v>1.5462857702785771</v>
      </c>
    </row>
    <row r="86" spans="1:15" x14ac:dyDescent="0.2">
      <c r="A86" s="38" t="s">
        <v>53</v>
      </c>
      <c r="B86" s="38" t="s">
        <v>13</v>
      </c>
      <c r="C86" s="38">
        <v>2021</v>
      </c>
      <c r="D86" s="38">
        <v>289615744</v>
      </c>
      <c r="E86" s="38">
        <v>109756336</v>
      </c>
      <c r="F86" s="38">
        <v>197555200</v>
      </c>
      <c r="G86" s="38">
        <v>1684386048</v>
      </c>
      <c r="H86" s="38">
        <v>1881941248</v>
      </c>
      <c r="I86" s="39">
        <f t="shared" si="7"/>
        <v>0.89502584089171311</v>
      </c>
      <c r="J86" s="38">
        <v>116508659.690313</v>
      </c>
      <c r="K86" s="38">
        <v>307433205.11950099</v>
      </c>
      <c r="L86" s="38">
        <v>1997720226.56073</v>
      </c>
      <c r="M86" s="38">
        <f t="shared" si="6"/>
        <v>0.9511891450728942</v>
      </c>
      <c r="N86" s="38">
        <f t="shared" si="6"/>
        <v>2.1131605372480253</v>
      </c>
      <c r="O86" s="38">
        <f t="shared" si="6"/>
        <v>1.5196133704657997</v>
      </c>
    </row>
    <row r="87" spans="1:15" x14ac:dyDescent="0.2">
      <c r="A87" s="38" t="s">
        <v>53</v>
      </c>
      <c r="B87" s="38" t="s">
        <v>13</v>
      </c>
      <c r="C87" s="38">
        <v>2022</v>
      </c>
      <c r="D87" s="38">
        <v>337915488</v>
      </c>
      <c r="E87" s="38">
        <v>112218008</v>
      </c>
      <c r="F87" s="38">
        <v>383735936</v>
      </c>
      <c r="G87" s="38">
        <v>1889131904</v>
      </c>
      <c r="H87" s="38">
        <v>2272867840</v>
      </c>
      <c r="I87" s="39">
        <f t="shared" si="7"/>
        <v>0.83116663043637418</v>
      </c>
      <c r="J87" s="38">
        <v>112218008</v>
      </c>
      <c r="K87" s="38">
        <v>337915488</v>
      </c>
      <c r="L87" s="38">
        <v>2272867840</v>
      </c>
      <c r="M87" s="38">
        <f t="shared" si="6"/>
        <v>0.9161598062755677</v>
      </c>
      <c r="N87" s="38">
        <f t="shared" si="6"/>
        <v>2.322682333188264</v>
      </c>
      <c r="O87" s="38">
        <f t="shared" si="6"/>
        <v>1.7289109421051985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86EC-8BF5-2C4D-8D3D-93DD7E05E26C}">
  <dimension ref="A1:K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sheetData>
    <row r="1" spans="1:11" ht="85" x14ac:dyDescent="0.2">
      <c r="A1" s="37" t="s">
        <v>44</v>
      </c>
      <c r="B1" s="37" t="s">
        <v>3</v>
      </c>
      <c r="C1" s="37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  <c r="I1" s="37" t="s">
        <v>127</v>
      </c>
      <c r="J1" s="37" t="s">
        <v>128</v>
      </c>
      <c r="K1" s="37" t="s">
        <v>129</v>
      </c>
    </row>
    <row r="2" spans="1:11" x14ac:dyDescent="0.2">
      <c r="A2" s="38" t="s">
        <v>46</v>
      </c>
      <c r="B2" s="38">
        <v>2006</v>
      </c>
      <c r="C2" s="38">
        <v>1275139000</v>
      </c>
      <c r="D2" s="38">
        <v>194812000</v>
      </c>
      <c r="E2" s="38">
        <v>1326003000</v>
      </c>
      <c r="F2" s="38">
        <v>1822489964.2569799</v>
      </c>
      <c r="G2" s="38">
        <v>278434676.46807998</v>
      </c>
      <c r="H2" s="38">
        <v>1895187238.4694099</v>
      </c>
      <c r="I2" s="38">
        <f>F2/F$6</f>
        <v>0.95560423055100141</v>
      </c>
      <c r="J2" s="38">
        <f t="shared" ref="J2:K2" si="0">G2/G$6</f>
        <v>0.88388590647153464</v>
      </c>
      <c r="K2" s="38">
        <f t="shared" si="0"/>
        <v>0.85307310303304562</v>
      </c>
    </row>
    <row r="3" spans="1:11" x14ac:dyDescent="0.2">
      <c r="A3" s="38" t="s">
        <v>46</v>
      </c>
      <c r="B3" s="38">
        <v>2007</v>
      </c>
      <c r="C3" s="38">
        <v>1373544000</v>
      </c>
      <c r="D3" s="38">
        <v>201163000</v>
      </c>
      <c r="E3" s="38">
        <v>1398068000</v>
      </c>
      <c r="F3" s="38">
        <v>1918339450.3088</v>
      </c>
      <c r="G3" s="38">
        <v>280951261.00253803</v>
      </c>
      <c r="H3" s="38">
        <v>1952590523.93977</v>
      </c>
      <c r="I3" s="38">
        <f t="shared" ref="I3:I19" si="1">F3/F$6</f>
        <v>1.0058619417942021</v>
      </c>
      <c r="J3" s="38">
        <f t="shared" ref="J3:J19" si="2">G3/G$6</f>
        <v>0.89187475911973091</v>
      </c>
      <c r="K3" s="38">
        <f t="shared" ref="K3:K19" si="3">H3/H$6</f>
        <v>0.87891181588763423</v>
      </c>
    </row>
    <row r="4" spans="1:11" x14ac:dyDescent="0.2">
      <c r="A4" s="38" t="s">
        <v>46</v>
      </c>
      <c r="B4" s="38">
        <v>2008</v>
      </c>
      <c r="C4" s="38">
        <v>1386758000</v>
      </c>
      <c r="D4" s="38">
        <v>204739000</v>
      </c>
      <c r="E4" s="38">
        <v>1501004000</v>
      </c>
      <c r="F4" s="38">
        <v>1893308478.81336</v>
      </c>
      <c r="G4" s="38">
        <v>279525399.9932</v>
      </c>
      <c r="H4" s="38">
        <v>2049285888.3329101</v>
      </c>
      <c r="I4" s="38">
        <f t="shared" si="1"/>
        <v>0.99273720436082147</v>
      </c>
      <c r="J4" s="38">
        <f t="shared" si="2"/>
        <v>0.88734838881726741</v>
      </c>
      <c r="K4" s="38">
        <f t="shared" si="3"/>
        <v>0.9224369161402014</v>
      </c>
    </row>
    <row r="5" spans="1:11" x14ac:dyDescent="0.2">
      <c r="A5" s="38" t="s">
        <v>46</v>
      </c>
      <c r="B5" s="38">
        <v>2009</v>
      </c>
      <c r="C5" s="38">
        <v>1423331000</v>
      </c>
      <c r="D5" s="38">
        <v>221223000</v>
      </c>
      <c r="E5" s="38">
        <v>1587736000</v>
      </c>
      <c r="F5" s="38">
        <v>1910697054.42661</v>
      </c>
      <c r="G5" s="38">
        <v>296972478.27203798</v>
      </c>
      <c r="H5" s="38">
        <v>2131396350.1161001</v>
      </c>
      <c r="I5" s="38">
        <f t="shared" si="1"/>
        <v>1.001854728596985</v>
      </c>
      <c r="J5" s="38">
        <f t="shared" si="2"/>
        <v>0.94273382713762133</v>
      </c>
      <c r="K5" s="38">
        <f t="shared" si="3"/>
        <v>0.95939697211938424</v>
      </c>
    </row>
    <row r="6" spans="1:11" x14ac:dyDescent="0.2">
      <c r="A6" s="38" t="s">
        <v>46</v>
      </c>
      <c r="B6" s="38">
        <v>2010</v>
      </c>
      <c r="C6" s="38">
        <v>1434299000</v>
      </c>
      <c r="D6" s="38">
        <v>236908000</v>
      </c>
      <c r="E6" s="38">
        <v>1670777000</v>
      </c>
      <c r="F6" s="38">
        <v>1907159790.62392</v>
      </c>
      <c r="G6" s="38">
        <v>315012010.52021402</v>
      </c>
      <c r="H6" s="38">
        <v>2221600038.4154601</v>
      </c>
      <c r="I6" s="38">
        <f t="shared" si="1"/>
        <v>1</v>
      </c>
      <c r="J6" s="38">
        <f t="shared" si="2"/>
        <v>1</v>
      </c>
      <c r="K6" s="38">
        <f t="shared" si="3"/>
        <v>1</v>
      </c>
    </row>
    <row r="7" spans="1:11" x14ac:dyDescent="0.2">
      <c r="A7" s="38" t="s">
        <v>46</v>
      </c>
      <c r="B7" s="38">
        <v>2011</v>
      </c>
      <c r="C7" s="38">
        <v>1439938000</v>
      </c>
      <c r="D7" s="38">
        <v>270705000</v>
      </c>
      <c r="E7" s="38">
        <v>1831281000</v>
      </c>
      <c r="F7" s="38">
        <v>1883423589.61712</v>
      </c>
      <c r="G7" s="38">
        <v>354079260.93158299</v>
      </c>
      <c r="H7" s="38">
        <v>2395296071.5097599</v>
      </c>
      <c r="I7" s="38">
        <f t="shared" si="1"/>
        <v>0.98755416241287541</v>
      </c>
      <c r="J7" s="38">
        <f t="shared" si="2"/>
        <v>1.1240182885308179</v>
      </c>
      <c r="K7" s="38">
        <f t="shared" si="3"/>
        <v>1.0781851053703559</v>
      </c>
    </row>
    <row r="8" spans="1:11" x14ac:dyDescent="0.2">
      <c r="A8" s="38" t="s">
        <v>46</v>
      </c>
      <c r="B8" s="38">
        <v>2012</v>
      </c>
      <c r="C8" s="38">
        <v>1629761000</v>
      </c>
      <c r="D8" s="38">
        <v>287990000</v>
      </c>
      <c r="E8" s="38">
        <v>1839348000</v>
      </c>
      <c r="F8" s="38">
        <v>2087635148.7649</v>
      </c>
      <c r="G8" s="38">
        <v>368899517.47084701</v>
      </c>
      <c r="H8" s="38">
        <v>2356104689.95787</v>
      </c>
      <c r="I8" s="38">
        <f t="shared" si="1"/>
        <v>1.0946304337099819</v>
      </c>
      <c r="J8" s="38">
        <f t="shared" si="2"/>
        <v>1.1710649281646202</v>
      </c>
      <c r="K8" s="38">
        <f t="shared" si="3"/>
        <v>1.0605440444799166</v>
      </c>
    </row>
    <row r="9" spans="1:11" x14ac:dyDescent="0.2">
      <c r="A9" s="38" t="s">
        <v>46</v>
      </c>
      <c r="B9" s="38">
        <v>2013</v>
      </c>
      <c r="C9" s="38">
        <v>1654315000</v>
      </c>
      <c r="D9" s="38">
        <v>290431000</v>
      </c>
      <c r="E9" s="38">
        <v>1943217000</v>
      </c>
      <c r="F9" s="38">
        <v>2082348756.1493199</v>
      </c>
      <c r="G9" s="38">
        <v>365576466.14895201</v>
      </c>
      <c r="H9" s="38">
        <v>2446000612.26442</v>
      </c>
      <c r="I9" s="38">
        <f t="shared" si="1"/>
        <v>1.0918585670622216</v>
      </c>
      <c r="J9" s="38">
        <f t="shared" si="2"/>
        <v>1.1605159611064839</v>
      </c>
      <c r="K9" s="38">
        <f t="shared" si="3"/>
        <v>1.1010085388767872</v>
      </c>
    </row>
    <row r="10" spans="1:11" x14ac:dyDescent="0.2">
      <c r="A10" s="38" t="s">
        <v>46</v>
      </c>
      <c r="B10" s="38">
        <v>2014</v>
      </c>
      <c r="C10" s="38">
        <v>1632980000</v>
      </c>
      <c r="D10" s="38">
        <v>292920000</v>
      </c>
      <c r="E10" s="38">
        <v>2052254000</v>
      </c>
      <c r="F10" s="38">
        <v>2020139126.89943</v>
      </c>
      <c r="G10" s="38">
        <v>362367667.11862999</v>
      </c>
      <c r="H10" s="38">
        <v>2538817746.5344701</v>
      </c>
      <c r="I10" s="38">
        <f t="shared" si="1"/>
        <v>1.0592395754309341</v>
      </c>
      <c r="J10" s="38">
        <f t="shared" si="2"/>
        <v>1.1503296859069354</v>
      </c>
      <c r="K10" s="38">
        <f t="shared" si="3"/>
        <v>1.1427879468102922</v>
      </c>
    </row>
    <row r="11" spans="1:11" x14ac:dyDescent="0.2">
      <c r="A11" s="38" t="s">
        <v>46</v>
      </c>
      <c r="B11" s="38">
        <v>2015</v>
      </c>
      <c r="C11" s="38">
        <v>1651815000</v>
      </c>
      <c r="D11" s="38">
        <v>301944000</v>
      </c>
      <c r="E11" s="38">
        <v>2112536000</v>
      </c>
      <c r="F11" s="38">
        <v>2006703880.7467201</v>
      </c>
      <c r="G11" s="38">
        <v>366816015.454629</v>
      </c>
      <c r="H11" s="38">
        <v>2566409791.30057</v>
      </c>
      <c r="I11" s="38">
        <f t="shared" si="1"/>
        <v>1.05219493962288</v>
      </c>
      <c r="J11" s="38">
        <f t="shared" si="2"/>
        <v>1.1644508882339608</v>
      </c>
      <c r="K11" s="38">
        <f t="shared" si="3"/>
        <v>1.1552078443116354</v>
      </c>
    </row>
    <row r="12" spans="1:11" x14ac:dyDescent="0.2">
      <c r="A12" s="38" t="s">
        <v>46</v>
      </c>
      <c r="B12" s="38">
        <v>2016</v>
      </c>
      <c r="C12" s="38">
        <v>1669687000</v>
      </c>
      <c r="D12" s="38">
        <v>305426000</v>
      </c>
      <c r="E12" s="38">
        <v>2179486000</v>
      </c>
      <c r="F12" s="38">
        <v>1984619510.23791</v>
      </c>
      <c r="G12" s="38">
        <v>363034747.55084401</v>
      </c>
      <c r="H12" s="38">
        <v>2590575621.5927901</v>
      </c>
      <c r="I12" s="38">
        <f t="shared" si="1"/>
        <v>1.0406152226964944</v>
      </c>
      <c r="J12" s="38">
        <f t="shared" si="2"/>
        <v>1.1524473208222277</v>
      </c>
      <c r="K12" s="38">
        <f t="shared" si="3"/>
        <v>1.1660855135024661</v>
      </c>
    </row>
    <row r="13" spans="1:11" x14ac:dyDescent="0.2">
      <c r="A13" s="38" t="s">
        <v>46</v>
      </c>
      <c r="B13" s="38">
        <v>2017</v>
      </c>
      <c r="C13" s="38">
        <v>1695217000</v>
      </c>
      <c r="D13" s="38">
        <v>310195000</v>
      </c>
      <c r="E13" s="38">
        <v>2246154000</v>
      </c>
      <c r="F13" s="38">
        <v>1978614268.75402</v>
      </c>
      <c r="G13" s="38">
        <v>362051733.25665998</v>
      </c>
      <c r="H13" s="38">
        <v>2621653955.93539</v>
      </c>
      <c r="I13" s="38">
        <f t="shared" si="1"/>
        <v>1.0374664348951714</v>
      </c>
      <c r="J13" s="38">
        <f t="shared" si="2"/>
        <v>1.149326759505976</v>
      </c>
      <c r="K13" s="38">
        <f t="shared" si="3"/>
        <v>1.180074680681616</v>
      </c>
    </row>
    <row r="14" spans="1:11" x14ac:dyDescent="0.2">
      <c r="A14" s="38" t="s">
        <v>46</v>
      </c>
      <c r="B14" s="38">
        <v>2018</v>
      </c>
      <c r="C14" s="38">
        <v>1632081000</v>
      </c>
      <c r="D14" s="38">
        <v>336407000</v>
      </c>
      <c r="E14" s="38">
        <v>2337484000</v>
      </c>
      <c r="F14" s="38">
        <v>1864919198.4584999</v>
      </c>
      <c r="G14" s="38">
        <v>384399961.02879</v>
      </c>
      <c r="H14" s="38">
        <v>2670957377.5379801</v>
      </c>
      <c r="I14" s="38">
        <f t="shared" si="1"/>
        <v>0.97785157154996372</v>
      </c>
      <c r="J14" s="38">
        <f t="shared" si="2"/>
        <v>1.2202708093383106</v>
      </c>
      <c r="K14" s="38">
        <f t="shared" si="3"/>
        <v>1.2022674339900628</v>
      </c>
    </row>
    <row r="15" spans="1:11" x14ac:dyDescent="0.2">
      <c r="A15" s="38" t="s">
        <v>46</v>
      </c>
      <c r="B15" s="38">
        <v>2019</v>
      </c>
      <c r="C15" s="38">
        <v>1670224000</v>
      </c>
      <c r="D15" s="38">
        <v>390296000</v>
      </c>
      <c r="E15" s="38">
        <v>2427408000</v>
      </c>
      <c r="F15" s="38">
        <v>1867525920.4861</v>
      </c>
      <c r="G15" s="38">
        <v>436401283.09858102</v>
      </c>
      <c r="H15" s="38">
        <v>2714155322.63656</v>
      </c>
      <c r="I15" s="38">
        <f t="shared" si="1"/>
        <v>0.97921837995291738</v>
      </c>
      <c r="J15" s="38">
        <f t="shared" si="2"/>
        <v>1.3853480772936357</v>
      </c>
      <c r="K15" s="38">
        <f t="shared" si="3"/>
        <v>1.2217119534137257</v>
      </c>
    </row>
    <row r="16" spans="1:11" x14ac:dyDescent="0.2">
      <c r="A16" s="38" t="s">
        <v>46</v>
      </c>
      <c r="B16" s="38">
        <v>2020</v>
      </c>
      <c r="C16" s="38">
        <v>1710420000</v>
      </c>
      <c r="D16" s="38">
        <v>410567000</v>
      </c>
      <c r="E16" s="38">
        <v>2498526000</v>
      </c>
      <c r="F16" s="38">
        <v>1880347423.3077199</v>
      </c>
      <c r="G16" s="38">
        <v>451356158.45534003</v>
      </c>
      <c r="H16" s="38">
        <v>2746750462.5573602</v>
      </c>
      <c r="I16" s="38">
        <f t="shared" si="1"/>
        <v>0.98594120563572263</v>
      </c>
      <c r="J16" s="38">
        <f t="shared" si="2"/>
        <v>1.4328220619587357</v>
      </c>
      <c r="K16" s="38">
        <f t="shared" si="3"/>
        <v>1.2363838742622906</v>
      </c>
    </row>
    <row r="17" spans="1:11" x14ac:dyDescent="0.2">
      <c r="A17" s="38" t="s">
        <v>46</v>
      </c>
      <c r="B17" s="38">
        <v>2021</v>
      </c>
      <c r="C17" s="38">
        <v>1751920000</v>
      </c>
      <c r="D17" s="38">
        <v>522765000</v>
      </c>
      <c r="E17" s="38">
        <v>2651039000</v>
      </c>
      <c r="F17" s="38">
        <v>1859699936.4542699</v>
      </c>
      <c r="G17" s="38">
        <v>554926045.29916799</v>
      </c>
      <c r="H17" s="38">
        <v>2814133670.39465</v>
      </c>
      <c r="I17" s="38">
        <f t="shared" si="1"/>
        <v>0.97511490416116431</v>
      </c>
      <c r="J17" s="38">
        <f t="shared" si="2"/>
        <v>1.7616028175648208</v>
      </c>
      <c r="K17" s="38">
        <f t="shared" si="3"/>
        <v>1.2667148099267274</v>
      </c>
    </row>
    <row r="18" spans="1:11" x14ac:dyDescent="0.2">
      <c r="A18" s="38" t="s">
        <v>46</v>
      </c>
      <c r="B18" s="38">
        <v>2022</v>
      </c>
      <c r="C18" s="38">
        <v>1766397000</v>
      </c>
      <c r="D18" s="38">
        <v>634725000</v>
      </c>
      <c r="E18" s="38">
        <v>2785575000</v>
      </c>
      <c r="F18" s="38">
        <v>1766397000</v>
      </c>
      <c r="G18" s="38">
        <v>634725000</v>
      </c>
      <c r="H18" s="38">
        <v>2785575000</v>
      </c>
      <c r="I18" s="38">
        <f t="shared" si="1"/>
        <v>0.92619245051413868</v>
      </c>
      <c r="J18" s="38">
        <f t="shared" si="2"/>
        <v>2.0149231737285467</v>
      </c>
      <c r="K18" s="38">
        <f t="shared" si="3"/>
        <v>1.2538598090711193</v>
      </c>
    </row>
    <row r="19" spans="1:11" x14ac:dyDescent="0.2">
      <c r="A19" s="38" t="s">
        <v>46</v>
      </c>
      <c r="B19" s="38">
        <v>2023</v>
      </c>
      <c r="C19" s="38">
        <v>1763683000</v>
      </c>
      <c r="D19" s="38">
        <v>649509000</v>
      </c>
      <c r="E19" s="38">
        <v>2875763000</v>
      </c>
      <c r="F19" s="38">
        <v>1683187518.0520101</v>
      </c>
      <c r="G19" s="38">
        <v>619865044.71747398</v>
      </c>
      <c r="H19" s="38">
        <v>2744511562.7217698</v>
      </c>
      <c r="I19" s="38">
        <f t="shared" si="1"/>
        <v>0.88256239793172331</v>
      </c>
      <c r="J19" s="38">
        <f t="shared" si="2"/>
        <v>1.9677505111434404</v>
      </c>
      <c r="K19" s="38">
        <f t="shared" si="3"/>
        <v>1.2353760871733115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883-042B-884C-8321-90341A8A0FC0}">
  <dimension ref="A1:E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sheetData>
    <row r="1" spans="1:5" ht="102" x14ac:dyDescent="0.2">
      <c r="A1" s="37" t="s">
        <v>44</v>
      </c>
      <c r="B1" s="37" t="s">
        <v>3</v>
      </c>
      <c r="C1" s="37" t="s">
        <v>78</v>
      </c>
      <c r="D1" s="37" t="s">
        <v>79</v>
      </c>
      <c r="E1" s="37" t="s">
        <v>80</v>
      </c>
    </row>
    <row r="2" spans="1:5" x14ac:dyDescent="0.2">
      <c r="A2" s="38" t="s">
        <v>46</v>
      </c>
      <c r="B2" s="38">
        <v>2006</v>
      </c>
      <c r="C2" s="38">
        <v>1165547000</v>
      </c>
      <c r="D2" s="38">
        <v>1665855808.9508901</v>
      </c>
      <c r="E2" s="38">
        <f>D2/$D$6</f>
        <v>1.0834652549986039</v>
      </c>
    </row>
    <row r="3" spans="1:5" x14ac:dyDescent="0.2">
      <c r="A3" s="38" t="s">
        <v>46</v>
      </c>
      <c r="B3" s="38">
        <v>2007</v>
      </c>
      <c r="C3" s="38">
        <v>1216905000</v>
      </c>
      <c r="D3" s="38">
        <v>1699571960.4017301</v>
      </c>
      <c r="E3" s="38">
        <f t="shared" ref="E3:E19" si="0">D3/$D$6</f>
        <v>1.1053940908756188</v>
      </c>
    </row>
    <row r="4" spans="1:5" x14ac:dyDescent="0.2">
      <c r="A4" s="38" t="s">
        <v>46</v>
      </c>
      <c r="B4" s="38">
        <v>2008</v>
      </c>
      <c r="C4" s="38">
        <v>1486679000</v>
      </c>
      <c r="D4" s="38">
        <v>2029728298.6460299</v>
      </c>
      <c r="E4" s="38">
        <f t="shared" si="0"/>
        <v>1.3201263139667299</v>
      </c>
    </row>
    <row r="5" spans="1:5" x14ac:dyDescent="0.2">
      <c r="A5" s="38" t="s">
        <v>46</v>
      </c>
      <c r="B5" s="38">
        <v>2009</v>
      </c>
      <c r="C5" s="38">
        <v>1293337000</v>
      </c>
      <c r="D5" s="38">
        <v>1736191508.70806</v>
      </c>
      <c r="E5" s="38">
        <f t="shared" si="0"/>
        <v>1.1292112832343251</v>
      </c>
    </row>
    <row r="6" spans="1:5" x14ac:dyDescent="0.2">
      <c r="A6" s="38" t="s">
        <v>46</v>
      </c>
      <c r="B6" s="38">
        <v>2010</v>
      </c>
      <c r="C6" s="38">
        <v>1156312000</v>
      </c>
      <c r="D6" s="38">
        <v>1537525823.9850399</v>
      </c>
      <c r="E6" s="38">
        <f t="shared" si="0"/>
        <v>1</v>
      </c>
    </row>
    <row r="7" spans="1:5" x14ac:dyDescent="0.2">
      <c r="A7" s="38" t="s">
        <v>46</v>
      </c>
      <c r="B7" s="38">
        <v>2011</v>
      </c>
      <c r="C7" s="38">
        <v>1161840000</v>
      </c>
      <c r="D7" s="38">
        <v>1519674363.31339</v>
      </c>
      <c r="E7" s="38">
        <f t="shared" si="0"/>
        <v>0.98838948888326206</v>
      </c>
    </row>
    <row r="8" spans="1:5" x14ac:dyDescent="0.2">
      <c r="A8" s="38" t="s">
        <v>46</v>
      </c>
      <c r="B8" s="38">
        <v>2012</v>
      </c>
      <c r="C8" s="38">
        <v>1153082000</v>
      </c>
      <c r="D8" s="38">
        <v>1477035290.8237</v>
      </c>
      <c r="E8" s="38">
        <f t="shared" si="0"/>
        <v>0.96065722460221348</v>
      </c>
    </row>
    <row r="9" spans="1:5" x14ac:dyDescent="0.2">
      <c r="A9" s="38" t="s">
        <v>46</v>
      </c>
      <c r="B9" s="38">
        <v>2013</v>
      </c>
      <c r="C9" s="38">
        <v>1255182000</v>
      </c>
      <c r="D9" s="38">
        <v>1579944978.09729</v>
      </c>
      <c r="E9" s="38">
        <f t="shared" si="0"/>
        <v>1.0275892303404088</v>
      </c>
    </row>
    <row r="10" spans="1:5" x14ac:dyDescent="0.2">
      <c r="A10" s="38" t="s">
        <v>46</v>
      </c>
      <c r="B10" s="38">
        <v>2014</v>
      </c>
      <c r="C10" s="38">
        <v>1323472000</v>
      </c>
      <c r="D10" s="38">
        <v>1637250652.52228</v>
      </c>
      <c r="E10" s="38">
        <f t="shared" si="0"/>
        <v>1.0648605876932642</v>
      </c>
    </row>
    <row r="11" spans="1:5" x14ac:dyDescent="0.2">
      <c r="A11" s="38" t="s">
        <v>46</v>
      </c>
      <c r="B11" s="38">
        <v>2015</v>
      </c>
      <c r="C11" s="38">
        <v>1270769000</v>
      </c>
      <c r="D11" s="38">
        <v>1543790971.6479299</v>
      </c>
      <c r="E11" s="38">
        <f t="shared" si="0"/>
        <v>1.004074824347764</v>
      </c>
    </row>
    <row r="12" spans="1:5" x14ac:dyDescent="0.2">
      <c r="A12" s="38" t="s">
        <v>46</v>
      </c>
      <c r="B12" s="38">
        <v>2016</v>
      </c>
      <c r="C12" s="38">
        <v>1239757000</v>
      </c>
      <c r="D12" s="38">
        <v>1473597105.41798</v>
      </c>
      <c r="E12" s="38">
        <f t="shared" si="0"/>
        <v>0.9584210440112374</v>
      </c>
    </row>
    <row r="13" spans="1:5" x14ac:dyDescent="0.2">
      <c r="A13" s="38" t="s">
        <v>46</v>
      </c>
      <c r="B13" s="38">
        <v>2017</v>
      </c>
      <c r="C13" s="38">
        <v>1342765000</v>
      </c>
      <c r="D13" s="38">
        <v>1567241237.3067801</v>
      </c>
      <c r="E13" s="38">
        <f t="shared" si="0"/>
        <v>1.0193267734812559</v>
      </c>
    </row>
    <row r="14" spans="1:5" x14ac:dyDescent="0.2">
      <c r="A14" s="38" t="s">
        <v>46</v>
      </c>
      <c r="B14" s="38">
        <v>2018</v>
      </c>
      <c r="C14" s="38">
        <v>1353368000</v>
      </c>
      <c r="D14" s="38">
        <v>1546444058.70749</v>
      </c>
      <c r="E14" s="38">
        <f t="shared" si="0"/>
        <v>1.0058003804445608</v>
      </c>
    </row>
    <row r="15" spans="1:5" x14ac:dyDescent="0.2">
      <c r="A15" s="38" t="s">
        <v>46</v>
      </c>
      <c r="B15" s="38">
        <v>2019</v>
      </c>
      <c r="C15" s="38">
        <v>1362825000</v>
      </c>
      <c r="D15" s="38">
        <v>1523814178.56914</v>
      </c>
      <c r="E15" s="38">
        <f t="shared" si="0"/>
        <v>0.99108200642746835</v>
      </c>
    </row>
    <row r="16" spans="1:5" x14ac:dyDescent="0.2">
      <c r="A16" s="38" t="s">
        <v>46</v>
      </c>
      <c r="B16" s="38">
        <v>2020</v>
      </c>
      <c r="C16" s="38">
        <v>1388392000</v>
      </c>
      <c r="D16" s="38">
        <v>1526326469.3707099</v>
      </c>
      <c r="E16" s="38">
        <f t="shared" si="0"/>
        <v>0.99271598926039306</v>
      </c>
    </row>
    <row r="17" spans="1:5" x14ac:dyDescent="0.2">
      <c r="A17" s="38" t="s">
        <v>46</v>
      </c>
      <c r="B17" s="38">
        <v>2021</v>
      </c>
      <c r="C17" s="38">
        <v>1450341000</v>
      </c>
      <c r="D17" s="38">
        <v>1539567483.41078</v>
      </c>
      <c r="E17" s="38">
        <f t="shared" si="0"/>
        <v>1.0013278862662927</v>
      </c>
    </row>
    <row r="18" spans="1:5" x14ac:dyDescent="0.2">
      <c r="A18" s="38" t="s">
        <v>46</v>
      </c>
      <c r="B18" s="38">
        <v>2022</v>
      </c>
      <c r="C18" s="38">
        <v>2065254000</v>
      </c>
      <c r="D18" s="38">
        <v>2065254000</v>
      </c>
      <c r="E18" s="38">
        <f t="shared" si="0"/>
        <v>1.3432320731024645</v>
      </c>
    </row>
    <row r="19" spans="1:5" x14ac:dyDescent="0.2">
      <c r="A19" s="38" t="s">
        <v>46</v>
      </c>
      <c r="B19" s="38">
        <v>2023</v>
      </c>
      <c r="C19" s="38">
        <v>1748368000</v>
      </c>
      <c r="D19" s="38">
        <v>1668571503.24722</v>
      </c>
      <c r="E19" s="38">
        <f t="shared" si="0"/>
        <v>1.0852315305654698</v>
      </c>
    </row>
    <row r="20" spans="1:5" x14ac:dyDescent="0.2">
      <c r="A20" s="38" t="s">
        <v>43</v>
      </c>
      <c r="B20" s="38">
        <v>2006</v>
      </c>
      <c r="C20" s="38">
        <v>2286921000</v>
      </c>
      <c r="D20" s="38">
        <v>3268577442.5756998</v>
      </c>
      <c r="E20" s="38">
        <f>D20/$D$24</f>
        <v>0.9363375806491947</v>
      </c>
    </row>
    <row r="21" spans="1:5" x14ac:dyDescent="0.2">
      <c r="A21" s="38" t="s">
        <v>43</v>
      </c>
      <c r="B21" s="38">
        <v>2007</v>
      </c>
      <c r="C21" s="38">
        <v>2266236000</v>
      </c>
      <c r="D21" s="38">
        <v>3165104228.5576801</v>
      </c>
      <c r="E21" s="38">
        <f t="shared" ref="E21:E37" si="1">D21/$D$24</f>
        <v>0.90669598256018591</v>
      </c>
    </row>
    <row r="22" spans="1:5" x14ac:dyDescent="0.2">
      <c r="A22" s="38" t="s">
        <v>43</v>
      </c>
      <c r="B22" s="38">
        <v>2008</v>
      </c>
      <c r="C22" s="38">
        <v>2457597000</v>
      </c>
      <c r="D22" s="38">
        <v>3355300086.68152</v>
      </c>
      <c r="E22" s="38">
        <f t="shared" si="1"/>
        <v>0.96118070344378759</v>
      </c>
    </row>
    <row r="23" spans="1:5" x14ac:dyDescent="0.2">
      <c r="A23" s="38" t="s">
        <v>43</v>
      </c>
      <c r="B23" s="38">
        <v>2009</v>
      </c>
      <c r="C23" s="38">
        <v>2336431000</v>
      </c>
      <c r="D23" s="38">
        <v>3136453733.9319</v>
      </c>
      <c r="E23" s="38">
        <f t="shared" si="1"/>
        <v>0.89848857879092847</v>
      </c>
    </row>
    <row r="24" spans="1:5" x14ac:dyDescent="0.2">
      <c r="A24" s="38" t="s">
        <v>43</v>
      </c>
      <c r="B24" s="38">
        <v>2010</v>
      </c>
      <c r="C24" s="38">
        <v>2625300000</v>
      </c>
      <c r="D24" s="38">
        <v>3490810910.6434498</v>
      </c>
      <c r="E24" s="38">
        <f t="shared" si="1"/>
        <v>1</v>
      </c>
    </row>
    <row r="25" spans="1:5" x14ac:dyDescent="0.2">
      <c r="A25" s="38" t="s">
        <v>43</v>
      </c>
      <c r="B25" s="38">
        <v>2011</v>
      </c>
      <c r="C25" s="38">
        <v>2695125000</v>
      </c>
      <c r="D25" s="38">
        <v>3525194836.1435299</v>
      </c>
      <c r="E25" s="38">
        <f t="shared" si="1"/>
        <v>1.0098498390145521</v>
      </c>
    </row>
    <row r="26" spans="1:5" x14ac:dyDescent="0.2">
      <c r="A26" s="38" t="s">
        <v>43</v>
      </c>
      <c r="B26" s="38">
        <v>2012</v>
      </c>
      <c r="C26" s="38">
        <v>2629541000</v>
      </c>
      <c r="D26" s="38">
        <v>3368298920.3437901</v>
      </c>
      <c r="E26" s="38">
        <f t="shared" si="1"/>
        <v>0.96490443239817947</v>
      </c>
    </row>
    <row r="27" spans="1:5" x14ac:dyDescent="0.2">
      <c r="A27" s="38" t="s">
        <v>43</v>
      </c>
      <c r="B27" s="38">
        <v>2013</v>
      </c>
      <c r="C27" s="38">
        <v>2684734000</v>
      </c>
      <c r="D27" s="38">
        <v>3379376059.27033</v>
      </c>
      <c r="E27" s="38">
        <f t="shared" si="1"/>
        <v>0.96807766039880416</v>
      </c>
    </row>
    <row r="28" spans="1:5" x14ac:dyDescent="0.2">
      <c r="A28" s="38" t="s">
        <v>43</v>
      </c>
      <c r="B28" s="38">
        <v>2014</v>
      </c>
      <c r="C28" s="38">
        <v>2830383000</v>
      </c>
      <c r="D28" s="38">
        <v>3501431396.83951</v>
      </c>
      <c r="E28" s="38">
        <f t="shared" si="1"/>
        <v>1.003042412341407</v>
      </c>
    </row>
    <row r="29" spans="1:5" x14ac:dyDescent="0.2">
      <c r="A29" s="38" t="s">
        <v>43</v>
      </c>
      <c r="B29" s="38">
        <v>2015</v>
      </c>
      <c r="C29" s="38">
        <v>2941246000</v>
      </c>
      <c r="D29" s="38">
        <v>3573166342.7386098</v>
      </c>
      <c r="E29" s="38">
        <f t="shared" si="1"/>
        <v>1.0235920633352151</v>
      </c>
    </row>
    <row r="30" spans="1:5" x14ac:dyDescent="0.2">
      <c r="A30" s="38" t="s">
        <v>43</v>
      </c>
      <c r="B30" s="38">
        <v>2016</v>
      </c>
      <c r="C30" s="38">
        <v>2992412000</v>
      </c>
      <c r="D30" s="38">
        <v>3556833848.4219298</v>
      </c>
      <c r="E30" s="38">
        <f t="shared" si="1"/>
        <v>1.0189133526474254</v>
      </c>
    </row>
    <row r="31" spans="1:5" x14ac:dyDescent="0.2">
      <c r="A31" s="38" t="s">
        <v>43</v>
      </c>
      <c r="B31" s="38">
        <v>2017</v>
      </c>
      <c r="C31" s="38">
        <v>3086198000</v>
      </c>
      <c r="D31" s="38">
        <v>3602131997.8505001</v>
      </c>
      <c r="E31" s="38">
        <f t="shared" si="1"/>
        <v>1.0318897499912223</v>
      </c>
    </row>
    <row r="32" spans="1:5" x14ac:dyDescent="0.2">
      <c r="A32" s="38" t="s">
        <v>43</v>
      </c>
      <c r="B32" s="38">
        <v>2018</v>
      </c>
      <c r="C32" s="38">
        <v>3078962000</v>
      </c>
      <c r="D32" s="38">
        <v>3518217138.1960702</v>
      </c>
      <c r="E32" s="38">
        <f t="shared" si="1"/>
        <v>1.0078509630725225</v>
      </c>
    </row>
    <row r="33" spans="1:5" x14ac:dyDescent="0.2">
      <c r="A33" s="38" t="s">
        <v>43</v>
      </c>
      <c r="B33" s="38">
        <v>2019</v>
      </c>
      <c r="C33" s="38">
        <v>3558620000</v>
      </c>
      <c r="D33" s="38">
        <v>3978996285.0253901</v>
      </c>
      <c r="E33" s="38">
        <f t="shared" si="1"/>
        <v>1.1398487018857044</v>
      </c>
    </row>
    <row r="34" spans="1:5" x14ac:dyDescent="0.2">
      <c r="A34" s="38" t="s">
        <v>43</v>
      </c>
      <c r="B34" s="38">
        <v>2020</v>
      </c>
      <c r="C34" s="38">
        <v>3443310000</v>
      </c>
      <c r="D34" s="38">
        <v>3785397204.283</v>
      </c>
      <c r="E34" s="38">
        <f t="shared" si="1"/>
        <v>1.0843890721039513</v>
      </c>
    </row>
    <row r="35" spans="1:5" x14ac:dyDescent="0.2">
      <c r="A35" s="38" t="s">
        <v>43</v>
      </c>
      <c r="B35" s="38">
        <v>2021</v>
      </c>
      <c r="C35" s="38">
        <v>3524339000</v>
      </c>
      <c r="D35" s="38">
        <v>3741159992.6613698</v>
      </c>
      <c r="E35" s="38">
        <f t="shared" si="1"/>
        <v>1.0717165977838008</v>
      </c>
    </row>
    <row r="36" spans="1:5" x14ac:dyDescent="0.2">
      <c r="A36" s="38" t="s">
        <v>43</v>
      </c>
      <c r="B36" s="38">
        <v>2022</v>
      </c>
      <c r="C36" s="38">
        <v>3792772000</v>
      </c>
      <c r="D36" s="38">
        <v>3792772000</v>
      </c>
      <c r="E36" s="38">
        <f t="shared" si="1"/>
        <v>1.0865017032105273</v>
      </c>
    </row>
    <row r="37" spans="1:5" x14ac:dyDescent="0.2">
      <c r="A37" s="38" t="s">
        <v>43</v>
      </c>
      <c r="B37" s="38">
        <v>2023</v>
      </c>
      <c r="C37" s="38">
        <v>4216363000</v>
      </c>
      <c r="D37" s="38">
        <v>4023925826.3397398</v>
      </c>
      <c r="E37" s="38">
        <f t="shared" si="1"/>
        <v>1.1527195053936687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B990-BC2B-0C49-A7B6-3ED4203563E1}">
  <dimension ref="B2:G34"/>
  <sheetViews>
    <sheetView showGridLines="0" workbookViewId="0">
      <selection activeCell="F16" sqref="F16"/>
    </sheetView>
  </sheetViews>
  <sheetFormatPr baseColWidth="10" defaultRowHeight="15" x14ac:dyDescent="0.2"/>
  <cols>
    <col min="1" max="16384" width="10.83203125" style="41"/>
  </cols>
  <sheetData>
    <row r="2" spans="2:7" x14ac:dyDescent="0.2">
      <c r="B2" s="41" t="s">
        <v>130</v>
      </c>
    </row>
    <row r="3" spans="2:7" x14ac:dyDescent="0.2">
      <c r="B3" s="41" t="s">
        <v>136</v>
      </c>
    </row>
    <row r="5" spans="2:7" ht="32" x14ac:dyDescent="0.2">
      <c r="D5" s="44" t="s">
        <v>131</v>
      </c>
      <c r="E5" s="44" t="s">
        <v>132</v>
      </c>
      <c r="F5" s="44" t="s">
        <v>133</v>
      </c>
      <c r="G5" s="44" t="s">
        <v>135</v>
      </c>
    </row>
    <row r="6" spans="2:7" x14ac:dyDescent="0.2">
      <c r="B6" s="43">
        <v>2017</v>
      </c>
      <c r="C6" s="43" t="s">
        <v>12</v>
      </c>
      <c r="D6" s="43">
        <v>9.8379999999999995E-2</v>
      </c>
      <c r="E6" s="43">
        <v>0.14049</v>
      </c>
      <c r="F6" s="43">
        <v>0</v>
      </c>
      <c r="G6" s="43">
        <f>SUM(D6:F6)</f>
        <v>0.23887</v>
      </c>
    </row>
    <row r="7" spans="2:7" x14ac:dyDescent="0.2">
      <c r="B7" s="43"/>
      <c r="C7" s="43" t="s">
        <v>29</v>
      </c>
      <c r="D7" s="43">
        <v>6.8000000000000005E-2</v>
      </c>
      <c r="E7" s="43">
        <v>0.14049</v>
      </c>
      <c r="F7" s="43">
        <v>2.9770000000000001E-2</v>
      </c>
      <c r="G7" s="43">
        <f t="shared" ref="G7:G17" si="0">SUM(D7:F7)</f>
        <v>0.23826</v>
      </c>
    </row>
    <row r="8" spans="2:7" x14ac:dyDescent="0.2">
      <c r="B8" s="43">
        <v>2018</v>
      </c>
      <c r="C8" s="43" t="s">
        <v>12</v>
      </c>
      <c r="D8" s="43">
        <v>0.10780000000000001</v>
      </c>
      <c r="E8" s="43">
        <v>0.14147999999999999</v>
      </c>
      <c r="F8" s="43">
        <v>0</v>
      </c>
      <c r="G8" s="43">
        <f t="shared" si="0"/>
        <v>0.24928</v>
      </c>
    </row>
    <row r="9" spans="2:7" x14ac:dyDescent="0.2">
      <c r="B9" s="43"/>
      <c r="C9" s="43" t="s">
        <v>29</v>
      </c>
      <c r="D9" s="43">
        <v>6.8000000000000005E-2</v>
      </c>
      <c r="E9" s="43">
        <v>0.14147999999999999</v>
      </c>
      <c r="F9" s="43">
        <v>3.4009999999999999E-2</v>
      </c>
      <c r="G9" s="43">
        <f t="shared" si="0"/>
        <v>0.24348999999999998</v>
      </c>
    </row>
    <row r="10" spans="2:7" x14ac:dyDescent="0.2">
      <c r="B10" s="43">
        <v>2020</v>
      </c>
      <c r="C10" s="43" t="s">
        <v>12</v>
      </c>
      <c r="D10" s="43">
        <v>0.11752</v>
      </c>
      <c r="E10" s="43">
        <v>0.16200000000000001</v>
      </c>
      <c r="F10" s="43">
        <v>0</v>
      </c>
      <c r="G10" s="43">
        <f>SUM(D10:F10)</f>
        <v>0.27951999999999999</v>
      </c>
    </row>
    <row r="11" spans="2:7" x14ac:dyDescent="0.2">
      <c r="B11" s="43"/>
      <c r="C11" s="43" t="s">
        <v>29</v>
      </c>
      <c r="D11" s="43">
        <v>8.6999999999999994E-2</v>
      </c>
      <c r="E11" s="43">
        <v>0.16200000000000001</v>
      </c>
      <c r="F11" s="43">
        <v>3.397E-2</v>
      </c>
      <c r="G11" s="43">
        <f>SUM(D11:F11)</f>
        <v>0.28297</v>
      </c>
    </row>
    <row r="12" spans="2:7" x14ac:dyDescent="0.2">
      <c r="B12" s="43">
        <v>2021</v>
      </c>
      <c r="C12" s="43" t="s">
        <v>12</v>
      </c>
      <c r="D12" s="43">
        <v>0.11209</v>
      </c>
      <c r="E12" s="43">
        <v>0.16694999999999999</v>
      </c>
      <c r="F12" s="43">
        <v>0</v>
      </c>
      <c r="G12" s="43">
        <f t="shared" si="0"/>
        <v>0.27903999999999995</v>
      </c>
    </row>
    <row r="13" spans="2:7" x14ac:dyDescent="0.2">
      <c r="B13" s="43"/>
      <c r="C13" s="43" t="s">
        <v>29</v>
      </c>
      <c r="D13" s="43">
        <v>8.6999999999999994E-2</v>
      </c>
      <c r="E13" s="43">
        <v>0.16694999999999999</v>
      </c>
      <c r="F13" s="43">
        <v>4.4580000000000002E-2</v>
      </c>
      <c r="G13" s="43">
        <f t="shared" si="0"/>
        <v>0.29853000000000002</v>
      </c>
    </row>
    <row r="14" spans="2:7" x14ac:dyDescent="0.2">
      <c r="B14" s="43">
        <v>2022</v>
      </c>
      <c r="C14" s="43" t="s">
        <v>12</v>
      </c>
      <c r="D14" s="43">
        <v>0.12511</v>
      </c>
      <c r="E14" s="43">
        <v>0.19425000000000001</v>
      </c>
      <c r="F14" s="43">
        <v>2.6630000000000001E-2</v>
      </c>
      <c r="G14" s="43">
        <f t="shared" si="0"/>
        <v>0.34598999999999996</v>
      </c>
    </row>
    <row r="15" spans="2:7" x14ac:dyDescent="0.2">
      <c r="B15" s="43"/>
      <c r="C15" s="43" t="s">
        <v>29</v>
      </c>
      <c r="D15" s="43">
        <v>0.107</v>
      </c>
      <c r="E15" s="43">
        <v>0.19425000000000001</v>
      </c>
      <c r="F15" s="43">
        <v>2.0799999999999999E-2</v>
      </c>
      <c r="G15" s="43">
        <f t="shared" si="0"/>
        <v>0.32205</v>
      </c>
    </row>
    <row r="16" spans="2:7" x14ac:dyDescent="0.2">
      <c r="B16" s="43">
        <v>2023</v>
      </c>
      <c r="C16" s="43" t="s">
        <v>12</v>
      </c>
      <c r="D16" s="43">
        <v>0.14202000000000001</v>
      </c>
      <c r="E16" s="43">
        <v>0.20915</v>
      </c>
      <c r="F16" s="43">
        <v>1.4120000000000001E-2</v>
      </c>
      <c r="G16" s="43">
        <f t="shared" si="0"/>
        <v>0.36529</v>
      </c>
    </row>
    <row r="17" spans="2:7" x14ac:dyDescent="0.2">
      <c r="B17" s="43"/>
      <c r="C17" s="43" t="s">
        <v>29</v>
      </c>
      <c r="D17" s="43">
        <v>0.14899999999999999</v>
      </c>
      <c r="E17" s="43">
        <v>0.20915</v>
      </c>
      <c r="F17" s="43">
        <v>4.0000000000000001E-3</v>
      </c>
      <c r="G17" s="43">
        <f t="shared" si="0"/>
        <v>0.36214999999999997</v>
      </c>
    </row>
    <row r="19" spans="2:7" x14ac:dyDescent="0.2">
      <c r="D19" s="42"/>
    </row>
    <row r="22" spans="2:7" ht="32" x14ac:dyDescent="0.2">
      <c r="D22" s="44" t="s">
        <v>131</v>
      </c>
      <c r="E22" s="44" t="s">
        <v>132</v>
      </c>
      <c r="F22" s="44" t="s">
        <v>133</v>
      </c>
      <c r="G22" s="44" t="s">
        <v>135</v>
      </c>
    </row>
    <row r="23" spans="2:7" x14ac:dyDescent="0.2">
      <c r="B23" s="43">
        <v>2019</v>
      </c>
      <c r="C23" s="43" t="s">
        <v>39</v>
      </c>
      <c r="D23" s="43">
        <v>9.146E-2</v>
      </c>
      <c r="E23" s="43">
        <v>0.10888</v>
      </c>
      <c r="F23" s="43">
        <v>0</v>
      </c>
      <c r="G23" s="43">
        <f>SUM(D23:F23)</f>
        <v>0.20034000000000002</v>
      </c>
    </row>
    <row r="24" spans="2:7" x14ac:dyDescent="0.2">
      <c r="B24" s="43"/>
      <c r="C24" s="43" t="s">
        <v>134</v>
      </c>
      <c r="D24" s="43">
        <v>5.9249999999999997E-2</v>
      </c>
      <c r="E24" s="43">
        <v>0.10385</v>
      </c>
      <c r="F24" s="43">
        <v>3.5400000000000001E-2</v>
      </c>
      <c r="G24" s="43">
        <f t="shared" ref="G24:G32" si="1">SUM(D24:F24)</f>
        <v>0.19850000000000001</v>
      </c>
    </row>
    <row r="25" spans="2:7" x14ac:dyDescent="0.2">
      <c r="B25" s="43">
        <v>2020</v>
      </c>
      <c r="C25" s="43" t="s">
        <v>39</v>
      </c>
      <c r="D25" s="43">
        <v>9.6089999999999995E-2</v>
      </c>
      <c r="E25" s="43">
        <v>0.13453999999999999</v>
      </c>
      <c r="F25" s="43">
        <v>0</v>
      </c>
      <c r="G25" s="43">
        <f t="shared" si="1"/>
        <v>0.23063</v>
      </c>
    </row>
    <row r="26" spans="2:7" x14ac:dyDescent="0.2">
      <c r="B26" s="43"/>
      <c r="C26" s="43" t="s">
        <v>134</v>
      </c>
      <c r="D26" s="43">
        <v>6.9889999999999994E-2</v>
      </c>
      <c r="E26" s="43">
        <v>0.13453999999999999</v>
      </c>
      <c r="F26" s="43">
        <v>2.4230000000000002E-2</v>
      </c>
      <c r="G26" s="43">
        <f t="shared" si="1"/>
        <v>0.22866</v>
      </c>
    </row>
    <row r="27" spans="2:7" x14ac:dyDescent="0.2">
      <c r="B27" s="43">
        <v>2021</v>
      </c>
      <c r="C27" s="43" t="s">
        <v>39</v>
      </c>
      <c r="D27" s="43">
        <v>9.5449999999999993E-2</v>
      </c>
      <c r="E27" s="43">
        <v>0.15795000000000001</v>
      </c>
      <c r="F27" s="43">
        <v>0</v>
      </c>
      <c r="G27" s="43">
        <f t="shared" si="1"/>
        <v>0.25340000000000001</v>
      </c>
    </row>
    <row r="28" spans="2:7" x14ac:dyDescent="0.2">
      <c r="B28" s="43"/>
      <c r="C28" s="43" t="s">
        <v>134</v>
      </c>
      <c r="D28" s="43">
        <v>6.9919999999999996E-2</v>
      </c>
      <c r="E28" s="43">
        <v>0.15795000000000001</v>
      </c>
      <c r="F28" s="43">
        <v>3.0779999999999998E-2</v>
      </c>
      <c r="G28" s="43">
        <f t="shared" si="1"/>
        <v>0.25864999999999999</v>
      </c>
    </row>
    <row r="29" spans="2:7" x14ac:dyDescent="0.2">
      <c r="B29" s="43">
        <v>2022</v>
      </c>
      <c r="C29" s="43" t="s">
        <v>39</v>
      </c>
      <c r="D29" s="43">
        <v>0.11259</v>
      </c>
      <c r="E29" s="43">
        <v>0.19273000000000001</v>
      </c>
      <c r="F29" s="43">
        <v>0</v>
      </c>
      <c r="G29" s="43">
        <f t="shared" si="1"/>
        <v>0.30532000000000004</v>
      </c>
    </row>
    <row r="30" spans="2:7" x14ac:dyDescent="0.2">
      <c r="B30" s="43"/>
      <c r="C30" s="43" t="s">
        <v>134</v>
      </c>
      <c r="D30" s="43">
        <v>0.10496</v>
      </c>
      <c r="E30" s="43">
        <v>0.19273000000000001</v>
      </c>
      <c r="F30" s="43">
        <v>4.5500000000000002E-3</v>
      </c>
      <c r="G30" s="43">
        <f t="shared" si="1"/>
        <v>0.30224000000000001</v>
      </c>
    </row>
    <row r="31" spans="2:7" x14ac:dyDescent="0.2">
      <c r="B31" s="43">
        <v>2023</v>
      </c>
      <c r="C31" s="43" t="s">
        <v>39</v>
      </c>
      <c r="D31" s="43">
        <v>0.17</v>
      </c>
      <c r="E31" s="43">
        <v>0.19</v>
      </c>
      <c r="F31" s="43">
        <v>0</v>
      </c>
      <c r="G31" s="43">
        <f t="shared" si="1"/>
        <v>0.36</v>
      </c>
    </row>
    <row r="32" spans="2:7" x14ac:dyDescent="0.2">
      <c r="B32" s="43"/>
      <c r="C32" s="43" t="s">
        <v>134</v>
      </c>
      <c r="D32" s="43">
        <v>0.15</v>
      </c>
      <c r="E32" s="43">
        <v>0.19</v>
      </c>
      <c r="F32" s="43">
        <v>0</v>
      </c>
      <c r="G32" s="43">
        <f t="shared" si="1"/>
        <v>0.33999999999999997</v>
      </c>
    </row>
    <row r="34" spans="4:4" x14ac:dyDescent="0.2">
      <c r="D34" s="4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A5B9-7166-5A48-AB28-784CA0E8B14B}">
  <dimension ref="A1:O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3" max="3" width="16" customWidth="1"/>
  </cols>
  <sheetData>
    <row r="1" spans="1:15" ht="112" x14ac:dyDescent="0.2">
      <c r="A1" s="53" t="s">
        <v>3</v>
      </c>
      <c r="B1" s="53" t="s">
        <v>139</v>
      </c>
      <c r="C1" s="53" t="s">
        <v>181</v>
      </c>
      <c r="D1" s="53" t="s">
        <v>86</v>
      </c>
      <c r="E1" s="53" t="s">
        <v>178</v>
      </c>
      <c r="F1" s="53" t="s">
        <v>173</v>
      </c>
      <c r="G1" s="53" t="s">
        <v>174</v>
      </c>
      <c r="H1" s="53" t="s">
        <v>175</v>
      </c>
      <c r="I1" s="53" t="s">
        <v>172</v>
      </c>
      <c r="J1" s="53" t="s">
        <v>176</v>
      </c>
      <c r="K1" s="53" t="s">
        <v>177</v>
      </c>
      <c r="L1" s="53" t="s">
        <v>179</v>
      </c>
      <c r="M1" s="53" t="s">
        <v>180</v>
      </c>
      <c r="O1" s="53" t="s">
        <v>184</v>
      </c>
    </row>
    <row r="2" spans="1:15" x14ac:dyDescent="0.2">
      <c r="A2">
        <v>1994</v>
      </c>
      <c r="B2" t="s">
        <v>12</v>
      </c>
      <c r="C2">
        <v>1843089664</v>
      </c>
      <c r="D2">
        <v>3154294272</v>
      </c>
      <c r="E2">
        <v>80973608</v>
      </c>
      <c r="F2">
        <v>120423064</v>
      </c>
      <c r="G2">
        <v>58414292</v>
      </c>
      <c r="H2">
        <v>140677632</v>
      </c>
      <c r="I2">
        <v>261100704</v>
      </c>
      <c r="J2">
        <v>5286495</v>
      </c>
      <c r="K2">
        <v>21055956</v>
      </c>
      <c r="L2">
        <v>38671904</v>
      </c>
      <c r="M2">
        <v>59727860</v>
      </c>
      <c r="O2" s="56">
        <f>(E2*'Core CPI Series'!C$66)/(VLOOKUP(A2,'Core CPI Series'!$B$2:$C$67,2,FALSE)*1000000000)</f>
        <v>0.15227487971915654</v>
      </c>
    </row>
    <row r="3" spans="1:15" x14ac:dyDescent="0.2">
      <c r="A3">
        <v>1995</v>
      </c>
      <c r="B3" t="s">
        <v>12</v>
      </c>
      <c r="C3">
        <v>1736896000</v>
      </c>
      <c r="D3">
        <v>2587084544</v>
      </c>
      <c r="E3">
        <v>107389768</v>
      </c>
      <c r="F3">
        <v>175719664</v>
      </c>
      <c r="G3">
        <v>36286208</v>
      </c>
      <c r="H3">
        <v>106210608</v>
      </c>
      <c r="I3">
        <v>281930272</v>
      </c>
      <c r="J3">
        <v>7839167</v>
      </c>
      <c r="K3">
        <v>25994020</v>
      </c>
      <c r="L3">
        <v>48256936</v>
      </c>
      <c r="M3">
        <v>74250960</v>
      </c>
      <c r="O3" s="56">
        <f>(E3*'Core CPI Series'!C$66)/(VLOOKUP(A3,'Core CPI Series'!$B$2:$C$67,2,FALSE)*1000000000)</f>
        <v>0.19603320242523181</v>
      </c>
    </row>
    <row r="4" spans="1:15" x14ac:dyDescent="0.2">
      <c r="A4">
        <v>1996</v>
      </c>
      <c r="B4" t="s">
        <v>12</v>
      </c>
      <c r="C4">
        <v>1864527360</v>
      </c>
      <c r="D4">
        <v>2746696448</v>
      </c>
      <c r="E4">
        <v>158031552</v>
      </c>
      <c r="F4">
        <v>246985024</v>
      </c>
      <c r="G4">
        <v>35520916</v>
      </c>
      <c r="H4">
        <v>116805808</v>
      </c>
      <c r="I4">
        <v>363790848</v>
      </c>
      <c r="J4">
        <v>12029657</v>
      </c>
      <c r="K4">
        <v>30280538</v>
      </c>
      <c r="L4">
        <v>49255148</v>
      </c>
      <c r="M4">
        <v>79535688</v>
      </c>
      <c r="O4" s="56">
        <f>(E4*'Core CPI Series'!C$66)/(VLOOKUP(A4,'Core CPI Series'!$B$2:$C$67,2,FALSE)*1000000000)</f>
        <v>0.28092596135667908</v>
      </c>
    </row>
    <row r="5" spans="1:15" x14ac:dyDescent="0.2">
      <c r="A5">
        <v>1997</v>
      </c>
      <c r="B5" t="s">
        <v>12</v>
      </c>
      <c r="C5">
        <v>2014935424</v>
      </c>
      <c r="D5">
        <v>3055085056</v>
      </c>
      <c r="E5">
        <v>183619136</v>
      </c>
      <c r="F5">
        <v>259274720</v>
      </c>
      <c r="G5">
        <v>47707888</v>
      </c>
      <c r="H5">
        <v>125531552</v>
      </c>
      <c r="I5">
        <v>384806272</v>
      </c>
      <c r="J5">
        <v>17589304</v>
      </c>
      <c r="K5">
        <v>29410144</v>
      </c>
      <c r="L5">
        <v>53329840</v>
      </c>
      <c r="M5">
        <v>82739984</v>
      </c>
      <c r="O5" s="56">
        <f>(E5*'Core CPI Series'!C$66)/(VLOOKUP(A5,'Core CPI Series'!$B$2:$C$67,2,FALSE)*1000000000)</f>
        <v>0.31880564446335685</v>
      </c>
    </row>
    <row r="6" spans="1:15" x14ac:dyDescent="0.2">
      <c r="A6">
        <v>1998</v>
      </c>
      <c r="B6" t="s">
        <v>12</v>
      </c>
      <c r="C6">
        <v>1564051200</v>
      </c>
      <c r="D6">
        <v>2865124352</v>
      </c>
      <c r="E6">
        <v>205610256</v>
      </c>
      <c r="F6">
        <v>272868448</v>
      </c>
      <c r="G6">
        <v>69162064</v>
      </c>
      <c r="H6">
        <v>137880048</v>
      </c>
      <c r="I6">
        <v>410748512</v>
      </c>
      <c r="J6">
        <v>17880048</v>
      </c>
      <c r="K6">
        <v>31433644</v>
      </c>
      <c r="L6">
        <v>58462976</v>
      </c>
      <c r="M6">
        <v>89896616</v>
      </c>
      <c r="O6" s="56">
        <f>(E6*'Core CPI Series'!C$66)/(VLOOKUP(A6,'Core CPI Series'!$B$2:$C$67,2,FALSE)*1000000000)</f>
        <v>0.3490089321194057</v>
      </c>
    </row>
    <row r="7" spans="1:15" x14ac:dyDescent="0.2">
      <c r="A7">
        <v>1999</v>
      </c>
      <c r="B7" t="s">
        <v>12</v>
      </c>
      <c r="C7">
        <v>1899478400</v>
      </c>
      <c r="D7">
        <v>2908420608</v>
      </c>
      <c r="E7">
        <v>173869760</v>
      </c>
      <c r="F7">
        <v>228472992</v>
      </c>
      <c r="G7">
        <v>81101600</v>
      </c>
      <c r="H7">
        <v>137877088</v>
      </c>
      <c r="I7">
        <v>366350080</v>
      </c>
      <c r="J7">
        <v>20369060</v>
      </c>
      <c r="K7">
        <v>34318736</v>
      </c>
      <c r="L7">
        <v>66226680</v>
      </c>
      <c r="M7">
        <v>100545416</v>
      </c>
      <c r="O7" s="56">
        <f>(E7*'Core CPI Series'!C$66)/(VLOOKUP(A7,'Core CPI Series'!$B$2:$C$67,2,FALSE)*1000000000)</f>
        <v>0.28914204597575927</v>
      </c>
    </row>
    <row r="8" spans="1:15" x14ac:dyDescent="0.2">
      <c r="A8">
        <v>2000</v>
      </c>
      <c r="B8" t="s">
        <v>12</v>
      </c>
      <c r="C8">
        <v>1915480320</v>
      </c>
      <c r="D8">
        <v>7151619584</v>
      </c>
      <c r="E8">
        <v>180786528</v>
      </c>
      <c r="F8">
        <v>238910496</v>
      </c>
      <c r="G8">
        <v>75280376</v>
      </c>
      <c r="H8">
        <v>130025888</v>
      </c>
      <c r="I8">
        <v>368936384</v>
      </c>
      <c r="J8">
        <v>21315544</v>
      </c>
      <c r="K8">
        <v>36980064</v>
      </c>
      <c r="L8">
        <v>58764956</v>
      </c>
      <c r="M8">
        <v>95745024</v>
      </c>
      <c r="O8" s="56">
        <f>(E8*'Core CPI Series'!C$66)/(VLOOKUP(A8,'Core CPI Series'!$B$2:$C$67,2,FALSE)*1000000000)</f>
        <v>0.29348596589171294</v>
      </c>
    </row>
    <row r="9" spans="1:15" x14ac:dyDescent="0.2">
      <c r="A9">
        <v>2001</v>
      </c>
      <c r="B9" t="s">
        <v>12</v>
      </c>
      <c r="C9">
        <v>1458024064</v>
      </c>
      <c r="D9">
        <v>3616718336</v>
      </c>
      <c r="E9">
        <v>183372016</v>
      </c>
      <c r="F9">
        <v>239977408</v>
      </c>
      <c r="G9">
        <v>67988872</v>
      </c>
      <c r="H9">
        <v>122494440</v>
      </c>
      <c r="I9">
        <v>362471840</v>
      </c>
      <c r="J9">
        <v>27214014</v>
      </c>
      <c r="K9">
        <v>44578664</v>
      </c>
      <c r="L9">
        <v>60762624</v>
      </c>
      <c r="M9">
        <v>105341288</v>
      </c>
      <c r="O9" s="56">
        <f>(E9*'Core CPI Series'!C$66)/(VLOOKUP(A9,'Core CPI Series'!$B$2:$C$67,2,FALSE)*1000000000)</f>
        <v>0.28995290552529751</v>
      </c>
    </row>
    <row r="10" spans="1:15" x14ac:dyDescent="0.2">
      <c r="A10">
        <v>2002</v>
      </c>
      <c r="B10" t="s">
        <v>12</v>
      </c>
      <c r="C10">
        <v>1216375424</v>
      </c>
      <c r="D10">
        <v>1749377152</v>
      </c>
      <c r="E10">
        <v>219823472</v>
      </c>
      <c r="F10">
        <v>278900480</v>
      </c>
      <c r="G10">
        <v>62955900</v>
      </c>
      <c r="H10">
        <v>116790912</v>
      </c>
      <c r="I10">
        <v>395691392</v>
      </c>
      <c r="J10">
        <v>22255184</v>
      </c>
      <c r="K10">
        <v>40819712</v>
      </c>
      <c r="L10">
        <v>65698496</v>
      </c>
      <c r="M10">
        <v>106518208</v>
      </c>
      <c r="O10" s="56">
        <f>(E10*'Core CPI Series'!C$66)/(VLOOKUP(A10,'Core CPI Series'!$B$2:$C$67,2,FALSE)*1000000000)</f>
        <v>0.33971224822530921</v>
      </c>
    </row>
    <row r="11" spans="1:15" x14ac:dyDescent="0.2">
      <c r="A11">
        <v>2003</v>
      </c>
      <c r="B11" t="s">
        <v>12</v>
      </c>
      <c r="C11">
        <v>1924031616</v>
      </c>
      <c r="D11">
        <v>2769187072</v>
      </c>
      <c r="E11">
        <v>210915008</v>
      </c>
      <c r="F11">
        <v>278826176</v>
      </c>
      <c r="G11">
        <v>88306784</v>
      </c>
      <c r="H11">
        <v>147909216</v>
      </c>
      <c r="I11">
        <v>426735392</v>
      </c>
      <c r="J11">
        <v>23082536</v>
      </c>
      <c r="K11">
        <v>41857344</v>
      </c>
      <c r="L11">
        <v>58914148</v>
      </c>
      <c r="M11">
        <v>100771488</v>
      </c>
      <c r="O11" s="56">
        <f>(E11*'Core CPI Series'!C$66)/(VLOOKUP(A11,'Core CPI Series'!$B$2:$C$67,2,FALSE)*1000000000)</f>
        <v>0.32125010917038682</v>
      </c>
    </row>
    <row r="12" spans="1:15" x14ac:dyDescent="0.2">
      <c r="A12">
        <v>2004</v>
      </c>
      <c r="B12" t="s">
        <v>12</v>
      </c>
      <c r="C12">
        <v>2283060992</v>
      </c>
      <c r="D12">
        <v>3230273792</v>
      </c>
      <c r="E12">
        <v>233539200</v>
      </c>
      <c r="F12">
        <v>294723136</v>
      </c>
      <c r="G12">
        <v>84100432</v>
      </c>
      <c r="H12">
        <v>139511024</v>
      </c>
      <c r="I12">
        <v>434234176</v>
      </c>
      <c r="J12">
        <v>29172700</v>
      </c>
      <c r="K12">
        <v>47769600</v>
      </c>
      <c r="L12">
        <v>62652280</v>
      </c>
      <c r="M12">
        <v>110421880</v>
      </c>
      <c r="O12" s="56">
        <f>(E12*'Core CPI Series'!C$66)/(VLOOKUP(A12,'Core CPI Series'!$B$2:$C$67,2,FALSE)*1000000000)</f>
        <v>0.34952911531236525</v>
      </c>
    </row>
    <row r="13" spans="1:15" x14ac:dyDescent="0.2">
      <c r="A13">
        <v>2005</v>
      </c>
      <c r="B13" t="s">
        <v>12</v>
      </c>
      <c r="C13">
        <v>2083796992</v>
      </c>
      <c r="D13">
        <v>2844720896</v>
      </c>
      <c r="E13">
        <v>224808896</v>
      </c>
      <c r="F13">
        <v>289893728</v>
      </c>
      <c r="G13">
        <v>102710768</v>
      </c>
      <c r="H13">
        <v>160205632</v>
      </c>
      <c r="I13">
        <v>450099328</v>
      </c>
      <c r="J13">
        <v>34490632</v>
      </c>
      <c r="K13">
        <v>54395176</v>
      </c>
      <c r="L13">
        <v>73329840</v>
      </c>
      <c r="M13">
        <v>127725016</v>
      </c>
      <c r="O13" s="56">
        <f>(E13*'Core CPI Series'!C$66)/(VLOOKUP(A13,'Core CPI Series'!$B$2:$C$67,2,FALSE)*1000000000)</f>
        <v>0.3293856966571348</v>
      </c>
    </row>
    <row r="14" spans="1:15" x14ac:dyDescent="0.2">
      <c r="A14">
        <v>2006</v>
      </c>
      <c r="B14" t="s">
        <v>12</v>
      </c>
      <c r="C14">
        <v>2599282688</v>
      </c>
      <c r="D14">
        <v>3358279168</v>
      </c>
      <c r="E14">
        <v>239063888</v>
      </c>
      <c r="F14">
        <v>307212000</v>
      </c>
      <c r="G14">
        <v>97051576</v>
      </c>
      <c r="H14">
        <v>163297536</v>
      </c>
      <c r="I14">
        <v>470509504</v>
      </c>
      <c r="J14">
        <v>36157424</v>
      </c>
      <c r="K14">
        <v>61130764</v>
      </c>
      <c r="L14">
        <v>109006528</v>
      </c>
      <c r="M14">
        <v>170137296</v>
      </c>
      <c r="O14" s="56">
        <f>(E14*'Core CPI Series'!C$66)/(VLOOKUP(A14,'Core CPI Series'!$B$2:$C$67,2,FALSE)*1000000000)</f>
        <v>0.34168160231649669</v>
      </c>
    </row>
    <row r="15" spans="1:15" x14ac:dyDescent="0.2">
      <c r="A15">
        <v>2007</v>
      </c>
      <c r="B15" t="s">
        <v>12</v>
      </c>
      <c r="C15">
        <v>3351824640</v>
      </c>
      <c r="D15">
        <v>3902134784</v>
      </c>
      <c r="E15">
        <v>240285408</v>
      </c>
      <c r="F15">
        <v>311041408</v>
      </c>
      <c r="G15">
        <v>112554200</v>
      </c>
      <c r="H15">
        <v>187346752</v>
      </c>
      <c r="I15">
        <v>498388192</v>
      </c>
      <c r="J15">
        <v>32637502</v>
      </c>
      <c r="K15">
        <v>59069256</v>
      </c>
      <c r="L15">
        <v>116986704</v>
      </c>
      <c r="M15">
        <v>176055952</v>
      </c>
      <c r="O15" s="56">
        <f>(E15*'Core CPI Series'!C$66)/(VLOOKUP(A15,'Core CPI Series'!$B$2:$C$67,2,FALSE)*1000000000)</f>
        <v>0.33559098033987106</v>
      </c>
    </row>
    <row r="16" spans="1:15" x14ac:dyDescent="0.2">
      <c r="A16">
        <v>2008</v>
      </c>
      <c r="B16" t="s">
        <v>12</v>
      </c>
      <c r="C16">
        <v>4385859072</v>
      </c>
      <c r="D16">
        <v>4945282560</v>
      </c>
      <c r="E16">
        <v>282754816</v>
      </c>
      <c r="F16">
        <v>350223040</v>
      </c>
      <c r="G16">
        <v>100755216</v>
      </c>
      <c r="H16">
        <v>182746464</v>
      </c>
      <c r="I16">
        <v>532969504</v>
      </c>
      <c r="J16">
        <v>40110624</v>
      </c>
      <c r="K16">
        <v>69902432</v>
      </c>
      <c r="L16">
        <v>138939824</v>
      </c>
      <c r="M16">
        <v>208842256</v>
      </c>
      <c r="O16" s="56">
        <f>(E16*'Core CPI Series'!C$66)/(VLOOKUP(A16,'Core CPI Series'!$B$2:$C$67,2,FALSE)*1000000000)</f>
        <v>0.38603858103440819</v>
      </c>
    </row>
    <row r="17" spans="1:15" x14ac:dyDescent="0.2">
      <c r="A17">
        <v>2009</v>
      </c>
      <c r="B17" t="s">
        <v>12</v>
      </c>
      <c r="C17">
        <v>3490737408</v>
      </c>
      <c r="D17">
        <v>4212043520</v>
      </c>
      <c r="E17">
        <v>259994800</v>
      </c>
      <c r="F17">
        <v>326104640</v>
      </c>
      <c r="G17">
        <v>88624136</v>
      </c>
      <c r="H17">
        <v>159199024</v>
      </c>
      <c r="I17">
        <v>485303648</v>
      </c>
      <c r="J17">
        <v>35010108</v>
      </c>
      <c r="K17">
        <v>58538184</v>
      </c>
      <c r="L17">
        <v>142912928</v>
      </c>
      <c r="M17">
        <v>201451120</v>
      </c>
      <c r="O17" s="56">
        <f>(E17*'Core CPI Series'!C$66)/(VLOOKUP(A17,'Core CPI Series'!$B$2:$C$67,2,FALSE)*1000000000)</f>
        <v>0.34902021984080822</v>
      </c>
    </row>
    <row r="18" spans="1:15" x14ac:dyDescent="0.2">
      <c r="A18">
        <v>2010</v>
      </c>
      <c r="B18" t="s">
        <v>12</v>
      </c>
      <c r="C18">
        <v>3633537792</v>
      </c>
      <c r="D18">
        <v>4349281280</v>
      </c>
      <c r="E18">
        <v>277298656</v>
      </c>
      <c r="F18">
        <v>352416992</v>
      </c>
      <c r="G18">
        <v>82264736</v>
      </c>
      <c r="H18">
        <v>153802304</v>
      </c>
      <c r="I18">
        <v>506219296</v>
      </c>
      <c r="J18">
        <v>35560056</v>
      </c>
      <c r="K18">
        <v>62581676</v>
      </c>
      <c r="L18">
        <v>145553328</v>
      </c>
      <c r="M18">
        <v>208134992</v>
      </c>
      <c r="O18" s="56">
        <f>(E18*'Core CPI Series'!C$66)/(VLOOKUP(A18,'Core CPI Series'!$B$2:$C$67,2,FALSE)*1000000000)</f>
        <v>0.36871868886282133</v>
      </c>
    </row>
    <row r="19" spans="1:15" x14ac:dyDescent="0.2">
      <c r="A19">
        <v>2011</v>
      </c>
      <c r="B19" t="s">
        <v>12</v>
      </c>
      <c r="C19">
        <v>3612226816</v>
      </c>
      <c r="D19">
        <v>4538152960</v>
      </c>
      <c r="E19">
        <v>326804320</v>
      </c>
      <c r="F19">
        <v>414046208</v>
      </c>
      <c r="G19">
        <v>96739224</v>
      </c>
      <c r="H19">
        <v>186789584</v>
      </c>
      <c r="I19">
        <v>600835776</v>
      </c>
      <c r="J19">
        <v>43173056</v>
      </c>
      <c r="K19">
        <v>69095696</v>
      </c>
      <c r="L19">
        <v>135762208</v>
      </c>
      <c r="M19">
        <v>204857904</v>
      </c>
      <c r="O19" s="56">
        <f>(E19*'Core CPI Series'!C$66)/(VLOOKUP(A19,'Core CPI Series'!$B$2:$C$67,2,FALSE)*1000000000)</f>
        <v>0.42745657485029404</v>
      </c>
    </row>
    <row r="20" spans="1:15" x14ac:dyDescent="0.2">
      <c r="A20">
        <v>2012</v>
      </c>
      <c r="B20" t="s">
        <v>12</v>
      </c>
      <c r="C20">
        <v>3687963648</v>
      </c>
      <c r="D20">
        <v>4805769728</v>
      </c>
      <c r="E20">
        <v>300050720</v>
      </c>
      <c r="F20">
        <v>398470048</v>
      </c>
      <c r="G20">
        <v>153139312</v>
      </c>
      <c r="H20">
        <v>250023104</v>
      </c>
      <c r="I20">
        <v>648493120</v>
      </c>
      <c r="J20">
        <v>47355728</v>
      </c>
      <c r="K20">
        <v>75802512</v>
      </c>
      <c r="L20">
        <v>135355456</v>
      </c>
      <c r="M20">
        <v>211157968</v>
      </c>
      <c r="O20" s="56">
        <f>(E20*'Core CPI Series'!C$66)/(VLOOKUP(A20,'Core CPI Series'!$B$2:$C$67,2,FALSE)*1000000000)</f>
        <v>0.38434864344171821</v>
      </c>
    </row>
    <row r="21" spans="1:15" x14ac:dyDescent="0.2">
      <c r="A21">
        <v>2013</v>
      </c>
      <c r="B21" t="s">
        <v>12</v>
      </c>
      <c r="C21">
        <v>4225871872</v>
      </c>
      <c r="D21">
        <v>5574595072</v>
      </c>
      <c r="E21">
        <v>288051008</v>
      </c>
      <c r="F21">
        <v>389022272</v>
      </c>
      <c r="G21">
        <v>139094752</v>
      </c>
      <c r="H21">
        <v>239996976</v>
      </c>
      <c r="I21">
        <v>629019264</v>
      </c>
      <c r="J21">
        <v>46397500</v>
      </c>
      <c r="K21">
        <v>89090408</v>
      </c>
      <c r="L21">
        <v>138154704</v>
      </c>
      <c r="M21">
        <v>227245120</v>
      </c>
      <c r="O21" s="56">
        <f>(E21*'Core CPI Series'!C$66)/(VLOOKUP(A21,'Core CPI Series'!$B$2:$C$67,2,FALSE)*1000000000)</f>
        <v>0.36258068035190322</v>
      </c>
    </row>
    <row r="22" spans="1:15" x14ac:dyDescent="0.2">
      <c r="A22">
        <v>2014</v>
      </c>
      <c r="B22" t="s">
        <v>12</v>
      </c>
      <c r="C22">
        <v>5026087936</v>
      </c>
      <c r="D22">
        <v>6242025984</v>
      </c>
      <c r="E22">
        <v>336699520</v>
      </c>
      <c r="F22">
        <v>445210432</v>
      </c>
      <c r="G22">
        <v>131182064</v>
      </c>
      <c r="H22">
        <v>229883520</v>
      </c>
      <c r="I22">
        <v>675093952</v>
      </c>
      <c r="J22">
        <v>52450240</v>
      </c>
      <c r="K22">
        <v>87158112</v>
      </c>
      <c r="L22">
        <v>155889472</v>
      </c>
      <c r="M22">
        <v>243047584</v>
      </c>
      <c r="O22" s="56">
        <f>(E22*'Core CPI Series'!C$66)/(VLOOKUP(A22,'Core CPI Series'!$B$2:$C$67,2,FALSE)*1000000000)</f>
        <v>0.41652676356125506</v>
      </c>
    </row>
    <row r="23" spans="1:15" x14ac:dyDescent="0.2">
      <c r="A23">
        <v>2015</v>
      </c>
      <c r="B23" t="s">
        <v>12</v>
      </c>
      <c r="C23">
        <v>4419716608</v>
      </c>
      <c r="D23">
        <v>5743149056</v>
      </c>
      <c r="E23">
        <v>424992320</v>
      </c>
      <c r="F23">
        <v>533079648</v>
      </c>
      <c r="G23">
        <v>182496272</v>
      </c>
      <c r="H23">
        <v>296614848</v>
      </c>
      <c r="I23">
        <v>829694528</v>
      </c>
      <c r="J23">
        <v>71803744</v>
      </c>
      <c r="K23">
        <v>110823328</v>
      </c>
      <c r="L23">
        <v>175889168</v>
      </c>
      <c r="M23">
        <v>286712480</v>
      </c>
      <c r="O23" s="56">
        <f>(E23*'Core CPI Series'!C$66)/(VLOOKUP(A23,'Core CPI Series'!$B$2:$C$67,2,FALSE)*1000000000)</f>
        <v>0.51630100091811393</v>
      </c>
    </row>
    <row r="24" spans="1:15" x14ac:dyDescent="0.2">
      <c r="A24">
        <v>2016</v>
      </c>
      <c r="B24" t="s">
        <v>12</v>
      </c>
      <c r="C24">
        <v>4130065920</v>
      </c>
      <c r="D24">
        <v>5463456256</v>
      </c>
      <c r="E24">
        <v>402984672</v>
      </c>
      <c r="F24">
        <v>489794880</v>
      </c>
      <c r="G24">
        <v>364723360</v>
      </c>
      <c r="H24">
        <v>443535840</v>
      </c>
      <c r="I24">
        <v>933330688</v>
      </c>
      <c r="J24">
        <v>82198552</v>
      </c>
      <c r="K24">
        <v>108160192</v>
      </c>
      <c r="L24">
        <v>187955008</v>
      </c>
      <c r="M24">
        <v>296115200</v>
      </c>
      <c r="O24" s="56">
        <f>(E24*'Core CPI Series'!C$66)/(VLOOKUP(A24,'Core CPI Series'!$B$2:$C$67,2,FALSE)*1000000000)</f>
        <v>0.47899471121116038</v>
      </c>
    </row>
    <row r="25" spans="1:15" x14ac:dyDescent="0.2">
      <c r="A25">
        <v>2017</v>
      </c>
      <c r="B25" t="s">
        <v>12</v>
      </c>
      <c r="C25">
        <v>3852611584</v>
      </c>
      <c r="D25">
        <v>5023688192</v>
      </c>
      <c r="E25">
        <v>528832576</v>
      </c>
      <c r="F25">
        <v>616407488</v>
      </c>
      <c r="G25">
        <v>37055568</v>
      </c>
      <c r="H25">
        <v>109916176</v>
      </c>
      <c r="I25">
        <v>726323648</v>
      </c>
      <c r="J25">
        <v>96349280</v>
      </c>
      <c r="K25">
        <v>120964392</v>
      </c>
      <c r="L25">
        <v>180011872</v>
      </c>
      <c r="M25">
        <v>300976256</v>
      </c>
      <c r="O25" s="57">
        <f>(E25*'Core CPI Series'!C$66)/(VLOOKUP(A25,'Core CPI Series'!$B$2:$C$67,2,FALSE)*1000000000)</f>
        <v>0.61723996435591943</v>
      </c>
    </row>
    <row r="26" spans="1:15" x14ac:dyDescent="0.2">
      <c r="A26">
        <v>2018</v>
      </c>
      <c r="B26" t="s">
        <v>12</v>
      </c>
      <c r="C26">
        <v>3496844544</v>
      </c>
      <c r="D26">
        <v>4785972224</v>
      </c>
      <c r="E26">
        <v>751642752</v>
      </c>
      <c r="F26">
        <v>832772608</v>
      </c>
      <c r="G26">
        <v>240620320</v>
      </c>
      <c r="H26">
        <v>324196224</v>
      </c>
      <c r="I26">
        <v>1156968832</v>
      </c>
      <c r="J26">
        <v>129824960</v>
      </c>
      <c r="K26">
        <v>156657360</v>
      </c>
      <c r="L26">
        <v>192432384</v>
      </c>
      <c r="M26">
        <v>349089760</v>
      </c>
      <c r="O26" s="57">
        <f>(E26*'Core CPI Series'!C$66)/(VLOOKUP(A26,'Core CPI Series'!$B$2:$C$67,2,FALSE)*1000000000)</f>
        <v>0.8588746505761552</v>
      </c>
    </row>
    <row r="27" spans="1:15" x14ac:dyDescent="0.2">
      <c r="A27">
        <v>2019</v>
      </c>
      <c r="B27" t="s">
        <v>12</v>
      </c>
      <c r="C27">
        <v>4058377216</v>
      </c>
      <c r="D27">
        <v>5292284416</v>
      </c>
      <c r="E27">
        <v>775894912</v>
      </c>
      <c r="F27">
        <v>894481600</v>
      </c>
      <c r="G27">
        <v>414577888</v>
      </c>
      <c r="H27">
        <v>529273856</v>
      </c>
      <c r="I27">
        <v>1423755392</v>
      </c>
      <c r="J27">
        <v>608246272</v>
      </c>
      <c r="K27">
        <v>654678528</v>
      </c>
      <c r="L27">
        <v>340197376</v>
      </c>
      <c r="M27">
        <v>994875904</v>
      </c>
      <c r="O27" s="57">
        <f>(E27*'Core CPI Series'!C$66)/(VLOOKUP(A27,'Core CPI Series'!$B$2:$C$67,2,FALSE)*1000000000)</f>
        <v>0.86755061580559578</v>
      </c>
    </row>
    <row r="28" spans="1:15" x14ac:dyDescent="0.2">
      <c r="A28">
        <v>2020</v>
      </c>
      <c r="B28" t="s">
        <v>12</v>
      </c>
      <c r="C28">
        <v>4613389312</v>
      </c>
      <c r="D28">
        <v>5700471808</v>
      </c>
      <c r="E28">
        <v>2023360000</v>
      </c>
      <c r="F28">
        <v>2126940032</v>
      </c>
      <c r="G28">
        <v>650635008</v>
      </c>
      <c r="H28">
        <v>820627392</v>
      </c>
      <c r="I28">
        <v>2947567360</v>
      </c>
      <c r="J28">
        <v>281226560</v>
      </c>
      <c r="K28">
        <v>337594528</v>
      </c>
      <c r="L28">
        <v>361370432</v>
      </c>
      <c r="M28">
        <v>698964992</v>
      </c>
      <c r="O28" s="57">
        <f>(E28*'Core CPI Series'!C$66)/(VLOOKUP(A28,'Core CPI Series'!$B$2:$C$67,2,FALSE)*1000000000)</f>
        <v>2.224377499341637</v>
      </c>
    </row>
    <row r="29" spans="1:15" x14ac:dyDescent="0.2">
      <c r="A29">
        <v>2021</v>
      </c>
      <c r="B29" t="s">
        <v>12</v>
      </c>
      <c r="C29">
        <v>5391098880</v>
      </c>
      <c r="D29">
        <v>6757467136</v>
      </c>
      <c r="E29">
        <v>2298804736</v>
      </c>
      <c r="F29">
        <v>2427243264</v>
      </c>
      <c r="G29">
        <v>542057408</v>
      </c>
      <c r="H29">
        <v>726820864</v>
      </c>
      <c r="I29">
        <v>3154064128</v>
      </c>
      <c r="J29">
        <v>273848640</v>
      </c>
      <c r="K29">
        <v>325690720</v>
      </c>
      <c r="L29">
        <v>408726080</v>
      </c>
      <c r="M29">
        <v>734416832</v>
      </c>
      <c r="O29" s="57">
        <f>(E29*'Core CPI Series'!C$66)/(VLOOKUP(A29,'Core CPI Series'!$B$2:$C$67,2,FALSE)*1000000000)</f>
        <v>2.440229588942409</v>
      </c>
    </row>
    <row r="30" spans="1:15" x14ac:dyDescent="0.2">
      <c r="A30">
        <v>2022</v>
      </c>
      <c r="B30" t="s">
        <v>12</v>
      </c>
      <c r="C30">
        <v>6677567488</v>
      </c>
      <c r="D30">
        <v>8098116608</v>
      </c>
      <c r="E30">
        <v>1948363392</v>
      </c>
      <c r="F30">
        <v>2084441344</v>
      </c>
      <c r="G30">
        <v>559046976</v>
      </c>
      <c r="H30">
        <v>753497984</v>
      </c>
      <c r="I30">
        <v>2837939456</v>
      </c>
      <c r="J30">
        <v>275550304</v>
      </c>
      <c r="K30">
        <v>328326464</v>
      </c>
      <c r="L30">
        <v>411174208</v>
      </c>
      <c r="M30">
        <v>739500672</v>
      </c>
      <c r="O30" s="57">
        <f>(E30*'Core CPI Series'!C$66)/(VLOOKUP(A30,'Core CPI Series'!$B$2:$C$67,2,FALSE)*1000000000)</f>
        <v>1.9483633920000001</v>
      </c>
    </row>
    <row r="31" spans="1:15" x14ac:dyDescent="0.2">
      <c r="A31">
        <v>2023</v>
      </c>
      <c r="B31" t="s">
        <v>12</v>
      </c>
      <c r="C31">
        <v>5015005696</v>
      </c>
      <c r="D31">
        <v>6497822208</v>
      </c>
      <c r="E31">
        <v>2174013696</v>
      </c>
      <c r="F31">
        <v>2333947392</v>
      </c>
      <c r="G31">
        <v>770637568</v>
      </c>
      <c r="H31">
        <v>956347648</v>
      </c>
      <c r="I31">
        <v>3290295040</v>
      </c>
      <c r="J31">
        <v>272122752</v>
      </c>
      <c r="K31">
        <v>330473440</v>
      </c>
      <c r="L31">
        <v>377346656</v>
      </c>
      <c r="M31">
        <v>707820096</v>
      </c>
      <c r="O31" s="57">
        <f>(E31*'Core CPI Series'!C$66)/(VLOOKUP(A31,'Core CPI Series'!$B$2:$C$67,2,FALSE)*1000000000)</f>
        <v>2.0747904907975734</v>
      </c>
    </row>
    <row r="32" spans="1:15" x14ac:dyDescent="0.2">
      <c r="A32">
        <v>1994</v>
      </c>
      <c r="B32" t="s">
        <v>39</v>
      </c>
      <c r="C32">
        <v>2561978624</v>
      </c>
      <c r="D32">
        <v>3871954688</v>
      </c>
      <c r="E32">
        <v>63799604</v>
      </c>
      <c r="F32">
        <v>110424272</v>
      </c>
      <c r="G32">
        <v>17425208</v>
      </c>
      <c r="H32">
        <v>89932400</v>
      </c>
      <c r="I32">
        <v>200356672</v>
      </c>
      <c r="J32">
        <v>10077598</v>
      </c>
      <c r="K32">
        <v>31727336</v>
      </c>
      <c r="L32">
        <v>48221844</v>
      </c>
      <c r="M32">
        <v>79949184</v>
      </c>
      <c r="O32" s="56">
        <f>(E32*'Core CPI Series'!C$66)/(VLOOKUP(A32,'Core CPI Series'!$B$2:$C$67,2,FALSE)*1000000000)</f>
        <v>0.11997831472730988</v>
      </c>
    </row>
    <row r="33" spans="1:15" x14ac:dyDescent="0.2">
      <c r="A33">
        <v>1996</v>
      </c>
      <c r="B33" t="s">
        <v>39</v>
      </c>
      <c r="C33">
        <v>2705318400</v>
      </c>
      <c r="D33">
        <v>3761031680</v>
      </c>
      <c r="E33">
        <v>30011280</v>
      </c>
      <c r="F33">
        <v>82135816</v>
      </c>
      <c r="G33">
        <v>22727560</v>
      </c>
      <c r="H33">
        <v>79552656</v>
      </c>
      <c r="I33">
        <v>161688480</v>
      </c>
      <c r="J33">
        <v>10486970</v>
      </c>
      <c r="K33">
        <v>28293844</v>
      </c>
      <c r="L33">
        <v>39737744</v>
      </c>
      <c r="M33">
        <v>68031584</v>
      </c>
      <c r="O33" s="56">
        <f>(E33*'Core CPI Series'!C$66)/(VLOOKUP(A33,'Core CPI Series'!$B$2:$C$67,2,FALSE)*1000000000)</f>
        <v>5.3349774642120054E-2</v>
      </c>
    </row>
    <row r="34" spans="1:15" x14ac:dyDescent="0.2">
      <c r="A34">
        <v>1997</v>
      </c>
      <c r="B34" t="s">
        <v>39</v>
      </c>
      <c r="C34">
        <v>2853523456</v>
      </c>
      <c r="D34">
        <v>4204198400</v>
      </c>
      <c r="E34">
        <v>47366688</v>
      </c>
      <c r="F34">
        <v>103239504</v>
      </c>
      <c r="G34">
        <v>25269988</v>
      </c>
      <c r="H34">
        <v>74683736</v>
      </c>
      <c r="I34">
        <v>177923248</v>
      </c>
      <c r="J34">
        <v>11275351</v>
      </c>
      <c r="K34">
        <v>29131956</v>
      </c>
      <c r="L34">
        <v>42820488</v>
      </c>
      <c r="M34">
        <v>71952440</v>
      </c>
      <c r="O34" s="56">
        <f>(E34*'Core CPI Series'!C$66)/(VLOOKUP(A34,'Core CPI Series'!$B$2:$C$67,2,FALSE)*1000000000)</f>
        <v>8.2239617410762425E-2</v>
      </c>
    </row>
    <row r="35" spans="1:15" x14ac:dyDescent="0.2">
      <c r="A35">
        <v>1998</v>
      </c>
      <c r="B35" t="s">
        <v>39</v>
      </c>
      <c r="C35">
        <v>3261804288</v>
      </c>
      <c r="D35">
        <v>4041945344</v>
      </c>
      <c r="E35">
        <v>52359684</v>
      </c>
      <c r="F35">
        <v>127748272</v>
      </c>
      <c r="G35">
        <v>24924060</v>
      </c>
      <c r="H35">
        <v>76005320</v>
      </c>
      <c r="I35">
        <v>203753600</v>
      </c>
      <c r="J35">
        <v>13409842</v>
      </c>
      <c r="K35">
        <v>32997108</v>
      </c>
      <c r="L35">
        <v>159366864</v>
      </c>
      <c r="M35">
        <v>192363968</v>
      </c>
      <c r="O35" s="56">
        <f>(E35*'Core CPI Series'!C$66)/(VLOOKUP(A35,'Core CPI Series'!$B$2:$C$67,2,FALSE)*1000000000)</f>
        <v>8.8876876837065619E-2</v>
      </c>
    </row>
    <row r="36" spans="1:15" x14ac:dyDescent="0.2">
      <c r="A36">
        <v>1999</v>
      </c>
      <c r="B36" t="s">
        <v>39</v>
      </c>
      <c r="C36">
        <v>3176586496</v>
      </c>
      <c r="D36">
        <v>3831121920</v>
      </c>
      <c r="E36">
        <v>51137736</v>
      </c>
      <c r="F36">
        <v>96185648</v>
      </c>
      <c r="G36">
        <v>26058708</v>
      </c>
      <c r="H36">
        <v>83425112</v>
      </c>
      <c r="I36">
        <v>179610768</v>
      </c>
      <c r="J36">
        <v>11908757</v>
      </c>
      <c r="K36">
        <v>26884036</v>
      </c>
      <c r="L36">
        <v>177824976</v>
      </c>
      <c r="M36">
        <v>204709008</v>
      </c>
      <c r="O36" s="56">
        <f>(E36*'Core CPI Series'!C$66)/(VLOOKUP(A36,'Core CPI Series'!$B$2:$C$67,2,FALSE)*1000000000)</f>
        <v>8.5041065298578897E-2</v>
      </c>
    </row>
    <row r="37" spans="1:15" x14ac:dyDescent="0.2">
      <c r="A37">
        <v>2000</v>
      </c>
      <c r="B37" t="s">
        <v>39</v>
      </c>
      <c r="C37">
        <v>4684154880</v>
      </c>
      <c r="D37">
        <v>5346629120</v>
      </c>
      <c r="E37">
        <v>51583768</v>
      </c>
      <c r="F37">
        <v>98499456</v>
      </c>
      <c r="G37">
        <v>31668558</v>
      </c>
      <c r="H37">
        <v>103189800</v>
      </c>
      <c r="I37">
        <v>201689248</v>
      </c>
      <c r="J37">
        <v>9989535</v>
      </c>
      <c r="K37">
        <v>26188668</v>
      </c>
      <c r="L37">
        <v>71961792</v>
      </c>
      <c r="M37">
        <v>98150456</v>
      </c>
      <c r="O37" s="56">
        <f>(E37*'Core CPI Series'!C$66)/(VLOOKUP(A37,'Core CPI Series'!$B$2:$C$67,2,FALSE)*1000000000)</f>
        <v>8.3740266176327224E-2</v>
      </c>
    </row>
    <row r="38" spans="1:15" x14ac:dyDescent="0.2">
      <c r="A38">
        <v>2001</v>
      </c>
      <c r="B38" t="s">
        <v>39</v>
      </c>
      <c r="C38">
        <v>3767231744</v>
      </c>
      <c r="D38">
        <v>4407930368</v>
      </c>
      <c r="E38">
        <v>58379480</v>
      </c>
      <c r="F38">
        <v>101909424</v>
      </c>
      <c r="G38">
        <v>25850384</v>
      </c>
      <c r="H38">
        <v>98543784</v>
      </c>
      <c r="I38">
        <v>200453216</v>
      </c>
      <c r="J38">
        <v>9627488</v>
      </c>
      <c r="K38">
        <v>21424832</v>
      </c>
      <c r="L38">
        <v>129806576</v>
      </c>
      <c r="M38">
        <v>151231408</v>
      </c>
      <c r="O38" s="56">
        <f>(E38*'Core CPI Series'!C$66)/(VLOOKUP(A38,'Core CPI Series'!$B$2:$C$67,2,FALSE)*1000000000)</f>
        <v>9.2311249111511062E-2</v>
      </c>
    </row>
    <row r="39" spans="1:15" x14ac:dyDescent="0.2">
      <c r="A39">
        <v>2002</v>
      </c>
      <c r="B39" t="s">
        <v>39</v>
      </c>
      <c r="C39">
        <v>2013804416</v>
      </c>
      <c r="D39">
        <v>2756261376</v>
      </c>
      <c r="E39">
        <v>81878680</v>
      </c>
      <c r="F39">
        <v>130296544</v>
      </c>
      <c r="G39">
        <v>34382360</v>
      </c>
      <c r="H39">
        <v>120911704</v>
      </c>
      <c r="I39">
        <v>251208256</v>
      </c>
      <c r="J39">
        <v>12267278</v>
      </c>
      <c r="K39">
        <v>25567360</v>
      </c>
      <c r="L39">
        <v>101659608</v>
      </c>
      <c r="M39">
        <v>127226960</v>
      </c>
      <c r="O39" s="56">
        <f>(E39*'Core CPI Series'!C$66)/(VLOOKUP(A39,'Core CPI Series'!$B$2:$C$67,2,FALSE)*1000000000)</f>
        <v>0.12653421498374232</v>
      </c>
    </row>
    <row r="40" spans="1:15" x14ac:dyDescent="0.2">
      <c r="A40">
        <v>2003</v>
      </c>
      <c r="B40" t="s">
        <v>39</v>
      </c>
      <c r="C40">
        <v>2783792640</v>
      </c>
      <c r="D40">
        <v>3503704064</v>
      </c>
      <c r="E40">
        <v>82039344</v>
      </c>
      <c r="F40">
        <v>147248512</v>
      </c>
      <c r="G40">
        <v>36812120</v>
      </c>
      <c r="H40">
        <v>125513256</v>
      </c>
      <c r="I40">
        <v>272761760</v>
      </c>
      <c r="J40">
        <v>12491127</v>
      </c>
      <c r="K40">
        <v>25300628</v>
      </c>
      <c r="L40">
        <v>115444264</v>
      </c>
      <c r="M40">
        <v>140744896</v>
      </c>
      <c r="O40" s="56">
        <f>(E40*'Core CPI Series'!C$66)/(VLOOKUP(A40,'Core CPI Series'!$B$2:$C$67,2,FALSE)*1000000000)</f>
        <v>0.12495624880457498</v>
      </c>
    </row>
    <row r="41" spans="1:15" x14ac:dyDescent="0.2">
      <c r="A41">
        <v>2004</v>
      </c>
      <c r="B41" t="s">
        <v>39</v>
      </c>
      <c r="C41">
        <v>2998764032</v>
      </c>
      <c r="D41">
        <v>3791405824</v>
      </c>
      <c r="E41">
        <v>204654848</v>
      </c>
      <c r="F41">
        <v>257342768</v>
      </c>
      <c r="G41">
        <v>53956112</v>
      </c>
      <c r="H41">
        <v>156417248</v>
      </c>
      <c r="I41">
        <v>413760000</v>
      </c>
      <c r="J41">
        <v>13884869</v>
      </c>
      <c r="K41">
        <v>25956504</v>
      </c>
      <c r="L41">
        <v>203024512</v>
      </c>
      <c r="M41">
        <v>228981024</v>
      </c>
      <c r="O41" s="56">
        <f>(E41*'Core CPI Series'!C$66)/(VLOOKUP(A41,'Core CPI Series'!$B$2:$C$67,2,FALSE)*1000000000)</f>
        <v>0.30629901946151478</v>
      </c>
    </row>
    <row r="42" spans="1:15" x14ac:dyDescent="0.2">
      <c r="A42">
        <v>2005</v>
      </c>
      <c r="B42" t="s">
        <v>39</v>
      </c>
      <c r="C42">
        <v>3513789696</v>
      </c>
      <c r="D42">
        <v>4250432256</v>
      </c>
      <c r="E42">
        <v>92557752</v>
      </c>
      <c r="F42">
        <v>163092032</v>
      </c>
      <c r="G42">
        <v>60165184</v>
      </c>
      <c r="H42">
        <v>165378000</v>
      </c>
      <c r="I42">
        <v>328470048</v>
      </c>
      <c r="J42">
        <v>16005980</v>
      </c>
      <c r="K42">
        <v>34268432</v>
      </c>
      <c r="L42">
        <v>286081952</v>
      </c>
      <c r="M42">
        <v>320350400</v>
      </c>
      <c r="O42" s="56">
        <f>(E42*'Core CPI Series'!C$66)/(VLOOKUP(A42,'Core CPI Series'!$B$2:$C$67,2,FALSE)*1000000000)</f>
        <v>0.1356138487666356</v>
      </c>
    </row>
    <row r="43" spans="1:15" x14ac:dyDescent="0.2">
      <c r="A43">
        <v>2006</v>
      </c>
      <c r="B43" t="s">
        <v>39</v>
      </c>
      <c r="C43">
        <v>4486013952</v>
      </c>
      <c r="D43">
        <v>5152214528</v>
      </c>
      <c r="E43">
        <v>104766512</v>
      </c>
      <c r="F43">
        <v>178248272</v>
      </c>
      <c r="G43">
        <v>73913000</v>
      </c>
      <c r="H43">
        <v>192079776</v>
      </c>
      <c r="I43">
        <v>370328032</v>
      </c>
      <c r="J43">
        <v>20689792</v>
      </c>
      <c r="K43">
        <v>47319152</v>
      </c>
      <c r="L43">
        <v>251713968</v>
      </c>
      <c r="M43">
        <v>299033120</v>
      </c>
      <c r="O43" s="56">
        <f>(E43*'Core CPI Series'!C$66)/(VLOOKUP(A43,'Core CPI Series'!$B$2:$C$67,2,FALSE)*1000000000)</f>
        <v>0.14973733585923474</v>
      </c>
    </row>
    <row r="44" spans="1:15" x14ac:dyDescent="0.2">
      <c r="A44">
        <v>2007</v>
      </c>
      <c r="B44" t="s">
        <v>39</v>
      </c>
      <c r="C44">
        <v>4237598208</v>
      </c>
      <c r="D44">
        <v>4921498112</v>
      </c>
      <c r="E44">
        <v>95283640</v>
      </c>
      <c r="F44">
        <v>169964192</v>
      </c>
      <c r="G44">
        <v>103512736</v>
      </c>
      <c r="H44">
        <v>210128272</v>
      </c>
      <c r="I44">
        <v>380092480</v>
      </c>
      <c r="J44">
        <v>22155210</v>
      </c>
      <c r="K44">
        <v>38830032</v>
      </c>
      <c r="L44">
        <v>245017104</v>
      </c>
      <c r="M44">
        <v>283847136</v>
      </c>
      <c r="O44" s="56">
        <f>(E44*'Core CPI Series'!C$66)/(VLOOKUP(A44,'Core CPI Series'!$B$2:$C$67,2,FALSE)*1000000000)</f>
        <v>0.1330764544718061</v>
      </c>
    </row>
    <row r="45" spans="1:15" x14ac:dyDescent="0.2">
      <c r="A45">
        <v>2008</v>
      </c>
      <c r="B45" t="s">
        <v>39</v>
      </c>
      <c r="C45">
        <v>5724208128</v>
      </c>
      <c r="D45">
        <v>6490778624</v>
      </c>
      <c r="E45">
        <v>81711608</v>
      </c>
      <c r="F45">
        <v>162456992</v>
      </c>
      <c r="G45">
        <v>67075288</v>
      </c>
      <c r="H45">
        <v>172427024</v>
      </c>
      <c r="I45">
        <v>334884000</v>
      </c>
      <c r="J45">
        <v>21640112</v>
      </c>
      <c r="K45">
        <v>41039664</v>
      </c>
      <c r="L45">
        <v>244537840</v>
      </c>
      <c r="M45">
        <v>285577504</v>
      </c>
      <c r="O45" s="56">
        <f>(E45*'Core CPI Series'!C$66)/(VLOOKUP(A45,'Core CPI Series'!$B$2:$C$67,2,FALSE)*1000000000)</f>
        <v>0.11155895999437122</v>
      </c>
    </row>
    <row r="46" spans="1:15" x14ac:dyDescent="0.2">
      <c r="A46">
        <v>2009</v>
      </c>
      <c r="B46" t="s">
        <v>39</v>
      </c>
      <c r="C46">
        <v>2793313280</v>
      </c>
      <c r="D46">
        <v>3649647104</v>
      </c>
      <c r="E46">
        <v>84521496</v>
      </c>
      <c r="F46">
        <v>176732512</v>
      </c>
      <c r="G46">
        <v>96457360</v>
      </c>
      <c r="H46">
        <v>240261232</v>
      </c>
      <c r="I46">
        <v>416993760</v>
      </c>
      <c r="J46">
        <v>35474008</v>
      </c>
      <c r="K46">
        <v>62752328</v>
      </c>
      <c r="L46">
        <v>175779376</v>
      </c>
      <c r="M46">
        <v>238531696</v>
      </c>
      <c r="O46" s="56">
        <f>(E46*'Core CPI Series'!C$66)/(VLOOKUP(A46,'Core CPI Series'!$B$2:$C$67,2,FALSE)*1000000000)</f>
        <v>0.11346269662006313</v>
      </c>
    </row>
    <row r="47" spans="1:15" x14ac:dyDescent="0.2">
      <c r="A47">
        <v>2010</v>
      </c>
      <c r="B47" t="s">
        <v>39</v>
      </c>
      <c r="C47">
        <v>2910761984</v>
      </c>
      <c r="D47">
        <v>3886595072</v>
      </c>
      <c r="E47">
        <v>104489008</v>
      </c>
      <c r="F47">
        <v>187024400</v>
      </c>
      <c r="G47">
        <v>113478504</v>
      </c>
      <c r="H47">
        <v>268907648</v>
      </c>
      <c r="I47">
        <v>455932032</v>
      </c>
      <c r="J47">
        <v>39491144</v>
      </c>
      <c r="K47">
        <v>73561984</v>
      </c>
      <c r="L47">
        <v>178561280</v>
      </c>
      <c r="M47">
        <v>252123264</v>
      </c>
      <c r="O47" s="56">
        <f>(E47*'Core CPI Series'!C$66)/(VLOOKUP(A47,'Core CPI Series'!$B$2:$C$67,2,FALSE)*1000000000)</f>
        <v>0.13893702402343</v>
      </c>
    </row>
    <row r="48" spans="1:15" x14ac:dyDescent="0.2">
      <c r="A48">
        <v>2011</v>
      </c>
      <c r="B48" t="s">
        <v>39</v>
      </c>
      <c r="C48">
        <v>3867812096</v>
      </c>
      <c r="D48">
        <v>4789608448</v>
      </c>
      <c r="E48">
        <v>112026744</v>
      </c>
      <c r="F48">
        <v>215064032</v>
      </c>
      <c r="G48">
        <v>106480272</v>
      </c>
      <c r="H48">
        <v>270812000</v>
      </c>
      <c r="I48">
        <v>485876032</v>
      </c>
      <c r="J48">
        <v>31094748</v>
      </c>
      <c r="K48">
        <v>61497440</v>
      </c>
      <c r="L48">
        <v>173557232</v>
      </c>
      <c r="M48">
        <v>235054672</v>
      </c>
      <c r="O48" s="56">
        <f>(E48*'Core CPI Series'!C$66)/(VLOOKUP(A48,'Core CPI Series'!$B$2:$C$67,2,FALSE)*1000000000)</f>
        <v>0.14652978969761088</v>
      </c>
    </row>
    <row r="49" spans="1:15" x14ac:dyDescent="0.2">
      <c r="A49">
        <v>2012</v>
      </c>
      <c r="B49" t="s">
        <v>39</v>
      </c>
      <c r="C49">
        <v>3668240640</v>
      </c>
      <c r="D49">
        <v>4667524608</v>
      </c>
      <c r="E49">
        <v>103989232</v>
      </c>
      <c r="F49">
        <v>200324064</v>
      </c>
      <c r="G49">
        <v>112640744</v>
      </c>
      <c r="H49">
        <v>267320992</v>
      </c>
      <c r="I49">
        <v>467645056</v>
      </c>
      <c r="J49">
        <v>29467172</v>
      </c>
      <c r="K49">
        <v>64552256</v>
      </c>
      <c r="L49">
        <v>200579248</v>
      </c>
      <c r="M49">
        <v>265131504</v>
      </c>
      <c r="O49" s="56">
        <f>(E49*'Core CPI Series'!C$66)/(VLOOKUP(A49,'Core CPI Series'!$B$2:$C$67,2,FALSE)*1000000000)</f>
        <v>0.13320454705706461</v>
      </c>
    </row>
    <row r="50" spans="1:15" x14ac:dyDescent="0.2">
      <c r="A50">
        <v>2013</v>
      </c>
      <c r="B50" t="s">
        <v>39</v>
      </c>
      <c r="C50">
        <v>4579573760</v>
      </c>
      <c r="D50">
        <v>5530728960</v>
      </c>
      <c r="E50">
        <v>110508608</v>
      </c>
      <c r="F50">
        <v>216990784</v>
      </c>
      <c r="G50">
        <v>75559440</v>
      </c>
      <c r="H50">
        <v>244924736</v>
      </c>
      <c r="I50">
        <v>461915520</v>
      </c>
      <c r="J50">
        <v>34984504</v>
      </c>
      <c r="K50">
        <v>67378728</v>
      </c>
      <c r="L50">
        <v>248633536</v>
      </c>
      <c r="M50">
        <v>316012256</v>
      </c>
      <c r="O50" s="56">
        <f>(E50*'Core CPI Series'!C$66)/(VLOOKUP(A50,'Core CPI Series'!$B$2:$C$67,2,FALSE)*1000000000)</f>
        <v>0.13910135760879466</v>
      </c>
    </row>
    <row r="51" spans="1:15" x14ac:dyDescent="0.2">
      <c r="A51">
        <v>2014</v>
      </c>
      <c r="B51" t="s">
        <v>39</v>
      </c>
      <c r="C51">
        <v>6766931968</v>
      </c>
      <c r="D51">
        <v>7369751552</v>
      </c>
      <c r="E51">
        <v>127977504</v>
      </c>
      <c r="F51">
        <v>235716448</v>
      </c>
      <c r="G51">
        <v>87268584</v>
      </c>
      <c r="H51">
        <v>259164256</v>
      </c>
      <c r="I51">
        <v>494880704</v>
      </c>
      <c r="J51">
        <v>39245868</v>
      </c>
      <c r="K51">
        <v>79844928</v>
      </c>
      <c r="L51">
        <v>163845424</v>
      </c>
      <c r="M51">
        <v>243690352</v>
      </c>
      <c r="O51" s="56">
        <f>(E51*'Core CPI Series'!C$66)/(VLOOKUP(A51,'Core CPI Series'!$B$2:$C$67,2,FALSE)*1000000000)</f>
        <v>0.15831936900227114</v>
      </c>
    </row>
    <row r="52" spans="1:15" x14ac:dyDescent="0.2">
      <c r="A52">
        <v>2015</v>
      </c>
      <c r="B52" t="s">
        <v>39</v>
      </c>
      <c r="C52">
        <v>4350075392</v>
      </c>
      <c r="D52">
        <v>4769059328</v>
      </c>
      <c r="E52">
        <v>146050880</v>
      </c>
      <c r="F52">
        <v>243328048</v>
      </c>
      <c r="G52">
        <v>81254360</v>
      </c>
      <c r="H52">
        <v>254237536</v>
      </c>
      <c r="I52">
        <v>497565600</v>
      </c>
      <c r="J52">
        <v>30313222</v>
      </c>
      <c r="K52">
        <v>74663168</v>
      </c>
      <c r="L52">
        <v>237830608</v>
      </c>
      <c r="M52">
        <v>312493760</v>
      </c>
      <c r="O52" s="56">
        <f>(E52*'Core CPI Series'!C$66)/(VLOOKUP(A52,'Core CPI Series'!$B$2:$C$67,2,FALSE)*1000000000)</f>
        <v>0.17742959573709791</v>
      </c>
    </row>
    <row r="53" spans="1:15" x14ac:dyDescent="0.2">
      <c r="A53">
        <v>2016</v>
      </c>
      <c r="B53" t="s">
        <v>39</v>
      </c>
      <c r="C53">
        <v>4394115072</v>
      </c>
      <c r="D53">
        <v>4813475328</v>
      </c>
      <c r="E53">
        <v>188189408</v>
      </c>
      <c r="F53">
        <v>280754176</v>
      </c>
      <c r="G53">
        <v>84234864</v>
      </c>
      <c r="H53">
        <v>242673280</v>
      </c>
      <c r="I53">
        <v>523427456</v>
      </c>
      <c r="J53">
        <v>27424048</v>
      </c>
      <c r="K53">
        <v>83652944</v>
      </c>
      <c r="L53">
        <v>144088400</v>
      </c>
      <c r="M53">
        <v>227741360</v>
      </c>
      <c r="O53" s="56">
        <f>(E53*'Core CPI Series'!C$66)/(VLOOKUP(A53,'Core CPI Series'!$B$2:$C$67,2,FALSE)*1000000000)</f>
        <v>0.22368526001395717</v>
      </c>
    </row>
    <row r="54" spans="1:15" x14ac:dyDescent="0.2">
      <c r="A54">
        <v>2017</v>
      </c>
      <c r="B54" t="s">
        <v>39</v>
      </c>
      <c r="C54">
        <v>4689692672</v>
      </c>
      <c r="D54">
        <v>5088816128</v>
      </c>
      <c r="E54">
        <v>205205056</v>
      </c>
      <c r="F54">
        <v>303854432</v>
      </c>
      <c r="G54">
        <v>72098632</v>
      </c>
      <c r="H54">
        <v>219551328</v>
      </c>
      <c r="I54">
        <v>523405760</v>
      </c>
      <c r="J54">
        <v>39274928</v>
      </c>
      <c r="K54">
        <v>94021032</v>
      </c>
      <c r="L54">
        <v>127072064</v>
      </c>
      <c r="M54">
        <v>221093104</v>
      </c>
      <c r="O54" s="56">
        <f>(E54*'Core CPI Series'!C$66)/(VLOOKUP(A54,'Core CPI Series'!$B$2:$C$67,2,FALSE)*1000000000)</f>
        <v>0.23951013458576056</v>
      </c>
    </row>
    <row r="55" spans="1:15" x14ac:dyDescent="0.2">
      <c r="A55">
        <v>2018</v>
      </c>
      <c r="B55" t="s">
        <v>39</v>
      </c>
      <c r="C55">
        <v>5081913856</v>
      </c>
      <c r="D55">
        <v>5451006464</v>
      </c>
      <c r="E55">
        <v>174140144</v>
      </c>
      <c r="F55">
        <v>284220192</v>
      </c>
      <c r="G55">
        <v>81973144</v>
      </c>
      <c r="H55">
        <v>248706544</v>
      </c>
      <c r="I55">
        <v>532926752</v>
      </c>
      <c r="J55">
        <v>26435468</v>
      </c>
      <c r="K55">
        <v>79055888</v>
      </c>
      <c r="L55">
        <v>180921952</v>
      </c>
      <c r="M55">
        <v>259977840</v>
      </c>
      <c r="O55" s="56">
        <f>(E55*'Core CPI Series'!C$66)/(VLOOKUP(A55,'Core CPI Series'!$B$2:$C$67,2,FALSE)*1000000000)</f>
        <v>0.19898356623717078</v>
      </c>
    </row>
    <row r="56" spans="1:15" x14ac:dyDescent="0.2">
      <c r="A56">
        <v>2019</v>
      </c>
      <c r="B56" t="s">
        <v>39</v>
      </c>
      <c r="C56">
        <v>4583716352</v>
      </c>
      <c r="D56">
        <v>4979623424</v>
      </c>
      <c r="E56">
        <v>531640960</v>
      </c>
      <c r="F56">
        <v>603534272</v>
      </c>
      <c r="G56">
        <v>119577992</v>
      </c>
      <c r="H56">
        <v>367541856</v>
      </c>
      <c r="I56">
        <v>971076096</v>
      </c>
      <c r="J56">
        <v>84245472</v>
      </c>
      <c r="K56">
        <v>140571536</v>
      </c>
      <c r="L56">
        <v>317865408</v>
      </c>
      <c r="M56">
        <v>458436960</v>
      </c>
      <c r="O56" s="56">
        <f>(E56*'Core CPI Series'!C$66)/(VLOOKUP(A56,'Core CPI Series'!$B$2:$C$67,2,FALSE)*1000000000)</f>
        <v>0.59444318438252386</v>
      </c>
    </row>
    <row r="57" spans="1:15" x14ac:dyDescent="0.2">
      <c r="A57">
        <v>2020</v>
      </c>
      <c r="B57" t="s">
        <v>39</v>
      </c>
      <c r="C57">
        <v>4629307392</v>
      </c>
      <c r="D57">
        <v>5004341248</v>
      </c>
      <c r="E57">
        <v>548069568</v>
      </c>
      <c r="F57">
        <v>832543040</v>
      </c>
      <c r="G57">
        <v>119972456</v>
      </c>
      <c r="H57">
        <v>361899072</v>
      </c>
      <c r="I57">
        <v>1194442112</v>
      </c>
      <c r="J57">
        <v>86816320</v>
      </c>
      <c r="K57">
        <v>141944304</v>
      </c>
      <c r="L57">
        <v>393749408</v>
      </c>
      <c r="M57">
        <v>535693728</v>
      </c>
      <c r="O57" s="56">
        <f>(E57*'Core CPI Series'!C$66)/(VLOOKUP(A57,'Core CPI Series'!$B$2:$C$67,2,FALSE)*1000000000)</f>
        <v>0.60251938119419735</v>
      </c>
    </row>
    <row r="58" spans="1:15" x14ac:dyDescent="0.2">
      <c r="A58">
        <v>2021</v>
      </c>
      <c r="B58" t="s">
        <v>39</v>
      </c>
      <c r="C58">
        <v>5417142272</v>
      </c>
      <c r="D58">
        <v>5827440640</v>
      </c>
      <c r="E58">
        <v>501135296</v>
      </c>
      <c r="F58">
        <v>589178112</v>
      </c>
      <c r="G58">
        <v>93233744</v>
      </c>
      <c r="H58">
        <v>316136640</v>
      </c>
      <c r="I58">
        <v>905314752</v>
      </c>
      <c r="J58">
        <v>69707200</v>
      </c>
      <c r="K58">
        <v>122860232</v>
      </c>
      <c r="L58">
        <v>433167936</v>
      </c>
      <c r="M58">
        <v>556028160</v>
      </c>
      <c r="O58" s="56">
        <f>(E58*'Core CPI Series'!C$66)/(VLOOKUP(A58,'Core CPI Series'!$B$2:$C$67,2,FALSE)*1000000000)</f>
        <v>0.53196565946287155</v>
      </c>
    </row>
    <row r="59" spans="1:15" x14ac:dyDescent="0.2">
      <c r="A59">
        <v>2022</v>
      </c>
      <c r="B59" t="s">
        <v>39</v>
      </c>
      <c r="C59">
        <v>6022254592</v>
      </c>
      <c r="D59">
        <v>6694517760</v>
      </c>
      <c r="E59">
        <v>593477312</v>
      </c>
      <c r="F59">
        <v>713659328</v>
      </c>
      <c r="G59">
        <v>93028752</v>
      </c>
      <c r="H59">
        <v>317338720</v>
      </c>
      <c r="I59">
        <v>1030998080</v>
      </c>
      <c r="J59">
        <v>66453080</v>
      </c>
      <c r="K59">
        <v>124963008</v>
      </c>
      <c r="L59">
        <v>362155680</v>
      </c>
      <c r="M59">
        <v>487118688</v>
      </c>
      <c r="O59" s="56">
        <f>(E59*'Core CPI Series'!C$66)/(VLOOKUP(A59,'Core CPI Series'!$B$2:$C$67,2,FALSE)*1000000000)</f>
        <v>0.59347731199999998</v>
      </c>
    </row>
    <row r="60" spans="1:15" x14ac:dyDescent="0.2">
      <c r="A60">
        <v>2023</v>
      </c>
      <c r="B60" t="s">
        <v>39</v>
      </c>
      <c r="C60">
        <v>5959399424</v>
      </c>
      <c r="D60">
        <v>6487237120</v>
      </c>
      <c r="E60">
        <v>484764896</v>
      </c>
      <c r="F60">
        <v>636004480</v>
      </c>
      <c r="G60">
        <v>116473248</v>
      </c>
      <c r="H60">
        <v>373141184</v>
      </c>
      <c r="I60">
        <v>1009145664</v>
      </c>
      <c r="J60">
        <v>52719520</v>
      </c>
      <c r="K60">
        <v>116665632</v>
      </c>
      <c r="L60">
        <v>333024448</v>
      </c>
      <c r="M60">
        <v>449690080</v>
      </c>
      <c r="O60" s="56">
        <f>(E60*'Core CPI Series'!C$66)/(VLOOKUP(A60,'Core CPI Series'!$B$2:$C$67,2,FALSE)*1000000000)</f>
        <v>0.46263995408300995</v>
      </c>
    </row>
    <row r="61" spans="1:15" x14ac:dyDescent="0.2">
      <c r="A61">
        <v>1994</v>
      </c>
      <c r="B61" t="s">
        <v>53</v>
      </c>
      <c r="C61">
        <v>342612256</v>
      </c>
      <c r="D61">
        <v>597233920</v>
      </c>
      <c r="E61">
        <v>9191312</v>
      </c>
      <c r="F61">
        <v>14952086</v>
      </c>
      <c r="G61">
        <v>3325377</v>
      </c>
      <c r="H61">
        <v>18768836</v>
      </c>
      <c r="I61">
        <v>33720920</v>
      </c>
      <c r="J61">
        <v>2467885</v>
      </c>
      <c r="K61">
        <v>4275129</v>
      </c>
      <c r="L61">
        <v>20484218</v>
      </c>
      <c r="M61">
        <v>24759348</v>
      </c>
      <c r="O61" s="56">
        <f>(E61*'Core CPI Series'!C$66)/(VLOOKUP(A61,'Core CPI Series'!$B$2:$C$67,2,FALSE)*1000000000)</f>
        <v>1.7284717376817887E-2</v>
      </c>
    </row>
    <row r="62" spans="1:15" x14ac:dyDescent="0.2">
      <c r="A62">
        <v>1995</v>
      </c>
      <c r="B62" t="s">
        <v>53</v>
      </c>
      <c r="C62">
        <v>341726592</v>
      </c>
      <c r="D62">
        <v>575170624</v>
      </c>
      <c r="E62">
        <v>10758621</v>
      </c>
      <c r="F62">
        <v>17051636</v>
      </c>
      <c r="G62">
        <v>3176345</v>
      </c>
      <c r="H62">
        <v>18426972</v>
      </c>
      <c r="I62">
        <v>35478608</v>
      </c>
      <c r="J62">
        <v>2672541</v>
      </c>
      <c r="K62">
        <v>4644022</v>
      </c>
      <c r="L62">
        <v>20387332</v>
      </c>
      <c r="M62">
        <v>25031352</v>
      </c>
      <c r="O62" s="56">
        <f>(E62*'Core CPI Series'!C$66)/(VLOOKUP(A62,'Core CPI Series'!$B$2:$C$67,2,FALSE)*1000000000)</f>
        <v>1.9639179482251513E-2</v>
      </c>
    </row>
    <row r="63" spans="1:15" x14ac:dyDescent="0.2">
      <c r="A63">
        <v>1996</v>
      </c>
      <c r="B63" t="s">
        <v>53</v>
      </c>
      <c r="C63">
        <v>310731008</v>
      </c>
      <c r="D63">
        <v>543129600</v>
      </c>
      <c r="E63">
        <v>12687636</v>
      </c>
      <c r="F63">
        <v>20062298</v>
      </c>
      <c r="G63">
        <v>2585264</v>
      </c>
      <c r="H63">
        <v>18716642</v>
      </c>
      <c r="I63">
        <v>38778940</v>
      </c>
      <c r="J63">
        <v>2134810</v>
      </c>
      <c r="K63">
        <v>4404560</v>
      </c>
      <c r="L63">
        <v>17309664</v>
      </c>
      <c r="M63">
        <v>21714224</v>
      </c>
      <c r="O63" s="56">
        <f>(E63*'Core CPI Series'!C$66)/(VLOOKUP(A63,'Core CPI Series'!$B$2:$C$67,2,FALSE)*1000000000)</f>
        <v>2.2554270305740025E-2</v>
      </c>
    </row>
    <row r="64" spans="1:15" x14ac:dyDescent="0.2">
      <c r="A64">
        <v>1997</v>
      </c>
      <c r="B64" t="s">
        <v>53</v>
      </c>
      <c r="C64">
        <v>441400032</v>
      </c>
      <c r="D64">
        <v>733265472</v>
      </c>
      <c r="E64">
        <v>18507924</v>
      </c>
      <c r="F64">
        <v>26958876</v>
      </c>
      <c r="G64">
        <v>2437033</v>
      </c>
      <c r="H64">
        <v>21232150</v>
      </c>
      <c r="I64">
        <v>48191024</v>
      </c>
      <c r="J64">
        <v>2530837</v>
      </c>
      <c r="K64">
        <v>4974267</v>
      </c>
      <c r="L64">
        <v>22311096</v>
      </c>
      <c r="M64">
        <v>27285362</v>
      </c>
      <c r="O64" s="56">
        <f>(E64*'Core CPI Series'!C$66)/(VLOOKUP(A64,'Core CPI Series'!$B$2:$C$67,2,FALSE)*1000000000)</f>
        <v>3.213407255384771E-2</v>
      </c>
    </row>
    <row r="65" spans="1:15" x14ac:dyDescent="0.2">
      <c r="A65">
        <v>1998</v>
      </c>
      <c r="B65" t="s">
        <v>53</v>
      </c>
      <c r="C65">
        <v>261752064</v>
      </c>
      <c r="D65">
        <v>564825856</v>
      </c>
      <c r="E65">
        <v>35687388</v>
      </c>
      <c r="F65">
        <v>45024700</v>
      </c>
      <c r="G65">
        <v>2860070</v>
      </c>
      <c r="H65">
        <v>23711146</v>
      </c>
      <c r="I65">
        <v>68735848</v>
      </c>
      <c r="J65">
        <v>3328303</v>
      </c>
      <c r="K65">
        <v>5755294</v>
      </c>
      <c r="L65">
        <v>15251301</v>
      </c>
      <c r="M65">
        <v>21006596</v>
      </c>
      <c r="O65" s="56">
        <f>(E65*'Core CPI Series'!C$66)/(VLOOKUP(A65,'Core CPI Series'!$B$2:$C$67,2,FALSE)*1000000000)</f>
        <v>6.0576828307683704E-2</v>
      </c>
    </row>
    <row r="66" spans="1:15" x14ac:dyDescent="0.2">
      <c r="A66">
        <v>1999</v>
      </c>
      <c r="B66" t="s">
        <v>53</v>
      </c>
      <c r="C66">
        <v>413457344</v>
      </c>
      <c r="D66">
        <v>592968064</v>
      </c>
      <c r="E66">
        <v>29545632</v>
      </c>
      <c r="F66">
        <v>40212296</v>
      </c>
      <c r="G66">
        <v>2674150</v>
      </c>
      <c r="H66">
        <v>26697784</v>
      </c>
      <c r="I66">
        <v>66910080</v>
      </c>
      <c r="J66">
        <v>3606817</v>
      </c>
      <c r="K66">
        <v>5719094</v>
      </c>
      <c r="L66">
        <v>66461944</v>
      </c>
      <c r="M66">
        <v>72181040</v>
      </c>
      <c r="O66" s="56">
        <f>(E66*'Core CPI Series'!C$66)/(VLOOKUP(A66,'Core CPI Series'!$B$2:$C$67,2,FALSE)*1000000000)</f>
        <v>4.9133814218912275E-2</v>
      </c>
    </row>
    <row r="67" spans="1:15" x14ac:dyDescent="0.2">
      <c r="A67">
        <v>2000</v>
      </c>
      <c r="B67" t="s">
        <v>53</v>
      </c>
      <c r="C67">
        <v>1261791232</v>
      </c>
      <c r="D67">
        <v>1363395712</v>
      </c>
      <c r="E67">
        <v>19355654</v>
      </c>
      <c r="F67">
        <v>31036336</v>
      </c>
      <c r="G67">
        <v>3293417</v>
      </c>
      <c r="H67">
        <v>26149330</v>
      </c>
      <c r="I67">
        <v>57185668</v>
      </c>
      <c r="J67">
        <v>2934344</v>
      </c>
      <c r="K67">
        <v>5316491</v>
      </c>
      <c r="L67">
        <v>53390540</v>
      </c>
      <c r="M67">
        <v>58707032</v>
      </c>
      <c r="O67" s="56">
        <f>(E67*'Core CPI Series'!C$66)/(VLOOKUP(A67,'Core CPI Series'!$B$2:$C$67,2,FALSE)*1000000000)</f>
        <v>3.1421659968246071E-2</v>
      </c>
    </row>
    <row r="68" spans="1:15" x14ac:dyDescent="0.2">
      <c r="A68">
        <v>2001</v>
      </c>
      <c r="B68" t="s">
        <v>53</v>
      </c>
      <c r="C68">
        <v>653526400</v>
      </c>
      <c r="D68">
        <v>737673792</v>
      </c>
      <c r="E68">
        <v>21373068</v>
      </c>
      <c r="F68">
        <v>32175228</v>
      </c>
      <c r="G68">
        <v>4644657</v>
      </c>
      <c r="H68">
        <v>29157700</v>
      </c>
      <c r="I68">
        <v>61332928</v>
      </c>
      <c r="J68">
        <v>3248223</v>
      </c>
      <c r="K68">
        <v>5756346</v>
      </c>
      <c r="L68">
        <v>101559968</v>
      </c>
      <c r="M68">
        <v>107316312</v>
      </c>
      <c r="O68" s="56">
        <f>(E68*'Core CPI Series'!C$66)/(VLOOKUP(A68,'Core CPI Series'!$B$2:$C$67,2,FALSE)*1000000000)</f>
        <v>3.3795686505348553E-2</v>
      </c>
    </row>
    <row r="69" spans="1:15" x14ac:dyDescent="0.2">
      <c r="A69">
        <v>2002</v>
      </c>
      <c r="B69" t="s">
        <v>53</v>
      </c>
      <c r="C69">
        <v>235026672</v>
      </c>
      <c r="D69">
        <v>348483040</v>
      </c>
      <c r="E69">
        <v>25883356</v>
      </c>
      <c r="F69">
        <v>37772960</v>
      </c>
      <c r="G69">
        <v>10225663</v>
      </c>
      <c r="H69">
        <v>38537496</v>
      </c>
      <c r="I69">
        <v>76310456</v>
      </c>
      <c r="J69">
        <v>3016200</v>
      </c>
      <c r="K69">
        <v>6932805</v>
      </c>
      <c r="L69">
        <v>72666328</v>
      </c>
      <c r="M69">
        <v>79599128</v>
      </c>
      <c r="O69" s="56">
        <f>(E69*'Core CPI Series'!C$66)/(VLOOKUP(A69,'Core CPI Series'!$B$2:$C$67,2,FALSE)*1000000000)</f>
        <v>3.9999791552632953E-2</v>
      </c>
    </row>
    <row r="70" spans="1:15" x14ac:dyDescent="0.2">
      <c r="A70">
        <v>2003</v>
      </c>
      <c r="B70" t="s">
        <v>53</v>
      </c>
      <c r="C70">
        <v>424121952</v>
      </c>
      <c r="D70">
        <v>525688544</v>
      </c>
      <c r="E70">
        <v>38047132</v>
      </c>
      <c r="F70">
        <v>59356832</v>
      </c>
      <c r="G70">
        <v>13756533</v>
      </c>
      <c r="H70">
        <v>44174180</v>
      </c>
      <c r="I70">
        <v>103531008</v>
      </c>
      <c r="J70">
        <v>4238347</v>
      </c>
      <c r="K70">
        <v>8827915</v>
      </c>
      <c r="L70">
        <v>138660592</v>
      </c>
      <c r="M70">
        <v>147488512</v>
      </c>
      <c r="O70" s="56">
        <f>(E70*'Core CPI Series'!C$66)/(VLOOKUP(A70,'Core CPI Series'!$B$2:$C$67,2,FALSE)*1000000000)</f>
        <v>5.7950571770692197E-2</v>
      </c>
    </row>
    <row r="71" spans="1:15" x14ac:dyDescent="0.2">
      <c r="A71">
        <v>2004</v>
      </c>
      <c r="B71" t="s">
        <v>53</v>
      </c>
      <c r="C71">
        <v>381375552</v>
      </c>
      <c r="D71">
        <v>503483424</v>
      </c>
      <c r="E71">
        <v>40628368</v>
      </c>
      <c r="F71">
        <v>46707112</v>
      </c>
      <c r="G71">
        <v>19945254</v>
      </c>
      <c r="H71">
        <v>54458320</v>
      </c>
      <c r="I71">
        <v>101165432</v>
      </c>
      <c r="J71">
        <v>5563168</v>
      </c>
      <c r="K71">
        <v>9358065</v>
      </c>
      <c r="L71">
        <v>210874976</v>
      </c>
      <c r="M71">
        <v>220233040</v>
      </c>
      <c r="O71" s="56">
        <f>(E71*'Core CPI Series'!C$66)/(VLOOKUP(A71,'Core CPI Series'!$B$2:$C$67,2,FALSE)*1000000000)</f>
        <v>6.0806911745973316E-2</v>
      </c>
    </row>
    <row r="72" spans="1:15" x14ac:dyDescent="0.2">
      <c r="A72">
        <v>2005</v>
      </c>
      <c r="B72" t="s">
        <v>53</v>
      </c>
      <c r="C72">
        <v>393714080</v>
      </c>
      <c r="D72">
        <v>498680256</v>
      </c>
      <c r="E72">
        <v>38897728</v>
      </c>
      <c r="F72">
        <v>53454244</v>
      </c>
      <c r="G72">
        <v>14240300</v>
      </c>
      <c r="H72">
        <v>51642624</v>
      </c>
      <c r="I72">
        <v>105096864</v>
      </c>
      <c r="J72">
        <v>5892550</v>
      </c>
      <c r="K72">
        <v>11175611</v>
      </c>
      <c r="L72">
        <v>203540160</v>
      </c>
      <c r="M72">
        <v>214715776</v>
      </c>
      <c r="O72" s="56">
        <f>(E72*'Core CPI Series'!C$66)/(VLOOKUP(A72,'Core CPI Series'!$B$2:$C$67,2,FALSE)*1000000000)</f>
        <v>5.6992207442092234E-2</v>
      </c>
    </row>
    <row r="73" spans="1:15" x14ac:dyDescent="0.2">
      <c r="A73">
        <v>2006</v>
      </c>
      <c r="B73" t="s">
        <v>53</v>
      </c>
      <c r="C73">
        <v>443113120</v>
      </c>
      <c r="D73">
        <v>700438400</v>
      </c>
      <c r="E73">
        <v>35503608</v>
      </c>
      <c r="F73">
        <v>52103592</v>
      </c>
      <c r="G73">
        <v>24360816</v>
      </c>
      <c r="H73">
        <v>66073088</v>
      </c>
      <c r="I73">
        <v>118176680</v>
      </c>
      <c r="J73">
        <v>9738515</v>
      </c>
      <c r="K73">
        <v>18507616</v>
      </c>
      <c r="L73">
        <v>243278720</v>
      </c>
      <c r="M73">
        <v>261786336</v>
      </c>
      <c r="O73" s="56">
        <f>(E73*'Core CPI Series'!C$66)/(VLOOKUP(A73,'Core CPI Series'!$B$2:$C$67,2,FALSE)*1000000000)</f>
        <v>5.0743463477247522E-2</v>
      </c>
    </row>
    <row r="74" spans="1:15" x14ac:dyDescent="0.2">
      <c r="A74">
        <v>2007</v>
      </c>
      <c r="B74" t="s">
        <v>53</v>
      </c>
      <c r="C74">
        <v>508811936</v>
      </c>
      <c r="D74">
        <v>820997568</v>
      </c>
      <c r="E74">
        <v>36012336</v>
      </c>
      <c r="F74">
        <v>52172100</v>
      </c>
      <c r="G74">
        <v>23569230</v>
      </c>
      <c r="H74">
        <v>67221208</v>
      </c>
      <c r="I74">
        <v>119393304</v>
      </c>
      <c r="J74">
        <v>11986408</v>
      </c>
      <c r="K74">
        <v>22089060</v>
      </c>
      <c r="L74">
        <v>102120896</v>
      </c>
      <c r="M74">
        <v>124209960</v>
      </c>
      <c r="O74" s="56">
        <f>(E74*'Core CPI Series'!C$66)/(VLOOKUP(A74,'Core CPI Series'!$B$2:$C$67,2,FALSE)*1000000000)</f>
        <v>5.0296084323892161E-2</v>
      </c>
    </row>
    <row r="75" spans="1:15" x14ac:dyDescent="0.2">
      <c r="A75">
        <v>2008</v>
      </c>
      <c r="B75" t="s">
        <v>53</v>
      </c>
      <c r="C75">
        <v>733321600</v>
      </c>
      <c r="D75">
        <v>1095003520</v>
      </c>
      <c r="E75">
        <v>39520292</v>
      </c>
      <c r="F75">
        <v>52871960</v>
      </c>
      <c r="G75">
        <v>22033448</v>
      </c>
      <c r="H75">
        <v>66548900</v>
      </c>
      <c r="I75">
        <v>119420864</v>
      </c>
      <c r="J75">
        <v>9637229</v>
      </c>
      <c r="K75">
        <v>19229676</v>
      </c>
      <c r="L75">
        <v>93009112</v>
      </c>
      <c r="M75">
        <v>112238784</v>
      </c>
      <c r="O75" s="56">
        <f>(E75*'Core CPI Series'!C$66)/(VLOOKUP(A75,'Core CPI Series'!$B$2:$C$67,2,FALSE)*1000000000)</f>
        <v>5.3956136491572514E-2</v>
      </c>
    </row>
    <row r="76" spans="1:15" x14ac:dyDescent="0.2">
      <c r="A76">
        <v>2009</v>
      </c>
      <c r="B76" t="s">
        <v>53</v>
      </c>
      <c r="C76">
        <v>650759488</v>
      </c>
      <c r="D76">
        <v>931380928</v>
      </c>
      <c r="E76">
        <v>48178664</v>
      </c>
      <c r="F76">
        <v>63827200</v>
      </c>
      <c r="G76">
        <v>36039056</v>
      </c>
      <c r="H76">
        <v>81616072</v>
      </c>
      <c r="I76">
        <v>145443280</v>
      </c>
      <c r="J76">
        <v>11017605</v>
      </c>
      <c r="K76">
        <v>21125576</v>
      </c>
      <c r="L76">
        <v>64718864</v>
      </c>
      <c r="M76">
        <v>85844440</v>
      </c>
      <c r="O76" s="56">
        <f>(E76*'Core CPI Series'!C$66)/(VLOOKUP(A76,'Core CPI Series'!$B$2:$C$67,2,FALSE)*1000000000)</f>
        <v>6.467563159307968E-2</v>
      </c>
    </row>
    <row r="77" spans="1:15" x14ac:dyDescent="0.2">
      <c r="A77">
        <v>2010</v>
      </c>
      <c r="B77" t="s">
        <v>53</v>
      </c>
      <c r="C77">
        <v>702474368</v>
      </c>
      <c r="D77">
        <v>988676416</v>
      </c>
      <c r="E77">
        <v>43450728</v>
      </c>
      <c r="F77">
        <v>58341312</v>
      </c>
      <c r="G77">
        <v>3074522</v>
      </c>
      <c r="H77">
        <v>51072188</v>
      </c>
      <c r="I77">
        <v>109413496</v>
      </c>
      <c r="J77">
        <v>10813240</v>
      </c>
      <c r="K77">
        <v>21066750</v>
      </c>
      <c r="L77">
        <v>71051128</v>
      </c>
      <c r="M77">
        <v>92117880</v>
      </c>
      <c r="O77" s="56">
        <f>(E77*'Core CPI Series'!C$66)/(VLOOKUP(A77,'Core CPI Series'!$B$2:$C$67,2,FALSE)*1000000000)</f>
        <v>5.7775597218527742E-2</v>
      </c>
    </row>
    <row r="78" spans="1:15" x14ac:dyDescent="0.2">
      <c r="A78">
        <v>2011</v>
      </c>
      <c r="B78" t="s">
        <v>53</v>
      </c>
      <c r="C78">
        <v>1182157440</v>
      </c>
      <c r="D78">
        <v>1461796992</v>
      </c>
      <c r="E78">
        <v>42849564</v>
      </c>
      <c r="F78">
        <v>59758196</v>
      </c>
      <c r="G78">
        <v>18451840</v>
      </c>
      <c r="H78">
        <v>67838296</v>
      </c>
      <c r="I78">
        <v>127596496</v>
      </c>
      <c r="J78">
        <v>11285765</v>
      </c>
      <c r="K78">
        <v>21533588</v>
      </c>
      <c r="L78">
        <v>39868456</v>
      </c>
      <c r="M78">
        <v>61402044</v>
      </c>
      <c r="O78" s="56">
        <f>(E78*'Core CPI Series'!C$66)/(VLOOKUP(A78,'Core CPI Series'!$B$2:$C$67,2,FALSE)*1000000000)</f>
        <v>5.6046773987774898E-2</v>
      </c>
    </row>
    <row r="79" spans="1:15" x14ac:dyDescent="0.2">
      <c r="A79">
        <v>2012</v>
      </c>
      <c r="B79" t="s">
        <v>53</v>
      </c>
      <c r="C79">
        <v>1351660928</v>
      </c>
      <c r="D79">
        <v>1685980672</v>
      </c>
      <c r="E79">
        <v>46177552</v>
      </c>
      <c r="F79">
        <v>62887872</v>
      </c>
      <c r="G79">
        <v>20712884</v>
      </c>
      <c r="H79">
        <v>78030176</v>
      </c>
      <c r="I79">
        <v>140918048</v>
      </c>
      <c r="J79">
        <v>11282198</v>
      </c>
      <c r="K79">
        <v>22059108</v>
      </c>
      <c r="L79">
        <v>53476344</v>
      </c>
      <c r="M79">
        <v>75535448</v>
      </c>
      <c r="O79" s="56">
        <f>(E79*'Core CPI Series'!C$66)/(VLOOKUP(A79,'Core CPI Series'!$B$2:$C$67,2,FALSE)*1000000000)</f>
        <v>5.9150931111444767E-2</v>
      </c>
    </row>
    <row r="80" spans="1:15" x14ac:dyDescent="0.2">
      <c r="A80">
        <v>2013</v>
      </c>
      <c r="B80" t="s">
        <v>53</v>
      </c>
      <c r="C80">
        <v>1667798400</v>
      </c>
      <c r="D80">
        <v>2228561408</v>
      </c>
      <c r="E80">
        <v>41094320</v>
      </c>
      <c r="F80">
        <v>56680784</v>
      </c>
      <c r="G80">
        <v>21634202</v>
      </c>
      <c r="H80">
        <v>72101472</v>
      </c>
      <c r="I80">
        <v>128782256</v>
      </c>
      <c r="J80">
        <v>28655048</v>
      </c>
      <c r="K80">
        <v>39718600</v>
      </c>
      <c r="L80">
        <v>56139940</v>
      </c>
      <c r="M80">
        <v>95858544</v>
      </c>
      <c r="O80" s="56">
        <f>(E80*'Core CPI Series'!C$66)/(VLOOKUP(A80,'Core CPI Series'!$B$2:$C$67,2,FALSE)*1000000000)</f>
        <v>5.172697227360102E-2</v>
      </c>
    </row>
    <row r="81" spans="1:15" x14ac:dyDescent="0.2">
      <c r="A81">
        <v>2014</v>
      </c>
      <c r="B81" t="s">
        <v>53</v>
      </c>
      <c r="C81">
        <v>1930778496</v>
      </c>
      <c r="D81">
        <v>2196135680</v>
      </c>
      <c r="E81">
        <v>40806424</v>
      </c>
      <c r="F81">
        <v>55544904</v>
      </c>
      <c r="G81">
        <v>11348714</v>
      </c>
      <c r="H81">
        <v>56673652</v>
      </c>
      <c r="I81">
        <v>112218560</v>
      </c>
      <c r="J81">
        <v>19856866</v>
      </c>
      <c r="K81">
        <v>31489912</v>
      </c>
      <c r="L81">
        <v>49603604</v>
      </c>
      <c r="M81">
        <v>81093520</v>
      </c>
      <c r="O81" s="56">
        <f>(E81*'Core CPI Series'!C$66)/(VLOOKUP(A81,'Core CPI Series'!$B$2:$C$67,2,FALSE)*1000000000)</f>
        <v>5.0481116579044499E-2</v>
      </c>
    </row>
    <row r="82" spans="1:15" x14ac:dyDescent="0.2">
      <c r="A82">
        <v>2015</v>
      </c>
      <c r="B82" t="s">
        <v>53</v>
      </c>
      <c r="C82">
        <v>1671028608</v>
      </c>
      <c r="D82">
        <v>1857600768</v>
      </c>
      <c r="E82">
        <v>41183868</v>
      </c>
      <c r="F82">
        <v>57181484</v>
      </c>
      <c r="G82">
        <v>32837816</v>
      </c>
      <c r="H82">
        <v>84260584</v>
      </c>
      <c r="I82">
        <v>141442064</v>
      </c>
      <c r="J82">
        <v>18438916</v>
      </c>
      <c r="K82">
        <v>30847864</v>
      </c>
      <c r="L82">
        <v>54493232</v>
      </c>
      <c r="M82">
        <v>85341096</v>
      </c>
      <c r="O82" s="56">
        <f>(E82*'Core CPI Series'!C$66)/(VLOOKUP(A82,'Core CPI Series'!$B$2:$C$67,2,FALSE)*1000000000)</f>
        <v>5.0032132980848888E-2</v>
      </c>
    </row>
    <row r="83" spans="1:15" x14ac:dyDescent="0.2">
      <c r="A83">
        <v>2016</v>
      </c>
      <c r="B83" t="s">
        <v>53</v>
      </c>
      <c r="C83">
        <v>1589224832</v>
      </c>
      <c r="D83">
        <v>1739699072</v>
      </c>
      <c r="E83">
        <v>45182924</v>
      </c>
      <c r="F83">
        <v>61165604</v>
      </c>
      <c r="G83">
        <v>28855924</v>
      </c>
      <c r="H83">
        <v>79865360</v>
      </c>
      <c r="I83">
        <v>141030960</v>
      </c>
      <c r="J83">
        <v>17759358</v>
      </c>
      <c r="K83">
        <v>33884584</v>
      </c>
      <c r="L83">
        <v>53991976</v>
      </c>
      <c r="M83">
        <v>87876560</v>
      </c>
      <c r="O83" s="56">
        <f>(E83*'Core CPI Series'!C$66)/(VLOOKUP(A83,'Core CPI Series'!$B$2:$C$67,2,FALSE)*1000000000)</f>
        <v>5.370522289506785E-2</v>
      </c>
    </row>
    <row r="84" spans="1:15" x14ac:dyDescent="0.2">
      <c r="A84">
        <v>2017</v>
      </c>
      <c r="B84" t="s">
        <v>53</v>
      </c>
      <c r="C84">
        <v>1757208320</v>
      </c>
      <c r="D84">
        <v>1919140352</v>
      </c>
      <c r="E84">
        <v>44974256</v>
      </c>
      <c r="F84">
        <v>60021188</v>
      </c>
      <c r="G84">
        <v>36641612</v>
      </c>
      <c r="H84">
        <v>84354856</v>
      </c>
      <c r="I84">
        <v>144376048</v>
      </c>
      <c r="J84">
        <v>16365161</v>
      </c>
      <c r="K84">
        <v>33710076</v>
      </c>
      <c r="L84">
        <v>53385432</v>
      </c>
      <c r="M84">
        <v>87095504</v>
      </c>
      <c r="O84" s="56">
        <f>(E84*'Core CPI Series'!C$66)/(VLOOKUP(A84,'Core CPI Series'!$B$2:$C$67,2,FALSE)*1000000000)</f>
        <v>5.2492810447391951E-2</v>
      </c>
    </row>
    <row r="85" spans="1:15" x14ac:dyDescent="0.2">
      <c r="A85">
        <v>2018</v>
      </c>
      <c r="B85" t="s">
        <v>53</v>
      </c>
      <c r="C85">
        <v>1868120704</v>
      </c>
      <c r="D85">
        <v>2047234432</v>
      </c>
      <c r="E85">
        <v>49790820</v>
      </c>
      <c r="F85">
        <v>65159352</v>
      </c>
      <c r="G85">
        <v>24830172</v>
      </c>
      <c r="H85">
        <v>73573576</v>
      </c>
      <c r="I85">
        <v>138732928</v>
      </c>
      <c r="J85">
        <v>14791551</v>
      </c>
      <c r="K85">
        <v>36166052</v>
      </c>
      <c r="L85">
        <v>52409192</v>
      </c>
      <c r="M85">
        <v>88575248</v>
      </c>
      <c r="O85" s="56">
        <f>(E85*'Core CPI Series'!C$66)/(VLOOKUP(A85,'Core CPI Series'!$B$2:$C$67,2,FALSE)*1000000000)</f>
        <v>5.6894146874445266E-2</v>
      </c>
    </row>
    <row r="86" spans="1:15" x14ac:dyDescent="0.2">
      <c r="A86">
        <v>2019</v>
      </c>
      <c r="B86" t="s">
        <v>53</v>
      </c>
      <c r="C86">
        <v>1731994880</v>
      </c>
      <c r="D86">
        <v>1882315520</v>
      </c>
      <c r="E86">
        <v>66998232</v>
      </c>
      <c r="F86">
        <v>88303192</v>
      </c>
      <c r="G86">
        <v>39442660</v>
      </c>
      <c r="H86">
        <v>92187840</v>
      </c>
      <c r="I86">
        <v>180491024</v>
      </c>
      <c r="J86">
        <v>18139880</v>
      </c>
      <c r="K86">
        <v>40990552</v>
      </c>
      <c r="L86">
        <v>55438800</v>
      </c>
      <c r="M86">
        <v>96429352</v>
      </c>
      <c r="O86" s="56">
        <f>(E86*'Core CPI Series'!C$66)/(VLOOKUP(A86,'Core CPI Series'!$B$2:$C$67,2,FALSE)*1000000000)</f>
        <v>7.4912667334885399E-2</v>
      </c>
    </row>
    <row r="87" spans="1:15" x14ac:dyDescent="0.2">
      <c r="A87">
        <v>2020</v>
      </c>
      <c r="B87" t="s">
        <v>53</v>
      </c>
      <c r="C87">
        <v>1712801152</v>
      </c>
      <c r="D87">
        <v>1849081216</v>
      </c>
      <c r="E87">
        <v>149925136</v>
      </c>
      <c r="F87">
        <v>181813584</v>
      </c>
      <c r="G87">
        <v>61841000</v>
      </c>
      <c r="H87">
        <v>134851200</v>
      </c>
      <c r="I87">
        <v>316664768</v>
      </c>
      <c r="J87">
        <v>26863352</v>
      </c>
      <c r="K87">
        <v>48676112</v>
      </c>
      <c r="L87">
        <v>51075864</v>
      </c>
      <c r="M87">
        <v>99751976</v>
      </c>
      <c r="O87" s="56">
        <f>(E87*'Core CPI Series'!C$66)/(VLOOKUP(A87,'Core CPI Series'!$B$2:$C$67,2,FALSE)*1000000000)</f>
        <v>0.16481995250678813</v>
      </c>
    </row>
    <row r="88" spans="1:15" x14ac:dyDescent="0.2">
      <c r="A88">
        <v>2021</v>
      </c>
      <c r="B88" t="s">
        <v>53</v>
      </c>
      <c r="C88">
        <v>1684386048</v>
      </c>
      <c r="D88">
        <v>1881941248</v>
      </c>
      <c r="E88">
        <v>108643728</v>
      </c>
      <c r="F88">
        <v>138985552</v>
      </c>
      <c r="G88">
        <v>87876496</v>
      </c>
      <c r="H88">
        <v>150630208</v>
      </c>
      <c r="I88">
        <v>289615744</v>
      </c>
      <c r="J88">
        <v>24432908</v>
      </c>
      <c r="K88">
        <v>51144312</v>
      </c>
      <c r="L88">
        <v>58612020</v>
      </c>
      <c r="M88">
        <v>109756336</v>
      </c>
      <c r="O88" s="56">
        <f>(E88*'Core CPI Series'!C$66)/(VLOOKUP(A88,'Core CPI Series'!$B$2:$C$67,2,FALSE)*1000000000)</f>
        <v>0.11532760289154498</v>
      </c>
    </row>
    <row r="89" spans="1:15" x14ac:dyDescent="0.2">
      <c r="A89">
        <v>2022</v>
      </c>
      <c r="B89" t="s">
        <v>53</v>
      </c>
      <c r="C89">
        <v>1889131904</v>
      </c>
      <c r="D89">
        <v>2272867840</v>
      </c>
      <c r="E89">
        <v>148384432</v>
      </c>
      <c r="F89">
        <v>180874368</v>
      </c>
      <c r="G89">
        <v>92180160</v>
      </c>
      <c r="H89">
        <v>157041120</v>
      </c>
      <c r="I89">
        <v>337915488</v>
      </c>
      <c r="J89">
        <v>25278444</v>
      </c>
      <c r="K89">
        <v>51271520</v>
      </c>
      <c r="L89">
        <v>60946488</v>
      </c>
      <c r="M89">
        <v>112218008</v>
      </c>
      <c r="O89" s="56">
        <f>(E89*'Core CPI Series'!C$66)/(VLOOKUP(A89,'Core CPI Series'!$B$2:$C$67,2,FALSE)*1000000000)</f>
        <v>0.14838443199999998</v>
      </c>
    </row>
    <row r="90" spans="1:15" x14ac:dyDescent="0.2">
      <c r="A90">
        <v>2023</v>
      </c>
      <c r="B90" t="s">
        <v>53</v>
      </c>
      <c r="C90">
        <v>1310069760</v>
      </c>
      <c r="D90">
        <v>1544054016</v>
      </c>
      <c r="E90">
        <v>166066544</v>
      </c>
      <c r="F90">
        <v>197593584</v>
      </c>
      <c r="G90">
        <v>97352720</v>
      </c>
      <c r="H90">
        <v>166099344</v>
      </c>
      <c r="I90">
        <v>363692928</v>
      </c>
      <c r="J90">
        <v>33837960</v>
      </c>
      <c r="K90">
        <v>61287632</v>
      </c>
      <c r="L90">
        <v>63179600</v>
      </c>
      <c r="M90">
        <v>124467232</v>
      </c>
      <c r="O90" s="56">
        <f>(E90*'Core CPI Series'!C$66)/(VLOOKUP(A90,'Core CPI Series'!$B$2:$C$67,2,FALSE)*1000000000)</f>
        <v>0.15848717373067409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Core CPI Series</vt:lpstr>
      <vt:lpstr>Fig 2A - Residential Rates</vt:lpstr>
      <vt:lpstr>Fig 2B - Commercial Rates</vt:lpstr>
      <vt:lpstr>Fig 3 - IOU Rate Base</vt:lpstr>
      <vt:lpstr>Fig 6 - IOU O&amp;M</vt:lpstr>
      <vt:lpstr>Fig 8 - POU Util. Plant</vt:lpstr>
      <vt:lpstr>Fig 9 - POU O&amp;M</vt:lpstr>
      <vt:lpstr>Fig 10 - CCA JRCs</vt:lpstr>
      <vt:lpstr>PUDL - Extended IOU O&amp;M</vt:lpstr>
      <vt:lpstr>EIA 861 - CA LSEs</vt:lpstr>
      <vt:lpstr>Table 1 - 2022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2024-09-23T09:53:45Z</dcterms:created>
  <dcterms:modified xsi:type="dcterms:W3CDTF">2024-09-24T08:59:08Z</dcterms:modified>
</cp:coreProperties>
</file>