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Fig6_ResRateTimeSeries/"/>
    </mc:Choice>
  </mc:AlternateContent>
  <xr:revisionPtr revIDLastSave="0" documentId="13_ncr:1_{96298962-80C8-C84C-B450-0432C840A29E}" xr6:coauthVersionLast="47" xr6:coauthVersionMax="47" xr10:uidLastSave="{00000000-0000-0000-0000-000000000000}"/>
  <bookViews>
    <workbookView xWindow="0" yWindow="500" windowWidth="25600" windowHeight="14260" activeTab="2" xr2:uid="{2ED96552-DAFC-C646-85A2-7A03F356D192}"/>
  </bookViews>
  <sheets>
    <sheet name="residential" sheetId="1" r:id="rId1"/>
    <sheet name="commercial" sheetId="3" r:id="rId2"/>
    <sheet name="industrial" sheetId="4" r:id="rId3"/>
  </sheets>
  <definedNames>
    <definedName name="_xlnm._FilterDatabase" localSheetId="0" hidden="1">residential!$A$1:$G$136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4" l="1"/>
  <c r="F45" i="4"/>
  <c r="F44" i="4"/>
  <c r="F40" i="4"/>
  <c r="F36" i="4"/>
  <c r="F32" i="4"/>
  <c r="F33" i="4"/>
  <c r="F34" i="4"/>
  <c r="F35" i="4"/>
  <c r="F37" i="4"/>
  <c r="F38" i="4"/>
  <c r="F39" i="4"/>
  <c r="F41" i="4"/>
  <c r="F43" i="4"/>
  <c r="F42" i="4"/>
  <c r="E26" i="4"/>
  <c r="D26" i="4"/>
  <c r="E25" i="4"/>
  <c r="D25" i="4"/>
  <c r="D24" i="4"/>
  <c r="E24" i="4"/>
  <c r="E23" i="4"/>
  <c r="D23" i="4"/>
  <c r="E22" i="4"/>
  <c r="D22" i="4"/>
  <c r="E21" i="4"/>
  <c r="D21" i="4"/>
  <c r="E20" i="4"/>
  <c r="D20" i="4"/>
  <c r="E27" i="4"/>
  <c r="D27" i="4"/>
  <c r="C27" i="4"/>
  <c r="D28" i="4"/>
  <c r="C28" i="4"/>
  <c r="E29" i="4"/>
  <c r="D29" i="4"/>
  <c r="C29" i="4"/>
  <c r="E30" i="4"/>
  <c r="D30" i="4"/>
  <c r="C30" i="4"/>
  <c r="E31" i="4"/>
  <c r="D31" i="4"/>
  <c r="C31" i="4"/>
  <c r="D31" i="3" l="1"/>
  <c r="D30" i="3"/>
  <c r="D29" i="3"/>
  <c r="D28" i="3"/>
  <c r="D27" i="3"/>
  <c r="D26" i="3"/>
  <c r="D25" i="3"/>
  <c r="D24" i="3"/>
  <c r="D23" i="3"/>
  <c r="D22" i="3"/>
  <c r="D21" i="3"/>
  <c r="D20" i="3"/>
  <c r="C20" i="3" l="1"/>
  <c r="C21" i="3"/>
  <c r="C22" i="3"/>
  <c r="C23" i="3"/>
  <c r="C24" i="3"/>
  <c r="C25" i="3"/>
  <c r="C26" i="3"/>
  <c r="C27" i="3"/>
  <c r="C28" i="3"/>
  <c r="C29" i="3"/>
  <c r="C30" i="3"/>
  <c r="C31" i="3"/>
  <c r="D32" i="1" l="1"/>
  <c r="D53" i="1"/>
  <c r="E61" i="1"/>
  <c r="D81" i="1" s="1"/>
  <c r="E60" i="1"/>
  <c r="D60" i="1" s="1"/>
  <c r="E59" i="1"/>
  <c r="D59" i="1" s="1"/>
  <c r="E58" i="1"/>
  <c r="D78" i="1" s="1"/>
  <c r="E57" i="1"/>
  <c r="D77" i="1" s="1"/>
  <c r="E56" i="1"/>
  <c r="D56" i="1" s="1"/>
  <c r="E19" i="1"/>
  <c r="D39" i="1" s="1"/>
  <c r="E20" i="1"/>
  <c r="D40" i="1" s="1"/>
  <c r="E18" i="1"/>
  <c r="D38" i="1" s="1"/>
  <c r="E21" i="1"/>
  <c r="D41" i="1" s="1"/>
  <c r="E17" i="1"/>
  <c r="E16" i="1"/>
  <c r="D107" i="1"/>
  <c r="D105" i="1"/>
  <c r="D106" i="1"/>
  <c r="D104" i="1"/>
  <c r="D103" i="1"/>
  <c r="D102" i="1"/>
  <c r="D101" i="1"/>
  <c r="D100" i="1"/>
  <c r="D57" i="1"/>
  <c r="D55" i="1"/>
  <c r="D54" i="1"/>
  <c r="D52" i="1"/>
  <c r="D51" i="1"/>
  <c r="D50" i="1"/>
  <c r="D61" i="1" l="1"/>
  <c r="D76" i="1"/>
  <c r="D80" i="1"/>
  <c r="D79" i="1"/>
  <c r="D58" i="1"/>
</calcChain>
</file>

<file path=xl/sharedStrings.xml><?xml version="1.0" encoding="utf-8"?>
<sst xmlns="http://schemas.openxmlformats.org/spreadsheetml/2006/main" count="727" uniqueCount="58">
  <si>
    <t>Utility</t>
  </si>
  <si>
    <t>PG&amp;E</t>
  </si>
  <si>
    <t>MCE</t>
  </si>
  <si>
    <t>SCE</t>
  </si>
  <si>
    <t>LADWP</t>
  </si>
  <si>
    <t>SMUD</t>
  </si>
  <si>
    <t>SDG&amp;E</t>
  </si>
  <si>
    <t>NA</t>
  </si>
  <si>
    <t>CPA-SC</t>
  </si>
  <si>
    <t>https://www.smud.org/en/Rate-Information/Residential-rates/Fixed-Rate</t>
  </si>
  <si>
    <t>https://www.smud.org/-/media/Documents/Corporate/About-Us/Company-Information/Reports-and-Documents/GM-Reports/2015-GM-Rate-Report-Vol-1.ashx</t>
  </si>
  <si>
    <t>https://www.smud.org/-/media/Documents/Corporate/About-Us/Company-Information/Reports-and-Documents/GM-Reports/2017-GM-Rate-Report-Vol-2.ashx</t>
  </si>
  <si>
    <t>https://www.smud.org/-/media/Documents/Corporate/About-Us/Company-Information/Reports-and-Documents/Rates-Resolution-18-09-09.ashx</t>
  </si>
  <si>
    <t>https://www.smud.org/-/media/Documents/Corporate/About-Us/Company-Information/Reports-and-Documents/2014-2021/2021/SMUD-General-Resolution-No-21-09-06.ashx</t>
  </si>
  <si>
    <t>https://www.smud.org/-/media/Documents/Rate-Information/Rate-Archive/Resolution-No-190601.ashx</t>
  </si>
  <si>
    <t>Email from SMUD</t>
  </si>
  <si>
    <t>PDFs</t>
  </si>
  <si>
    <t>PDFs (note: for Feb, not Jan)</t>
  </si>
  <si>
    <t>Source</t>
  </si>
  <si>
    <t>Baseline Delivery Service Rate + 2017 PCIA ($/kWh) [included for convenience only, when calculating CCA rate totals]</t>
  </si>
  <si>
    <t>PDFs (note leanpower)</t>
  </si>
  <si>
    <t>Type</t>
  </si>
  <si>
    <t>IOU</t>
  </si>
  <si>
    <t>CCA</t>
  </si>
  <si>
    <t>POU</t>
  </si>
  <si>
    <t>Rate Name</t>
  </si>
  <si>
    <t>A1</t>
  </si>
  <si>
    <t>TOU-A</t>
  </si>
  <si>
    <t>GSN_T / CITS-0</t>
  </si>
  <si>
    <t>Power Rate Master file, emailed</t>
  </si>
  <si>
    <t>Power rate master file, emailed</t>
  </si>
  <si>
    <t>GS-1</t>
  </si>
  <si>
    <t>A1-A</t>
  </si>
  <si>
    <t>A3-A</t>
  </si>
  <si>
    <t>TOU-8</t>
  </si>
  <si>
    <t>Note: below 2kV, Option D/D-CPP</t>
  </si>
  <si>
    <t>Note: below 2kV, Option CPP</t>
  </si>
  <si>
    <t>High Peak  ($/kWh)</t>
  </si>
  <si>
    <t>Facilities Demand Charge ($/kW)</t>
  </si>
  <si>
    <t>E-19</t>
  </si>
  <si>
    <t>Note</t>
  </si>
  <si>
    <t>Fixed Monthly ($/mo)</t>
  </si>
  <si>
    <t>B-19</t>
  </si>
  <si>
    <t>Note: Mandatory, secondary service. PDP pricing ignore</t>
  </si>
  <si>
    <t>Note: Mandatory, secondary service. PDP pricing ignored. Switching from E-19 to B-19 from March 1, 2021, due to new TOU times.</t>
  </si>
  <si>
    <t>Year</t>
  </si>
  <si>
    <t>Mid Peak  ($/kWh)</t>
  </si>
  <si>
    <t>Low Peak   ($/kWh)</t>
  </si>
  <si>
    <t>Fixed Charge ($/mo)</t>
  </si>
  <si>
    <t>Flat/Tier1 Energy Charge  ($/kWh)</t>
  </si>
  <si>
    <t>General Notes</t>
  </si>
  <si>
    <t>Rates as of January 1</t>
  </si>
  <si>
    <t>Tier 1 Rate ($/kWh)</t>
  </si>
  <si>
    <t>LEGEND</t>
  </si>
  <si>
    <t>TODO</t>
  </si>
  <si>
    <t>Data not available</t>
  </si>
  <si>
    <t>Rate chosen for &lt;20 kW peak demand</t>
  </si>
  <si>
    <t>Rate chosen for &gt;500 kW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</si>
</sst>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6" formatCode="_(&quot;$&quot;* #,##0.00000_);_(&quot;$&quot;* \(#,##0.00000\);_(&quot;$&quot;* &quot;-&quot;??_);_(@_)"/>
    <numFmt numFmtId="172" formatCode="_(&quot;$&quot;* #,##0.0000_);_(&quot;$&quot;* \(#,##0.0000\);_(&quot;$&quot;* &quot;-&quot;??_);_(@_)"/>
    <numFmt numFmtId="173" formatCode="_(&quot;$&quot;* #,##0.000000_);_(&quot;$&quot;* \(#,##0.000000\);_(&quot;$&quot;* &quot;-&quot;??_);_(@_)"/>
  </numFmts>
  <fonts count="16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Arial"/>
      <family val="2"/>
    </font>
    <font>
      <sz val="8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ArialMT"/>
    </font>
    <font>
      <b/>
      <sz val="10"/>
      <color theme="1"/>
      <name val="Arial"/>
      <family val="2"/>
    </font>
    <font>
      <sz val="10"/>
      <color rgb="FF072D3D"/>
      <name val="Arial"/>
      <family val="2"/>
    </font>
    <font>
      <sz val="10"/>
      <color rgb="FF0B243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44" fontId="6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2" xfId="0" applyBorder="1"/>
    <xf numFmtId="166" fontId="4" fillId="0" borderId="2" xfId="2" applyNumberFormat="1" applyFont="1" applyBorder="1"/>
    <xf numFmtId="0" fontId="0" fillId="2" borderId="2" xfId="0" applyFill="1" applyBorder="1"/>
    <xf numFmtId="172" fontId="4" fillId="0" borderId="2" xfId="2" applyNumberFormat="1" applyFont="1" applyBorder="1"/>
    <xf numFmtId="166" fontId="4" fillId="0" borderId="2" xfId="2" applyNumberFormat="1" applyFont="1" applyBorder="1" applyAlignment="1">
      <alignment horizontal="center" vertical="center" wrapText="1"/>
    </xf>
    <xf numFmtId="166" fontId="8" fillId="0" borderId="2" xfId="2" applyNumberFormat="1" applyFont="1" applyBorder="1"/>
    <xf numFmtId="166" fontId="8" fillId="2" borderId="2" xfId="2" applyNumberFormat="1" applyFont="1" applyFill="1" applyBorder="1"/>
    <xf numFmtId="166" fontId="9" fillId="0" borderId="2" xfId="2" applyNumberFormat="1" applyFont="1" applyBorder="1"/>
    <xf numFmtId="166" fontId="8" fillId="5" borderId="2" xfId="2" applyNumberFormat="1" applyFont="1" applyFill="1" applyBorder="1" applyAlignment="1">
      <alignment horizontal="center" vertical="center" wrapText="1"/>
    </xf>
    <xf numFmtId="166" fontId="8" fillId="0" borderId="2" xfId="2" applyNumberFormat="1" applyFont="1" applyBorder="1" applyAlignment="1">
      <alignment horizontal="center" vertical="center" wrapText="1"/>
    </xf>
    <xf numFmtId="166" fontId="8" fillId="0" borderId="2" xfId="2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8" fillId="0" borderId="2" xfId="0" applyFont="1" applyBorder="1"/>
    <xf numFmtId="172" fontId="2" fillId="0" borderId="2" xfId="2" applyNumberFormat="1" applyFont="1" applyBorder="1"/>
    <xf numFmtId="172" fontId="8" fillId="0" borderId="2" xfId="2" applyNumberFormat="1" applyFont="1" applyBorder="1"/>
    <xf numFmtId="172" fontId="4" fillId="4" borderId="2" xfId="2" applyNumberFormat="1" applyFont="1" applyFill="1" applyBorder="1" applyAlignment="1">
      <alignment horizontal="center" vertical="center" wrapText="1"/>
    </xf>
    <xf numFmtId="172" fontId="8" fillId="2" borderId="2" xfId="2" applyNumberFormat="1" applyFont="1" applyFill="1" applyBorder="1"/>
    <xf numFmtId="172" fontId="9" fillId="0" borderId="2" xfId="2" applyNumberFormat="1" applyFont="1" applyBorder="1"/>
    <xf numFmtId="0" fontId="8" fillId="2" borderId="2" xfId="0" applyFont="1" applyFill="1" applyBorder="1"/>
    <xf numFmtId="0" fontId="13" fillId="3" borderId="2" xfId="0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2" borderId="2" xfId="0" applyFont="1" applyFill="1" applyBorder="1"/>
    <xf numFmtId="173" fontId="9" fillId="0" borderId="2" xfId="2" applyNumberFormat="1" applyFont="1" applyBorder="1"/>
    <xf numFmtId="173" fontId="2" fillId="0" borderId="2" xfId="2" applyNumberFormat="1" applyFont="1" applyBorder="1"/>
    <xf numFmtId="173" fontId="9" fillId="2" borderId="2" xfId="2" applyNumberFormat="1" applyFont="1" applyFill="1" applyBorder="1"/>
    <xf numFmtId="173" fontId="14" fillId="0" borderId="2" xfId="2" applyNumberFormat="1" applyFont="1" applyBorder="1"/>
    <xf numFmtId="173" fontId="15" fillId="0" borderId="2" xfId="2" applyNumberFormat="1" applyFont="1" applyBorder="1"/>
    <xf numFmtId="173" fontId="4" fillId="0" borderId="2" xfId="2" applyNumberFormat="1" applyFont="1" applyBorder="1" applyAlignment="1">
      <alignment horizontal="right"/>
    </xf>
    <xf numFmtId="0" fontId="9" fillId="2" borderId="2" xfId="2" applyNumberFormat="1" applyFont="1" applyFill="1" applyBorder="1"/>
    <xf numFmtId="173" fontId="9" fillId="0" borderId="2" xfId="2" applyNumberFormat="1" applyFont="1" applyFill="1" applyBorder="1"/>
    <xf numFmtId="0" fontId="9" fillId="0" borderId="2" xfId="0" applyFont="1" applyFill="1" applyBorder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173" fontId="9" fillId="6" borderId="2" xfId="2" applyNumberFormat="1" applyFont="1" applyFill="1" applyBorder="1"/>
    <xf numFmtId="0" fontId="0" fillId="6" borderId="0" xfId="0" applyFill="1"/>
    <xf numFmtId="172" fontId="2" fillId="6" borderId="2" xfId="2" applyNumberFormat="1" applyFont="1" applyFill="1" applyBorder="1"/>
    <xf numFmtId="172" fontId="8" fillId="6" borderId="2" xfId="2" applyNumberFormat="1" applyFont="1" applyFill="1" applyBorder="1"/>
    <xf numFmtId="172" fontId="4" fillId="7" borderId="2" xfId="2" applyNumberFormat="1" applyFont="1" applyFill="1" applyBorder="1" applyAlignment="1">
      <alignment horizontal="center" vertical="center" wrapText="1"/>
    </xf>
    <xf numFmtId="172" fontId="11" fillId="6" borderId="2" xfId="2" applyNumberFormat="1" applyFont="1" applyFill="1" applyBorder="1"/>
    <xf numFmtId="172" fontId="9" fillId="6" borderId="2" xfId="2" applyNumberFormat="1" applyFont="1" applyFill="1" applyBorder="1"/>
    <xf numFmtId="172" fontId="12" fillId="6" borderId="2" xfId="2" applyNumberFormat="1" applyFont="1" applyFill="1" applyBorder="1"/>
    <xf numFmtId="8" fontId="4" fillId="7" borderId="2" xfId="0" applyNumberFormat="1" applyFont="1" applyFill="1" applyBorder="1" applyAlignment="1">
      <alignment horizontal="center" vertical="center" wrapText="1"/>
    </xf>
    <xf numFmtId="0" fontId="0" fillId="6" borderId="2" xfId="0" applyFill="1" applyBorder="1"/>
  </cellXfs>
  <cellStyles count="3">
    <cellStyle name="Currency" xfId="2" builtinId="4"/>
    <cellStyle name="Normal" xfId="0" builtinId="0"/>
    <cellStyle name="Normal 3 2" xfId="1" xr:uid="{625D5E96-9CED-1C41-B113-74E4B3F15C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326C-66C9-9B4E-AA2F-2EFB2434479E}">
  <dimension ref="A1:G142"/>
  <sheetViews>
    <sheetView topLeftCell="A119" zoomScaleNormal="100" workbookViewId="0">
      <selection activeCell="C142" sqref="A139:C142"/>
    </sheetView>
  </sheetViews>
  <sheetFormatPr baseColWidth="10" defaultRowHeight="16"/>
  <cols>
    <col min="2" max="2" width="8.1640625" customWidth="1"/>
    <col min="3" max="3" width="15.6640625" customWidth="1"/>
    <col min="4" max="4" width="21.1640625" customWidth="1"/>
    <col min="5" max="5" width="13.1640625" customWidth="1"/>
    <col min="6" max="6" width="22.33203125" customWidth="1"/>
    <col min="7" max="7" width="31.1640625" customWidth="1"/>
    <col min="8" max="8" width="16" customWidth="1"/>
  </cols>
  <sheetData>
    <row r="1" spans="1:7" s="2" customFormat="1" ht="63" customHeight="1">
      <c r="A1" s="26" t="s">
        <v>0</v>
      </c>
      <c r="B1" s="26" t="s">
        <v>21</v>
      </c>
      <c r="C1" s="26" t="s">
        <v>45</v>
      </c>
      <c r="D1" s="26" t="s">
        <v>52</v>
      </c>
      <c r="E1" s="26" t="s">
        <v>19</v>
      </c>
      <c r="F1" s="26" t="s">
        <v>41</v>
      </c>
      <c r="G1" s="26" t="s">
        <v>18</v>
      </c>
    </row>
    <row r="2" spans="1:7">
      <c r="A2" s="27" t="s">
        <v>1</v>
      </c>
      <c r="B2" s="27" t="s">
        <v>22</v>
      </c>
      <c r="C2" s="27">
        <v>2005</v>
      </c>
      <c r="D2" s="29">
        <v>0.1143</v>
      </c>
      <c r="E2" s="29"/>
      <c r="F2" s="29"/>
      <c r="G2" s="27" t="s">
        <v>16</v>
      </c>
    </row>
    <row r="3" spans="1:7">
      <c r="A3" s="27" t="s">
        <v>1</v>
      </c>
      <c r="B3" s="27" t="s">
        <v>22</v>
      </c>
      <c r="C3" s="27">
        <v>2006</v>
      </c>
      <c r="D3" s="29">
        <v>0.1143</v>
      </c>
      <c r="E3" s="29"/>
      <c r="F3" s="29"/>
      <c r="G3" s="27" t="s">
        <v>16</v>
      </c>
    </row>
    <row r="4" spans="1:7">
      <c r="A4" s="27" t="s">
        <v>1</v>
      </c>
      <c r="B4" s="27" t="s">
        <v>22</v>
      </c>
      <c r="C4" s="27">
        <v>2007</v>
      </c>
      <c r="D4" s="29">
        <v>0.1143</v>
      </c>
      <c r="E4" s="29"/>
      <c r="F4" s="29"/>
      <c r="G4" s="27" t="s">
        <v>16</v>
      </c>
    </row>
    <row r="5" spans="1:7">
      <c r="A5" s="27" t="s">
        <v>1</v>
      </c>
      <c r="B5" s="27" t="s">
        <v>22</v>
      </c>
      <c r="C5" s="27">
        <v>2008</v>
      </c>
      <c r="D5" s="30">
        <v>0.11559999999999999</v>
      </c>
      <c r="E5" s="29"/>
      <c r="F5" s="29"/>
      <c r="G5" s="27" t="s">
        <v>16</v>
      </c>
    </row>
    <row r="6" spans="1:7">
      <c r="A6" s="27" t="s">
        <v>1</v>
      </c>
      <c r="B6" s="27" t="s">
        <v>22</v>
      </c>
      <c r="C6" s="27">
        <v>2009</v>
      </c>
      <c r="D6" s="30">
        <v>0.11536</v>
      </c>
      <c r="E6" s="29"/>
      <c r="F6" s="29"/>
      <c r="G6" s="27" t="s">
        <v>16</v>
      </c>
    </row>
    <row r="7" spans="1:7">
      <c r="A7" s="27" t="s">
        <v>1</v>
      </c>
      <c r="B7" s="27" t="s">
        <v>22</v>
      </c>
      <c r="C7" s="27">
        <v>2010</v>
      </c>
      <c r="D7" s="30">
        <v>0.11877</v>
      </c>
      <c r="E7" s="29"/>
      <c r="F7" s="40"/>
      <c r="G7" s="27" t="s">
        <v>16</v>
      </c>
    </row>
    <row r="8" spans="1:7">
      <c r="A8" s="27" t="s">
        <v>1</v>
      </c>
      <c r="B8" s="27" t="s">
        <v>22</v>
      </c>
      <c r="C8" s="27">
        <v>2011</v>
      </c>
      <c r="D8" s="30">
        <v>0.12232999999999999</v>
      </c>
      <c r="E8" s="29"/>
      <c r="F8" s="40"/>
      <c r="G8" s="27" t="s">
        <v>16</v>
      </c>
    </row>
    <row r="9" spans="1:7">
      <c r="A9" s="27" t="s">
        <v>1</v>
      </c>
      <c r="B9" s="27" t="s">
        <v>22</v>
      </c>
      <c r="C9" s="27">
        <v>2012</v>
      </c>
      <c r="D9" s="30">
        <v>0.12845000000000001</v>
      </c>
      <c r="E9" s="29"/>
      <c r="F9" s="40"/>
      <c r="G9" s="27" t="s">
        <v>16</v>
      </c>
    </row>
    <row r="10" spans="1:7">
      <c r="A10" s="27" t="s">
        <v>1</v>
      </c>
      <c r="B10" s="27" t="s">
        <v>22</v>
      </c>
      <c r="C10" s="27">
        <v>2013</v>
      </c>
      <c r="D10" s="30">
        <v>0.1323</v>
      </c>
      <c r="E10" s="29"/>
      <c r="F10" s="40"/>
      <c r="G10" s="27" t="s">
        <v>16</v>
      </c>
    </row>
    <row r="11" spans="1:7">
      <c r="A11" s="27" t="s">
        <v>1</v>
      </c>
      <c r="B11" s="27" t="s">
        <v>22</v>
      </c>
      <c r="C11" s="27">
        <v>2014</v>
      </c>
      <c r="D11" s="30">
        <v>0.1323</v>
      </c>
      <c r="E11" s="29"/>
      <c r="F11" s="40"/>
      <c r="G11" s="27" t="s">
        <v>16</v>
      </c>
    </row>
    <row r="12" spans="1:7">
      <c r="A12" s="27" t="s">
        <v>1</v>
      </c>
      <c r="B12" s="27" t="s">
        <v>22</v>
      </c>
      <c r="C12" s="27">
        <v>2015</v>
      </c>
      <c r="D12" s="30">
        <v>0.16170000000000001</v>
      </c>
      <c r="E12" s="29"/>
      <c r="F12" s="40"/>
      <c r="G12" s="27" t="s">
        <v>16</v>
      </c>
    </row>
    <row r="13" spans="1:7">
      <c r="A13" s="27" t="s">
        <v>1</v>
      </c>
      <c r="B13" s="27" t="s">
        <v>22</v>
      </c>
      <c r="C13" s="27">
        <v>2016</v>
      </c>
      <c r="D13" s="30">
        <v>0.18151</v>
      </c>
      <c r="E13" s="29"/>
      <c r="F13" s="40"/>
      <c r="G13" s="27" t="s">
        <v>16</v>
      </c>
    </row>
    <row r="14" spans="1:7">
      <c r="A14" s="27" t="s">
        <v>1</v>
      </c>
      <c r="B14" s="27" t="s">
        <v>22</v>
      </c>
      <c r="C14" s="27">
        <v>2017</v>
      </c>
      <c r="D14" s="30">
        <v>0.18276000000000001</v>
      </c>
      <c r="E14" s="29"/>
      <c r="F14" s="40"/>
      <c r="G14" s="27" t="s">
        <v>16</v>
      </c>
    </row>
    <row r="15" spans="1:7">
      <c r="A15" s="27" t="s">
        <v>1</v>
      </c>
      <c r="B15" s="27" t="s">
        <v>22</v>
      </c>
      <c r="C15" s="27">
        <v>2018</v>
      </c>
      <c r="D15" s="30">
        <v>0.20077999999999999</v>
      </c>
      <c r="E15" s="36"/>
      <c r="F15" s="40"/>
      <c r="G15" s="37" t="s">
        <v>16</v>
      </c>
    </row>
    <row r="16" spans="1:7">
      <c r="A16" s="27" t="s">
        <v>1</v>
      </c>
      <c r="B16" s="27" t="s">
        <v>22</v>
      </c>
      <c r="C16" s="27">
        <v>2019</v>
      </c>
      <c r="D16" s="30">
        <v>0.21182999999999999</v>
      </c>
      <c r="E16" s="36">
        <f>0.03346+0.21183-0.1078</f>
        <v>0.13748999999999997</v>
      </c>
      <c r="F16" s="40"/>
      <c r="G16" s="37" t="s">
        <v>16</v>
      </c>
    </row>
    <row r="17" spans="1:7">
      <c r="A17" s="27" t="s">
        <v>1</v>
      </c>
      <c r="B17" s="27" t="s">
        <v>22</v>
      </c>
      <c r="C17" s="27">
        <v>2020</v>
      </c>
      <c r="D17" s="30">
        <v>0.23580999999999999</v>
      </c>
      <c r="E17" s="36">
        <f>0.23581-0.11778+0.02701</f>
        <v>0.14504</v>
      </c>
      <c r="F17" s="40"/>
      <c r="G17" s="37" t="s">
        <v>16</v>
      </c>
    </row>
    <row r="18" spans="1:7">
      <c r="A18" s="27" t="s">
        <v>1</v>
      </c>
      <c r="B18" s="27" t="s">
        <v>22</v>
      </c>
      <c r="C18" s="27">
        <v>2021</v>
      </c>
      <c r="D18" s="30">
        <v>0.24986</v>
      </c>
      <c r="E18" s="36">
        <f>D18-0.11209+0.04407</f>
        <v>0.18184</v>
      </c>
      <c r="F18" s="40"/>
      <c r="G18" s="37" t="s">
        <v>16</v>
      </c>
    </row>
    <row r="19" spans="1:7">
      <c r="A19" s="27" t="s">
        <v>1</v>
      </c>
      <c r="B19" s="27" t="s">
        <v>22</v>
      </c>
      <c r="C19" s="27">
        <v>2022</v>
      </c>
      <c r="D19" s="30">
        <v>0.28239999999999998</v>
      </c>
      <c r="E19" s="36">
        <f>0.12188-0.03258+0.04787-0.00166+0.00012+0.02024+0.00004-0.00013+0.00009+0.00652+0.00442+0.00141+0.0476</f>
        <v>0.21582000000000007</v>
      </c>
      <c r="F19" s="40"/>
      <c r="G19" s="37" t="s">
        <v>16</v>
      </c>
    </row>
    <row r="20" spans="1:7">
      <c r="A20" s="27" t="s">
        <v>1</v>
      </c>
      <c r="B20" s="27" t="s">
        <v>22</v>
      </c>
      <c r="C20" s="27">
        <v>2023</v>
      </c>
      <c r="D20" s="30">
        <v>0.32549</v>
      </c>
      <c r="E20" s="36">
        <f>0.11659-0.03562+0.05254-0.0015+0.00069+0.02529+0.00135+0.0003+0.0034-0.00071+0.00346+0.00356+0.00289</f>
        <v>0.17224</v>
      </c>
      <c r="F20" s="40"/>
      <c r="G20" s="37" t="s">
        <v>16</v>
      </c>
    </row>
    <row r="21" spans="1:7">
      <c r="A21" s="27" t="s">
        <v>1</v>
      </c>
      <c r="B21" s="27" t="s">
        <v>22</v>
      </c>
      <c r="C21" s="27">
        <v>2024</v>
      </c>
      <c r="D21" s="30">
        <v>0.42009000000000002</v>
      </c>
      <c r="E21" s="36">
        <f>0.19466-0.04014+0.04785-0.00016+0.00012+0.02727-0.00259+0.00101-0.00003+0.00561+0.00757+0.00254+0.01057</f>
        <v>0.25428000000000001</v>
      </c>
      <c r="F21" s="40"/>
      <c r="G21" s="37" t="s">
        <v>16</v>
      </c>
    </row>
    <row r="22" spans="1:7" s="1" customFormat="1">
      <c r="A22" s="27" t="s">
        <v>2</v>
      </c>
      <c r="B22" s="27" t="s">
        <v>23</v>
      </c>
      <c r="C22" s="27">
        <v>2005</v>
      </c>
      <c r="D22" s="29" t="s">
        <v>7</v>
      </c>
      <c r="E22" s="29"/>
      <c r="F22" s="29"/>
      <c r="G22" s="27"/>
    </row>
    <row r="23" spans="1:7">
      <c r="A23" s="27" t="s">
        <v>2</v>
      </c>
      <c r="B23" s="27" t="s">
        <v>23</v>
      </c>
      <c r="C23" s="27">
        <v>2006</v>
      </c>
      <c r="D23" s="29" t="s">
        <v>7</v>
      </c>
      <c r="E23" s="29"/>
      <c r="F23" s="29"/>
      <c r="G23" s="27"/>
    </row>
    <row r="24" spans="1:7">
      <c r="A24" s="27" t="s">
        <v>2</v>
      </c>
      <c r="B24" s="27" t="s">
        <v>23</v>
      </c>
      <c r="C24" s="27">
        <v>2007</v>
      </c>
      <c r="D24" s="29" t="s">
        <v>7</v>
      </c>
      <c r="E24" s="29"/>
      <c r="F24" s="29"/>
      <c r="G24" s="27"/>
    </row>
    <row r="25" spans="1:7">
      <c r="A25" s="27" t="s">
        <v>2</v>
      </c>
      <c r="B25" s="27" t="s">
        <v>23</v>
      </c>
      <c r="C25" s="27">
        <v>2008</v>
      </c>
      <c r="D25" s="29" t="s">
        <v>7</v>
      </c>
      <c r="E25" s="29"/>
      <c r="F25" s="29"/>
      <c r="G25" s="27"/>
    </row>
    <row r="26" spans="1:7">
      <c r="A26" s="27" t="s">
        <v>2</v>
      </c>
      <c r="B26" s="27" t="s">
        <v>23</v>
      </c>
      <c r="C26" s="27">
        <v>2009</v>
      </c>
      <c r="D26" s="29" t="s">
        <v>7</v>
      </c>
      <c r="E26" s="29"/>
      <c r="F26" s="29"/>
      <c r="G26" s="27"/>
    </row>
    <row r="27" spans="1:7">
      <c r="A27" s="27" t="s">
        <v>2</v>
      </c>
      <c r="B27" s="27" t="s">
        <v>23</v>
      </c>
      <c r="C27" s="27">
        <v>2010</v>
      </c>
      <c r="D27" s="29" t="s">
        <v>7</v>
      </c>
      <c r="E27" s="29"/>
      <c r="F27" s="29"/>
      <c r="G27" s="27"/>
    </row>
    <row r="28" spans="1:7">
      <c r="A28" s="27" t="s">
        <v>2</v>
      </c>
      <c r="B28" s="27" t="s">
        <v>23</v>
      </c>
      <c r="C28" s="27">
        <v>2011</v>
      </c>
      <c r="D28" s="29" t="s">
        <v>7</v>
      </c>
      <c r="E28" s="29"/>
      <c r="F28" s="29"/>
      <c r="G28" s="27"/>
    </row>
    <row r="29" spans="1:7">
      <c r="A29" s="27" t="s">
        <v>2</v>
      </c>
      <c r="B29" s="27" t="s">
        <v>23</v>
      </c>
      <c r="C29" s="27">
        <v>2012</v>
      </c>
      <c r="D29" s="29" t="s">
        <v>7</v>
      </c>
      <c r="E29" s="29"/>
      <c r="F29" s="29"/>
      <c r="G29" s="27"/>
    </row>
    <row r="30" spans="1:7">
      <c r="A30" s="27" t="s">
        <v>2</v>
      </c>
      <c r="B30" s="27" t="s">
        <v>23</v>
      </c>
      <c r="C30" s="27">
        <v>2013</v>
      </c>
      <c r="D30" s="29" t="s">
        <v>7</v>
      </c>
      <c r="E30" s="29"/>
      <c r="F30" s="29"/>
      <c r="G30" s="27"/>
    </row>
    <row r="31" spans="1:7">
      <c r="A31" s="27" t="s">
        <v>2</v>
      </c>
      <c r="B31" s="27" t="s">
        <v>23</v>
      </c>
      <c r="C31" s="27">
        <v>2014</v>
      </c>
      <c r="D31" s="29" t="s">
        <v>7</v>
      </c>
      <c r="E31" s="29"/>
      <c r="F31" s="29"/>
      <c r="G31" s="27"/>
    </row>
    <row r="32" spans="1:7">
      <c r="A32" s="27" t="s">
        <v>2</v>
      </c>
      <c r="B32" s="27" t="s">
        <v>23</v>
      </c>
      <c r="C32" s="27">
        <v>2015</v>
      </c>
      <c r="D32" s="36">
        <f t="shared" ref="D32" si="0">E32+E12</f>
        <v>8.2000000000000003E-2</v>
      </c>
      <c r="E32" s="29">
        <v>8.2000000000000003E-2</v>
      </c>
      <c r="F32" s="29"/>
      <c r="G32" s="27"/>
    </row>
    <row r="33" spans="1:7">
      <c r="A33" s="28" t="s">
        <v>2</v>
      </c>
      <c r="B33" s="28" t="s">
        <v>23</v>
      </c>
      <c r="C33" s="28">
        <v>2016</v>
      </c>
      <c r="D33" s="35"/>
      <c r="E33" s="31"/>
      <c r="F33" s="31"/>
      <c r="G33" s="28"/>
    </row>
    <row r="34" spans="1:7">
      <c r="A34" s="28" t="s">
        <v>2</v>
      </c>
      <c r="B34" s="28" t="s">
        <v>23</v>
      </c>
      <c r="C34" s="28">
        <v>2017</v>
      </c>
      <c r="D34" s="31"/>
      <c r="E34" s="31"/>
      <c r="F34" s="31"/>
      <c r="G34" s="28"/>
    </row>
    <row r="35" spans="1:7">
      <c r="A35" s="28" t="s">
        <v>2</v>
      </c>
      <c r="B35" s="28" t="s">
        <v>23</v>
      </c>
      <c r="C35" s="28">
        <v>2018</v>
      </c>
      <c r="D35" s="31"/>
      <c r="E35" s="31"/>
      <c r="F35" s="31"/>
      <c r="G35" s="28"/>
    </row>
    <row r="36" spans="1:7">
      <c r="A36" s="28" t="s">
        <v>2</v>
      </c>
      <c r="B36" s="28" t="s">
        <v>23</v>
      </c>
      <c r="C36" s="28">
        <v>2019</v>
      </c>
      <c r="D36" s="31"/>
      <c r="E36" s="31"/>
      <c r="F36" s="31"/>
      <c r="G36" s="28"/>
    </row>
    <row r="37" spans="1:7">
      <c r="A37" s="28" t="s">
        <v>2</v>
      </c>
      <c r="B37" s="28" t="s">
        <v>23</v>
      </c>
      <c r="C37" s="28">
        <v>2020</v>
      </c>
      <c r="D37" s="31"/>
      <c r="E37" s="31"/>
      <c r="F37" s="31"/>
      <c r="G37" s="28"/>
    </row>
    <row r="38" spans="1:7">
      <c r="A38" s="27" t="s">
        <v>2</v>
      </c>
      <c r="B38" s="27" t="s">
        <v>23</v>
      </c>
      <c r="C38" s="27">
        <v>2021</v>
      </c>
      <c r="D38" s="36">
        <f>E38+E18</f>
        <v>0.26883999999999997</v>
      </c>
      <c r="E38" s="29">
        <v>8.6999999999999994E-2</v>
      </c>
      <c r="F38" s="29"/>
      <c r="G38" s="27"/>
    </row>
    <row r="39" spans="1:7">
      <c r="A39" s="27" t="s">
        <v>2</v>
      </c>
      <c r="B39" s="27" t="s">
        <v>23</v>
      </c>
      <c r="C39" s="27">
        <v>2022</v>
      </c>
      <c r="D39" s="36">
        <f>E39+E19</f>
        <v>0.30582000000000009</v>
      </c>
      <c r="E39" s="29">
        <v>0.09</v>
      </c>
      <c r="F39" s="29"/>
      <c r="G39" s="27"/>
    </row>
    <row r="40" spans="1:7">
      <c r="A40" s="27" t="s">
        <v>2</v>
      </c>
      <c r="B40" s="27" t="s">
        <v>23</v>
      </c>
      <c r="C40" s="27">
        <v>2023</v>
      </c>
      <c r="D40" s="36">
        <f>E40+E20</f>
        <v>0.32123999999999997</v>
      </c>
      <c r="E40" s="29">
        <v>0.14899999999999999</v>
      </c>
      <c r="F40" s="29"/>
      <c r="G40" s="27"/>
    </row>
    <row r="41" spans="1:7">
      <c r="A41" s="27" t="s">
        <v>2</v>
      </c>
      <c r="B41" s="27" t="s">
        <v>23</v>
      </c>
      <c r="C41" s="27">
        <v>2024</v>
      </c>
      <c r="D41" s="36">
        <f>E41+E21</f>
        <v>0.40327999999999997</v>
      </c>
      <c r="E41" s="29">
        <v>0.14899999999999999</v>
      </c>
      <c r="F41" s="29"/>
      <c r="G41" s="27"/>
    </row>
    <row r="42" spans="1:7" s="1" customFormat="1">
      <c r="A42" s="28" t="s">
        <v>3</v>
      </c>
      <c r="B42" s="28" t="s">
        <v>22</v>
      </c>
      <c r="C42" s="28">
        <v>2005</v>
      </c>
      <c r="D42" s="31"/>
      <c r="E42" s="31"/>
      <c r="F42" s="31"/>
      <c r="G42" s="28"/>
    </row>
    <row r="43" spans="1:7">
      <c r="A43" s="28" t="s">
        <v>3</v>
      </c>
      <c r="B43" s="28" t="s">
        <v>22</v>
      </c>
      <c r="C43" s="28">
        <v>2006</v>
      </c>
      <c r="D43" s="31"/>
      <c r="E43" s="31"/>
      <c r="F43" s="31"/>
      <c r="G43" s="28"/>
    </row>
    <row r="44" spans="1:7">
      <c r="A44" s="28" t="s">
        <v>3</v>
      </c>
      <c r="B44" s="28" t="s">
        <v>22</v>
      </c>
      <c r="C44" s="28">
        <v>2007</v>
      </c>
      <c r="D44" s="31"/>
      <c r="E44" s="31"/>
      <c r="F44" s="31"/>
      <c r="G44" s="28"/>
    </row>
    <row r="45" spans="1:7">
      <c r="A45" s="28" t="s">
        <v>3</v>
      </c>
      <c r="B45" s="28" t="s">
        <v>22</v>
      </c>
      <c r="C45" s="28">
        <v>2008</v>
      </c>
      <c r="D45" s="31"/>
      <c r="E45" s="31"/>
      <c r="F45" s="31"/>
      <c r="G45" s="28"/>
    </row>
    <row r="46" spans="1:7">
      <c r="A46" s="28" t="s">
        <v>3</v>
      </c>
      <c r="B46" s="28" t="s">
        <v>22</v>
      </c>
      <c r="C46" s="28">
        <v>2009</v>
      </c>
      <c r="D46" s="31"/>
      <c r="E46" s="31"/>
      <c r="F46" s="31"/>
      <c r="G46" s="28"/>
    </row>
    <row r="47" spans="1:7">
      <c r="A47" s="28" t="s">
        <v>3</v>
      </c>
      <c r="B47" s="28" t="s">
        <v>22</v>
      </c>
      <c r="C47" s="28">
        <v>2010</v>
      </c>
      <c r="D47" s="31"/>
      <c r="E47" s="31"/>
      <c r="F47" s="31"/>
      <c r="G47" s="28"/>
    </row>
    <row r="48" spans="1:7">
      <c r="A48" s="28" t="s">
        <v>3</v>
      </c>
      <c r="B48" s="28" t="s">
        <v>22</v>
      </c>
      <c r="C48" s="28">
        <v>2011</v>
      </c>
      <c r="D48" s="31"/>
      <c r="E48" s="31"/>
      <c r="F48" s="31"/>
      <c r="G48" s="28"/>
    </row>
    <row r="49" spans="1:7">
      <c r="A49" s="28" t="s">
        <v>3</v>
      </c>
      <c r="B49" s="28" t="s">
        <v>22</v>
      </c>
      <c r="C49" s="28">
        <v>2012</v>
      </c>
      <c r="D49" s="31"/>
      <c r="E49" s="31"/>
      <c r="F49" s="31"/>
      <c r="G49" s="28"/>
    </row>
    <row r="50" spans="1:7">
      <c r="A50" s="27" t="s">
        <v>3</v>
      </c>
      <c r="B50" s="27" t="s">
        <v>22</v>
      </c>
      <c r="C50" s="27">
        <v>2013</v>
      </c>
      <c r="D50" s="29">
        <f>0.04275+0.08671-0.00097</f>
        <v>0.12848999999999999</v>
      </c>
      <c r="E50" s="29">
        <v>4.2750000000000003E-2</v>
      </c>
      <c r="F50" s="40"/>
      <c r="G50" s="27" t="s">
        <v>16</v>
      </c>
    </row>
    <row r="51" spans="1:7">
      <c r="A51" s="27" t="s">
        <v>3</v>
      </c>
      <c r="B51" s="27" t="s">
        <v>22</v>
      </c>
      <c r="C51" s="27">
        <v>2014</v>
      </c>
      <c r="D51" s="29">
        <f>0.04678+0.08592-0.00037</f>
        <v>0.13232999999999998</v>
      </c>
      <c r="E51" s="29">
        <v>4.6780000000000002E-2</v>
      </c>
      <c r="F51" s="40"/>
      <c r="G51" s="27" t="s">
        <v>16</v>
      </c>
    </row>
    <row r="52" spans="1:7">
      <c r="A52" s="27" t="s">
        <v>3</v>
      </c>
      <c r="B52" s="27" t="s">
        <v>22</v>
      </c>
      <c r="C52" s="27">
        <v>2015</v>
      </c>
      <c r="D52" s="29">
        <f>E52+0.09162-0.00172</f>
        <v>0.14849999999999999</v>
      </c>
      <c r="E52" s="29">
        <v>5.8599999999999999E-2</v>
      </c>
      <c r="F52" s="40"/>
      <c r="G52" s="27" t="s">
        <v>16</v>
      </c>
    </row>
    <row r="53" spans="1:7">
      <c r="A53" s="27" t="s">
        <v>3</v>
      </c>
      <c r="B53" s="27" t="s">
        <v>22</v>
      </c>
      <c r="C53" s="27">
        <v>2016</v>
      </c>
      <c r="D53" s="29">
        <f>E53+0.06909-0.00022</f>
        <v>0.15107999999999999</v>
      </c>
      <c r="E53" s="29">
        <v>8.2210000000000005E-2</v>
      </c>
      <c r="F53" s="40"/>
      <c r="G53" s="27" t="s">
        <v>16</v>
      </c>
    </row>
    <row r="54" spans="1:7">
      <c r="A54" s="27" t="s">
        <v>3</v>
      </c>
      <c r="B54" s="27" t="s">
        <v>22</v>
      </c>
      <c r="C54" s="27">
        <v>2017</v>
      </c>
      <c r="D54" s="29">
        <f>E54+0.07477-0</f>
        <v>0.16317000000000001</v>
      </c>
      <c r="E54" s="29">
        <v>8.8400000000000006E-2</v>
      </c>
      <c r="F54" s="40"/>
      <c r="G54" s="27" t="s">
        <v>16</v>
      </c>
    </row>
    <row r="55" spans="1:7">
      <c r="A55" s="27" t="s">
        <v>3</v>
      </c>
      <c r="B55" s="27" t="s">
        <v>22</v>
      </c>
      <c r="C55" s="27">
        <v>2018</v>
      </c>
      <c r="D55" s="29">
        <f>E55+0.08589-0</f>
        <v>0.17463999999999999</v>
      </c>
      <c r="E55" s="29">
        <v>8.8749999999999996E-2</v>
      </c>
      <c r="F55" s="40"/>
      <c r="G55" s="27" t="s">
        <v>16</v>
      </c>
    </row>
    <row r="56" spans="1:7">
      <c r="A56" s="27" t="s">
        <v>3</v>
      </c>
      <c r="B56" s="27" t="s">
        <v>22</v>
      </c>
      <c r="C56" s="27">
        <v>2019</v>
      </c>
      <c r="D56" s="29">
        <f>E56+0.0847-0.00007</f>
        <v>0.19415000000000002</v>
      </c>
      <c r="E56" s="29">
        <f>0.09461+0.01491</f>
        <v>0.10952000000000001</v>
      </c>
      <c r="F56" s="40"/>
      <c r="G56" s="27" t="s">
        <v>16</v>
      </c>
    </row>
    <row r="57" spans="1:7">
      <c r="A57" s="27" t="s">
        <v>3</v>
      </c>
      <c r="B57" s="27" t="s">
        <v>22</v>
      </c>
      <c r="C57" s="27">
        <v>2020</v>
      </c>
      <c r="D57" s="29">
        <f>E57+0.09756-0.00007</f>
        <v>0.20421000000000003</v>
      </c>
      <c r="E57" s="29">
        <f>0.09513+0.01159</f>
        <v>0.10672000000000001</v>
      </c>
      <c r="F57" s="40"/>
      <c r="G57" s="27" t="s">
        <v>16</v>
      </c>
    </row>
    <row r="58" spans="1:7">
      <c r="A58" s="27" t="s">
        <v>3</v>
      </c>
      <c r="B58" s="27" t="s">
        <v>22</v>
      </c>
      <c r="C58" s="27">
        <v>2021</v>
      </c>
      <c r="D58" s="29">
        <f>0.09545+E58</f>
        <v>0.26149</v>
      </c>
      <c r="E58" s="29">
        <f>0.13675+0.02929</f>
        <v>0.16604000000000002</v>
      </c>
      <c r="F58" s="40"/>
      <c r="G58" s="27" t="s">
        <v>17</v>
      </c>
    </row>
    <row r="59" spans="1:7">
      <c r="A59" s="27" t="s">
        <v>3</v>
      </c>
      <c r="B59" s="27" t="s">
        <v>22</v>
      </c>
      <c r="C59" s="27">
        <v>2022</v>
      </c>
      <c r="D59" s="29">
        <f>E59+0.09527-0</f>
        <v>0.29313</v>
      </c>
      <c r="E59" s="29">
        <f>0.16853+0.02933</f>
        <v>0.19786000000000001</v>
      </c>
      <c r="F59" s="40"/>
      <c r="G59" s="27" t="s">
        <v>16</v>
      </c>
    </row>
    <row r="60" spans="1:7">
      <c r="A60" s="27" t="s">
        <v>3</v>
      </c>
      <c r="B60" s="27" t="s">
        <v>22</v>
      </c>
      <c r="C60" s="27">
        <v>2023</v>
      </c>
      <c r="D60" s="29">
        <f>E60+0.1544</f>
        <v>0.30456</v>
      </c>
      <c r="E60" s="29">
        <f>0.15697-0.00681</f>
        <v>0.15015999999999999</v>
      </c>
      <c r="F60" s="40"/>
      <c r="G60" s="27" t="s">
        <v>16</v>
      </c>
    </row>
    <row r="61" spans="1:7">
      <c r="A61" s="27" t="s">
        <v>3</v>
      </c>
      <c r="B61" s="27" t="s">
        <v>22</v>
      </c>
      <c r="C61" s="27">
        <v>2024</v>
      </c>
      <c r="D61" s="29">
        <f>E61+0.14901</f>
        <v>0.32225999999999999</v>
      </c>
      <c r="E61" s="29">
        <f>0.18657-0.01332</f>
        <v>0.17325000000000002</v>
      </c>
      <c r="F61" s="40"/>
      <c r="G61" s="27" t="s">
        <v>16</v>
      </c>
    </row>
    <row r="62" spans="1:7" s="1" customFormat="1">
      <c r="A62" s="27" t="s">
        <v>8</v>
      </c>
      <c r="B62" s="27" t="s">
        <v>23</v>
      </c>
      <c r="C62" s="27">
        <v>2005</v>
      </c>
      <c r="D62" s="29" t="s">
        <v>7</v>
      </c>
      <c r="E62" s="29"/>
      <c r="F62" s="29"/>
      <c r="G62" s="27"/>
    </row>
    <row r="63" spans="1:7">
      <c r="A63" s="27" t="s">
        <v>8</v>
      </c>
      <c r="B63" s="27" t="s">
        <v>23</v>
      </c>
      <c r="C63" s="27">
        <v>2006</v>
      </c>
      <c r="D63" s="29" t="s">
        <v>7</v>
      </c>
      <c r="E63" s="29"/>
      <c r="F63" s="29"/>
      <c r="G63" s="27"/>
    </row>
    <row r="64" spans="1:7">
      <c r="A64" s="27" t="s">
        <v>8</v>
      </c>
      <c r="B64" s="27" t="s">
        <v>23</v>
      </c>
      <c r="C64" s="27">
        <v>2007</v>
      </c>
      <c r="D64" s="29" t="s">
        <v>7</v>
      </c>
      <c r="E64" s="29"/>
      <c r="F64" s="29"/>
      <c r="G64" s="27"/>
    </row>
    <row r="65" spans="1:7">
      <c r="A65" s="27" t="s">
        <v>8</v>
      </c>
      <c r="B65" s="27" t="s">
        <v>23</v>
      </c>
      <c r="C65" s="27">
        <v>2008</v>
      </c>
      <c r="D65" s="29" t="s">
        <v>7</v>
      </c>
      <c r="E65" s="29"/>
      <c r="F65" s="29"/>
      <c r="G65" s="27"/>
    </row>
    <row r="66" spans="1:7">
      <c r="A66" s="27" t="s">
        <v>8</v>
      </c>
      <c r="B66" s="27" t="s">
        <v>23</v>
      </c>
      <c r="C66" s="27">
        <v>2009</v>
      </c>
      <c r="D66" s="29" t="s">
        <v>7</v>
      </c>
      <c r="E66" s="29"/>
      <c r="F66" s="29"/>
      <c r="G66" s="27"/>
    </row>
    <row r="67" spans="1:7">
      <c r="A67" s="27" t="s">
        <v>8</v>
      </c>
      <c r="B67" s="27" t="s">
        <v>23</v>
      </c>
      <c r="C67" s="27">
        <v>2010</v>
      </c>
      <c r="D67" s="29" t="s">
        <v>7</v>
      </c>
      <c r="E67" s="29"/>
      <c r="F67" s="29"/>
      <c r="G67" s="27"/>
    </row>
    <row r="68" spans="1:7">
      <c r="A68" s="27" t="s">
        <v>8</v>
      </c>
      <c r="B68" s="27" t="s">
        <v>23</v>
      </c>
      <c r="C68" s="27">
        <v>2011</v>
      </c>
      <c r="D68" s="29" t="s">
        <v>7</v>
      </c>
      <c r="E68" s="29"/>
      <c r="F68" s="29"/>
      <c r="G68" s="27"/>
    </row>
    <row r="69" spans="1:7">
      <c r="A69" s="27" t="s">
        <v>8</v>
      </c>
      <c r="B69" s="27" t="s">
        <v>23</v>
      </c>
      <c r="C69" s="27">
        <v>2012</v>
      </c>
      <c r="D69" s="29" t="s">
        <v>7</v>
      </c>
      <c r="E69" s="29"/>
      <c r="F69" s="29"/>
      <c r="G69" s="27"/>
    </row>
    <row r="70" spans="1:7">
      <c r="A70" s="27" t="s">
        <v>8</v>
      </c>
      <c r="B70" s="27" t="s">
        <v>23</v>
      </c>
      <c r="C70" s="27">
        <v>2013</v>
      </c>
      <c r="D70" s="29" t="s">
        <v>7</v>
      </c>
      <c r="E70" s="29"/>
      <c r="F70" s="29"/>
      <c r="G70" s="27"/>
    </row>
    <row r="71" spans="1:7">
      <c r="A71" s="27" t="s">
        <v>8</v>
      </c>
      <c r="B71" s="27" t="s">
        <v>23</v>
      </c>
      <c r="C71" s="27">
        <v>2014</v>
      </c>
      <c r="D71" s="29" t="s">
        <v>7</v>
      </c>
      <c r="E71" s="29"/>
      <c r="F71" s="29"/>
      <c r="G71" s="27"/>
    </row>
    <row r="72" spans="1:7">
      <c r="A72" s="27" t="s">
        <v>8</v>
      </c>
      <c r="B72" s="27" t="s">
        <v>23</v>
      </c>
      <c r="C72" s="27">
        <v>2015</v>
      </c>
      <c r="D72" s="29" t="s">
        <v>7</v>
      </c>
      <c r="E72" s="29"/>
      <c r="F72" s="29"/>
      <c r="G72" s="27"/>
    </row>
    <row r="73" spans="1:7">
      <c r="A73" s="27" t="s">
        <v>8</v>
      </c>
      <c r="B73" s="27" t="s">
        <v>23</v>
      </c>
      <c r="C73" s="27">
        <v>2016</v>
      </c>
      <c r="D73" s="29" t="s">
        <v>7</v>
      </c>
      <c r="E73" s="29"/>
      <c r="F73" s="29"/>
      <c r="G73" s="27"/>
    </row>
    <row r="74" spans="1:7">
      <c r="A74" s="27" t="s">
        <v>8</v>
      </c>
      <c r="B74" s="27" t="s">
        <v>23</v>
      </c>
      <c r="C74" s="27">
        <v>2017</v>
      </c>
      <c r="D74" s="29" t="s">
        <v>7</v>
      </c>
      <c r="E74" s="29"/>
      <c r="F74" s="29"/>
      <c r="G74" s="27"/>
    </row>
    <row r="75" spans="1:7">
      <c r="A75" s="27" t="s">
        <v>8</v>
      </c>
      <c r="B75" s="27" t="s">
        <v>23</v>
      </c>
      <c r="C75" s="27">
        <v>2018</v>
      </c>
      <c r="D75" s="29" t="s">
        <v>7</v>
      </c>
      <c r="E75" s="29"/>
      <c r="F75" s="29"/>
      <c r="G75" s="27"/>
    </row>
    <row r="76" spans="1:7">
      <c r="A76" s="27" t="s">
        <v>8</v>
      </c>
      <c r="B76" s="27" t="s">
        <v>23</v>
      </c>
      <c r="C76" s="27">
        <v>2019</v>
      </c>
      <c r="D76" s="36">
        <f>E76+E56</f>
        <v>0.17603000000000002</v>
      </c>
      <c r="E76" s="29">
        <v>6.651E-2</v>
      </c>
      <c r="F76" s="29"/>
      <c r="G76" s="27" t="s">
        <v>20</v>
      </c>
    </row>
    <row r="77" spans="1:7">
      <c r="A77" s="27" t="s">
        <v>8</v>
      </c>
      <c r="B77" s="27" t="s">
        <v>23</v>
      </c>
      <c r="C77" s="27">
        <v>2020</v>
      </c>
      <c r="D77" s="36">
        <f t="shared" ref="D77:D81" si="1">E77+E57</f>
        <v>0.17361000000000001</v>
      </c>
      <c r="E77" s="29">
        <v>6.6890000000000005E-2</v>
      </c>
      <c r="F77" s="29"/>
      <c r="G77" s="27" t="s">
        <v>20</v>
      </c>
    </row>
    <row r="78" spans="1:7">
      <c r="A78" s="27" t="s">
        <v>8</v>
      </c>
      <c r="B78" s="27" t="s">
        <v>23</v>
      </c>
      <c r="C78" s="27">
        <v>2021</v>
      </c>
      <c r="D78" s="36">
        <f t="shared" si="1"/>
        <v>0.23596</v>
      </c>
      <c r="E78" s="32">
        <v>6.9919999999999996E-2</v>
      </c>
      <c r="F78" s="32"/>
      <c r="G78" s="27" t="s">
        <v>20</v>
      </c>
    </row>
    <row r="79" spans="1:7">
      <c r="A79" s="27" t="s">
        <v>8</v>
      </c>
      <c r="B79" s="27" t="s">
        <v>23</v>
      </c>
      <c r="C79" s="27">
        <v>2022</v>
      </c>
      <c r="D79" s="36">
        <f t="shared" si="1"/>
        <v>0.2802</v>
      </c>
      <c r="E79" s="33">
        <v>8.2339999999999997E-2</v>
      </c>
      <c r="F79" s="33"/>
      <c r="G79" s="27" t="s">
        <v>20</v>
      </c>
    </row>
    <row r="80" spans="1:7">
      <c r="A80" s="27" t="s">
        <v>8</v>
      </c>
      <c r="B80" s="27" t="s">
        <v>23</v>
      </c>
      <c r="C80" s="27">
        <v>2023</v>
      </c>
      <c r="D80" s="36">
        <f t="shared" si="1"/>
        <v>0.25512000000000001</v>
      </c>
      <c r="E80" s="30">
        <v>0.10496</v>
      </c>
      <c r="F80" s="30"/>
      <c r="G80" s="27" t="s">
        <v>20</v>
      </c>
    </row>
    <row r="81" spans="1:7">
      <c r="A81" s="27" t="s">
        <v>8</v>
      </c>
      <c r="B81" s="27" t="s">
        <v>23</v>
      </c>
      <c r="C81" s="27">
        <v>2024</v>
      </c>
      <c r="D81" s="36">
        <f t="shared" si="1"/>
        <v>0.32418000000000002</v>
      </c>
      <c r="E81" s="29">
        <v>0.15093000000000001</v>
      </c>
      <c r="F81" s="29"/>
      <c r="G81" s="27" t="s">
        <v>20</v>
      </c>
    </row>
    <row r="82" spans="1:7">
      <c r="A82" s="27" t="s">
        <v>4</v>
      </c>
      <c r="B82" s="27" t="s">
        <v>24</v>
      </c>
      <c r="C82" s="27">
        <v>2010</v>
      </c>
      <c r="D82" s="34">
        <v>0.12557000000000001</v>
      </c>
      <c r="E82" s="29"/>
      <c r="F82" s="40"/>
      <c r="G82" s="27" t="s">
        <v>29</v>
      </c>
    </row>
    <row r="83" spans="1:7">
      <c r="A83" s="27" t="s">
        <v>4</v>
      </c>
      <c r="B83" s="27" t="s">
        <v>24</v>
      </c>
      <c r="C83" s="27">
        <v>2011</v>
      </c>
      <c r="D83" s="34">
        <v>0.13156999999999999</v>
      </c>
      <c r="E83" s="29"/>
      <c r="F83" s="40"/>
      <c r="G83" s="27" t="s">
        <v>29</v>
      </c>
    </row>
    <row r="84" spans="1:7">
      <c r="A84" s="27" t="s">
        <v>4</v>
      </c>
      <c r="B84" s="27" t="s">
        <v>24</v>
      </c>
      <c r="C84" s="27">
        <v>2012</v>
      </c>
      <c r="D84" s="34">
        <v>0.13156999999999999</v>
      </c>
      <c r="E84" s="29"/>
      <c r="F84" s="40"/>
      <c r="G84" s="27" t="s">
        <v>29</v>
      </c>
    </row>
    <row r="85" spans="1:7">
      <c r="A85" s="27" t="s">
        <v>4</v>
      </c>
      <c r="B85" s="27" t="s">
        <v>24</v>
      </c>
      <c r="C85" s="27">
        <v>2013</v>
      </c>
      <c r="D85" s="34">
        <v>0.13561999999999999</v>
      </c>
      <c r="E85" s="29"/>
      <c r="F85" s="40"/>
      <c r="G85" s="27" t="s">
        <v>29</v>
      </c>
    </row>
    <row r="86" spans="1:7">
      <c r="A86" s="27" t="s">
        <v>4</v>
      </c>
      <c r="B86" s="27" t="s">
        <v>24</v>
      </c>
      <c r="C86" s="27">
        <v>2014</v>
      </c>
      <c r="D86" s="34">
        <v>0.13919999999999999</v>
      </c>
      <c r="E86" s="29"/>
      <c r="F86" s="40"/>
      <c r="G86" s="27" t="s">
        <v>29</v>
      </c>
    </row>
    <row r="87" spans="1:7">
      <c r="A87" s="27" t="s">
        <v>4</v>
      </c>
      <c r="B87" s="27" t="s">
        <v>24</v>
      </c>
      <c r="C87" s="27">
        <v>2015</v>
      </c>
      <c r="D87" s="34">
        <v>0.14577999999999999</v>
      </c>
      <c r="E87" s="29"/>
      <c r="F87" s="40"/>
      <c r="G87" s="27" t="s">
        <v>29</v>
      </c>
    </row>
    <row r="88" spans="1:7">
      <c r="A88" s="27" t="s">
        <v>4</v>
      </c>
      <c r="B88" s="27" t="s">
        <v>24</v>
      </c>
      <c r="C88" s="27">
        <v>2016</v>
      </c>
      <c r="D88" s="34">
        <v>0.14273999999999998</v>
      </c>
      <c r="E88" s="29"/>
      <c r="F88" s="40"/>
      <c r="G88" s="27" t="s">
        <v>29</v>
      </c>
    </row>
    <row r="89" spans="1:7">
      <c r="A89" s="27" t="s">
        <v>4</v>
      </c>
      <c r="B89" s="27" t="s">
        <v>24</v>
      </c>
      <c r="C89" s="27">
        <v>2017</v>
      </c>
      <c r="D89" s="34">
        <v>0.14872000000000002</v>
      </c>
      <c r="E89" s="29"/>
      <c r="F89" s="40"/>
      <c r="G89" s="27" t="s">
        <v>29</v>
      </c>
    </row>
    <row r="90" spans="1:7">
      <c r="A90" s="27" t="s">
        <v>4</v>
      </c>
      <c r="B90" s="27" t="s">
        <v>24</v>
      </c>
      <c r="C90" s="27">
        <v>2018</v>
      </c>
      <c r="D90" s="34">
        <v>0.15498000000000001</v>
      </c>
      <c r="E90" s="29"/>
      <c r="F90" s="40"/>
      <c r="G90" s="27" t="s">
        <v>29</v>
      </c>
    </row>
    <row r="91" spans="1:7">
      <c r="A91" s="27" t="s">
        <v>4</v>
      </c>
      <c r="B91" s="27" t="s">
        <v>24</v>
      </c>
      <c r="C91" s="27">
        <v>2019</v>
      </c>
      <c r="D91" s="34">
        <v>0.16825999999999999</v>
      </c>
      <c r="E91" s="29"/>
      <c r="F91" s="40"/>
      <c r="G91" s="27" t="s">
        <v>29</v>
      </c>
    </row>
    <row r="92" spans="1:7">
      <c r="A92" s="27" t="s">
        <v>4</v>
      </c>
      <c r="B92" s="27" t="s">
        <v>24</v>
      </c>
      <c r="C92" s="27">
        <v>2020</v>
      </c>
      <c r="D92" s="34">
        <v>0.17352000000000001</v>
      </c>
      <c r="E92" s="29"/>
      <c r="F92" s="40"/>
      <c r="G92" s="27" t="s">
        <v>29</v>
      </c>
    </row>
    <row r="93" spans="1:7">
      <c r="A93" s="27" t="s">
        <v>4</v>
      </c>
      <c r="B93" s="27" t="s">
        <v>24</v>
      </c>
      <c r="C93" s="27">
        <v>2021</v>
      </c>
      <c r="D93" s="34">
        <v>0.17649999999999999</v>
      </c>
      <c r="E93" s="29"/>
      <c r="F93" s="40"/>
      <c r="G93" s="27" t="s">
        <v>29</v>
      </c>
    </row>
    <row r="94" spans="1:7">
      <c r="A94" s="27" t="s">
        <v>4</v>
      </c>
      <c r="B94" s="27" t="s">
        <v>24</v>
      </c>
      <c r="C94" s="27">
        <v>2022</v>
      </c>
      <c r="D94" s="34">
        <v>0.19488</v>
      </c>
      <c r="E94" s="29"/>
      <c r="F94" s="40"/>
      <c r="G94" s="27" t="s">
        <v>29</v>
      </c>
    </row>
    <row r="95" spans="1:7">
      <c r="A95" s="27" t="s">
        <v>4</v>
      </c>
      <c r="B95" s="27" t="s">
        <v>24</v>
      </c>
      <c r="C95" s="27">
        <v>2023</v>
      </c>
      <c r="D95" s="34">
        <v>0.18856999999999999</v>
      </c>
      <c r="E95" s="29"/>
      <c r="F95" s="40"/>
      <c r="G95" s="27" t="s">
        <v>29</v>
      </c>
    </row>
    <row r="96" spans="1:7">
      <c r="A96" s="27" t="s">
        <v>4</v>
      </c>
      <c r="B96" s="27" t="s">
        <v>24</v>
      </c>
      <c r="C96" s="27">
        <v>2024</v>
      </c>
      <c r="D96" s="34">
        <v>0.20041999999999999</v>
      </c>
      <c r="E96" s="29"/>
      <c r="F96" s="40"/>
      <c r="G96" s="27" t="s">
        <v>29</v>
      </c>
    </row>
    <row r="97" spans="1:7" s="1" customFormat="1">
      <c r="A97" s="27" t="s">
        <v>5</v>
      </c>
      <c r="B97" s="27" t="s">
        <v>24</v>
      </c>
      <c r="C97" s="27">
        <v>2005</v>
      </c>
      <c r="D97" s="29">
        <v>7.9799999999999996E-2</v>
      </c>
      <c r="E97" s="29"/>
      <c r="F97" s="40"/>
      <c r="G97" s="27" t="s">
        <v>15</v>
      </c>
    </row>
    <row r="98" spans="1:7">
      <c r="A98" s="27" t="s">
        <v>5</v>
      </c>
      <c r="B98" s="27" t="s">
        <v>24</v>
      </c>
      <c r="C98" s="27">
        <v>2006</v>
      </c>
      <c r="D98" s="29">
        <v>7.9799999999999996E-2</v>
      </c>
      <c r="E98" s="29"/>
      <c r="F98" s="40"/>
      <c r="G98" s="27" t="s">
        <v>15</v>
      </c>
    </row>
    <row r="99" spans="1:7">
      <c r="A99" s="27" t="s">
        <v>5</v>
      </c>
      <c r="B99" s="27" t="s">
        <v>24</v>
      </c>
      <c r="C99" s="27">
        <v>2007</v>
      </c>
      <c r="D99" s="29">
        <v>7.9799999999999996E-2</v>
      </c>
      <c r="E99" s="29"/>
      <c r="F99" s="40"/>
      <c r="G99" s="27" t="s">
        <v>15</v>
      </c>
    </row>
    <row r="100" spans="1:7">
      <c r="A100" s="27" t="s">
        <v>5</v>
      </c>
      <c r="B100" s="27" t="s">
        <v>24</v>
      </c>
      <c r="C100" s="27">
        <v>2008</v>
      </c>
      <c r="D100" s="29">
        <f>0.0861+0.001</f>
        <v>8.7099999999999997E-2</v>
      </c>
      <c r="E100" s="29"/>
      <c r="F100" s="40"/>
      <c r="G100" s="27" t="s">
        <v>15</v>
      </c>
    </row>
    <row r="101" spans="1:7">
      <c r="A101" s="27" t="s">
        <v>5</v>
      </c>
      <c r="B101" s="27" t="s">
        <v>24</v>
      </c>
      <c r="C101" s="27">
        <v>2009</v>
      </c>
      <c r="D101" s="29">
        <f>0.0886+0.002</f>
        <v>9.06E-2</v>
      </c>
      <c r="E101" s="29"/>
      <c r="F101" s="40"/>
      <c r="G101" s="27" t="s">
        <v>15</v>
      </c>
    </row>
    <row r="102" spans="1:7">
      <c r="A102" s="27" t="s">
        <v>5</v>
      </c>
      <c r="B102" s="27" t="s">
        <v>24</v>
      </c>
      <c r="C102" s="27">
        <v>2010</v>
      </c>
      <c r="D102" s="29">
        <f>0.0946+0.002</f>
        <v>9.6600000000000005E-2</v>
      </c>
      <c r="E102" s="29"/>
      <c r="F102" s="40"/>
      <c r="G102" s="27" t="s">
        <v>15</v>
      </c>
    </row>
    <row r="103" spans="1:7">
      <c r="A103" s="27" t="s">
        <v>5</v>
      </c>
      <c r="B103" s="27" t="s">
        <v>24</v>
      </c>
      <c r="C103" s="27">
        <v>2011</v>
      </c>
      <c r="D103" s="29">
        <f>0.0967+0.0009</f>
        <v>9.7599999999999992E-2</v>
      </c>
      <c r="E103" s="29"/>
      <c r="F103" s="40"/>
      <c r="G103" s="27" t="s">
        <v>15</v>
      </c>
    </row>
    <row r="104" spans="1:7">
      <c r="A104" s="27" t="s">
        <v>5</v>
      </c>
      <c r="B104" s="27" t="s">
        <v>24</v>
      </c>
      <c r="C104" s="27">
        <v>2012</v>
      </c>
      <c r="D104" s="29">
        <f>0.0938+0.0009</f>
        <v>9.4699999999999993E-2</v>
      </c>
      <c r="E104" s="29"/>
      <c r="F104" s="40"/>
      <c r="G104" s="27" t="s">
        <v>15</v>
      </c>
    </row>
    <row r="105" spans="1:7">
      <c r="A105" s="27" t="s">
        <v>5</v>
      </c>
      <c r="B105" s="27" t="s">
        <v>24</v>
      </c>
      <c r="C105" s="27">
        <v>2013</v>
      </c>
      <c r="D105" s="29">
        <f>0.0911+0.0013</f>
        <v>9.2399999999999996E-2</v>
      </c>
      <c r="E105" s="29"/>
      <c r="F105" s="40"/>
      <c r="G105" s="27" t="s">
        <v>15</v>
      </c>
    </row>
    <row r="106" spans="1:7">
      <c r="A106" s="27" t="s">
        <v>5</v>
      </c>
      <c r="B106" s="27" t="s">
        <v>24</v>
      </c>
      <c r="C106" s="27">
        <v>2014</v>
      </c>
      <c r="D106" s="29">
        <f>0.0955+0.0013</f>
        <v>9.6799999999999997E-2</v>
      </c>
      <c r="E106" s="29"/>
      <c r="F106" s="40"/>
      <c r="G106" s="27" t="s">
        <v>15</v>
      </c>
    </row>
    <row r="107" spans="1:7">
      <c r="A107" s="27" t="s">
        <v>5</v>
      </c>
      <c r="B107" s="27" t="s">
        <v>24</v>
      </c>
      <c r="C107" s="27">
        <v>2015</v>
      </c>
      <c r="D107" s="29">
        <f>0.0998+0.0015</f>
        <v>0.1013</v>
      </c>
      <c r="E107" s="29"/>
      <c r="F107" s="40"/>
      <c r="G107" s="27" t="s">
        <v>15</v>
      </c>
    </row>
    <row r="108" spans="1:7">
      <c r="A108" s="27" t="s">
        <v>5</v>
      </c>
      <c r="B108" s="27" t="s">
        <v>24</v>
      </c>
      <c r="C108" s="27">
        <v>2016</v>
      </c>
      <c r="D108" s="29">
        <v>0.10680000000000001</v>
      </c>
      <c r="E108" s="29"/>
      <c r="F108" s="40"/>
      <c r="G108" s="27" t="s">
        <v>10</v>
      </c>
    </row>
    <row r="109" spans="1:7">
      <c r="A109" s="27" t="s">
        <v>5</v>
      </c>
      <c r="B109" s="27" t="s">
        <v>24</v>
      </c>
      <c r="C109" s="27">
        <v>2017</v>
      </c>
      <c r="D109" s="29">
        <v>0.1128</v>
      </c>
      <c r="E109" s="29"/>
      <c r="F109" s="40"/>
      <c r="G109" s="27" t="s">
        <v>10</v>
      </c>
    </row>
    <row r="110" spans="1:7">
      <c r="A110" s="27" t="s">
        <v>5</v>
      </c>
      <c r="B110" s="27" t="s">
        <v>24</v>
      </c>
      <c r="C110" s="27">
        <v>2018</v>
      </c>
      <c r="D110" s="29">
        <v>0.1032</v>
      </c>
      <c r="E110" s="29"/>
      <c r="F110" s="40"/>
      <c r="G110" s="27" t="s">
        <v>11</v>
      </c>
    </row>
    <row r="111" spans="1:7">
      <c r="A111" s="27" t="s">
        <v>5</v>
      </c>
      <c r="B111" s="27" t="s">
        <v>24</v>
      </c>
      <c r="C111" s="27">
        <v>2019</v>
      </c>
      <c r="D111" s="29">
        <v>0.1032</v>
      </c>
      <c r="E111" s="29"/>
      <c r="F111" s="40"/>
      <c r="G111" s="27" t="s">
        <v>12</v>
      </c>
    </row>
    <row r="112" spans="1:7">
      <c r="A112" s="27" t="s">
        <v>5</v>
      </c>
      <c r="B112" s="27" t="s">
        <v>24</v>
      </c>
      <c r="C112" s="27">
        <v>2020</v>
      </c>
      <c r="D112" s="29">
        <v>0.1071</v>
      </c>
      <c r="E112" s="29"/>
      <c r="F112" s="40"/>
      <c r="G112" s="27" t="s">
        <v>14</v>
      </c>
    </row>
    <row r="113" spans="1:7">
      <c r="A113" s="27" t="s">
        <v>5</v>
      </c>
      <c r="B113" s="27" t="s">
        <v>24</v>
      </c>
      <c r="C113" s="27">
        <v>2021</v>
      </c>
      <c r="D113" s="29">
        <v>0.113</v>
      </c>
      <c r="E113" s="29"/>
      <c r="F113" s="40"/>
      <c r="G113" s="27" t="s">
        <v>14</v>
      </c>
    </row>
    <row r="114" spans="1:7">
      <c r="A114" s="27" t="s">
        <v>5</v>
      </c>
      <c r="B114" s="27" t="s">
        <v>24</v>
      </c>
      <c r="C114" s="27">
        <v>2022</v>
      </c>
      <c r="D114" s="29">
        <v>0.1153</v>
      </c>
      <c r="E114" s="29"/>
      <c r="F114" s="40"/>
      <c r="G114" s="27" t="s">
        <v>13</v>
      </c>
    </row>
    <row r="115" spans="1:7">
      <c r="A115" s="27" t="s">
        <v>5</v>
      </c>
      <c r="B115" s="27" t="s">
        <v>24</v>
      </c>
      <c r="C115" s="27">
        <v>2023</v>
      </c>
      <c r="D115" s="29">
        <v>0.11940000000000001</v>
      </c>
      <c r="E115" s="29"/>
      <c r="F115" s="40"/>
      <c r="G115" s="27" t="s">
        <v>13</v>
      </c>
    </row>
    <row r="116" spans="1:7">
      <c r="A116" s="27" t="s">
        <v>5</v>
      </c>
      <c r="B116" s="27" t="s">
        <v>24</v>
      </c>
      <c r="C116" s="27">
        <v>2024</v>
      </c>
      <c r="D116" s="29">
        <v>0.1227</v>
      </c>
      <c r="E116" s="29"/>
      <c r="F116" s="40"/>
      <c r="G116" s="27" t="s">
        <v>9</v>
      </c>
    </row>
    <row r="117" spans="1:7" s="1" customFormat="1">
      <c r="A117" s="28" t="s">
        <v>6</v>
      </c>
      <c r="B117" s="28" t="s">
        <v>22</v>
      </c>
      <c r="C117" s="28">
        <v>2005</v>
      </c>
      <c r="D117" s="31"/>
      <c r="E117" s="31"/>
      <c r="F117" s="31"/>
      <c r="G117" s="28"/>
    </row>
    <row r="118" spans="1:7">
      <c r="A118" s="28" t="s">
        <v>6</v>
      </c>
      <c r="B118" s="28" t="s">
        <v>22</v>
      </c>
      <c r="C118" s="28">
        <v>2006</v>
      </c>
      <c r="D118" s="31"/>
      <c r="E118" s="31"/>
      <c r="F118" s="31"/>
      <c r="G118" s="28"/>
    </row>
    <row r="119" spans="1:7">
      <c r="A119" s="28" t="s">
        <v>6</v>
      </c>
      <c r="B119" s="28" t="s">
        <v>22</v>
      </c>
      <c r="C119" s="28">
        <v>2007</v>
      </c>
      <c r="D119" s="31"/>
      <c r="E119" s="31"/>
      <c r="F119" s="31"/>
      <c r="G119" s="28"/>
    </row>
    <row r="120" spans="1:7">
      <c r="A120" s="28" t="s">
        <v>6</v>
      </c>
      <c r="B120" s="28" t="s">
        <v>22</v>
      </c>
      <c r="C120" s="28">
        <v>2008</v>
      </c>
      <c r="D120" s="31"/>
      <c r="E120" s="31"/>
      <c r="F120" s="31"/>
      <c r="G120" s="28"/>
    </row>
    <row r="121" spans="1:7">
      <c r="A121" s="28" t="s">
        <v>6</v>
      </c>
      <c r="B121" s="28" t="s">
        <v>22</v>
      </c>
      <c r="C121" s="28">
        <v>2009</v>
      </c>
      <c r="D121" s="31"/>
      <c r="E121" s="31"/>
      <c r="F121" s="31"/>
      <c r="G121" s="28"/>
    </row>
    <row r="122" spans="1:7">
      <c r="A122" s="28" t="s">
        <v>6</v>
      </c>
      <c r="B122" s="28" t="s">
        <v>22</v>
      </c>
      <c r="C122" s="28">
        <v>2010</v>
      </c>
      <c r="D122" s="31"/>
      <c r="E122" s="31"/>
      <c r="F122" s="31"/>
      <c r="G122" s="28"/>
    </row>
    <row r="123" spans="1:7">
      <c r="A123" s="28" t="s">
        <v>6</v>
      </c>
      <c r="B123" s="28" t="s">
        <v>22</v>
      </c>
      <c r="C123" s="28">
        <v>2011</v>
      </c>
      <c r="D123" s="31"/>
      <c r="E123" s="31"/>
      <c r="F123" s="31"/>
      <c r="G123" s="28"/>
    </row>
    <row r="124" spans="1:7">
      <c r="A124" s="28" t="s">
        <v>6</v>
      </c>
      <c r="B124" s="28" t="s">
        <v>22</v>
      </c>
      <c r="C124" s="28">
        <v>2012</v>
      </c>
      <c r="D124" s="31"/>
      <c r="E124" s="31"/>
      <c r="F124" s="31"/>
      <c r="G124" s="28"/>
    </row>
    <row r="125" spans="1:7">
      <c r="A125" s="28" t="s">
        <v>6</v>
      </c>
      <c r="B125" s="28" t="s">
        <v>22</v>
      </c>
      <c r="C125" s="28">
        <v>2013</v>
      </c>
      <c r="D125" s="31"/>
      <c r="E125" s="31"/>
      <c r="F125" s="31"/>
      <c r="G125" s="28"/>
    </row>
    <row r="126" spans="1:7">
      <c r="A126" s="28" t="s">
        <v>6</v>
      </c>
      <c r="B126" s="28" t="s">
        <v>22</v>
      </c>
      <c r="C126" s="28">
        <v>2014</v>
      </c>
      <c r="D126" s="31"/>
      <c r="E126" s="31"/>
      <c r="F126" s="31"/>
      <c r="G126" s="28"/>
    </row>
    <row r="127" spans="1:7">
      <c r="A127" s="28" t="s">
        <v>6</v>
      </c>
      <c r="B127" s="28" t="s">
        <v>22</v>
      </c>
      <c r="C127" s="28">
        <v>2015</v>
      </c>
      <c r="D127" s="31"/>
      <c r="E127" s="31"/>
      <c r="F127" s="31"/>
      <c r="G127" s="28"/>
    </row>
    <row r="128" spans="1:7">
      <c r="A128" s="28" t="s">
        <v>6</v>
      </c>
      <c r="B128" s="28" t="s">
        <v>22</v>
      </c>
      <c r="C128" s="28">
        <v>2016</v>
      </c>
      <c r="D128" s="31"/>
      <c r="E128" s="31"/>
      <c r="F128" s="31"/>
      <c r="G128" s="28"/>
    </row>
    <row r="129" spans="1:7">
      <c r="A129" s="28" t="s">
        <v>6</v>
      </c>
      <c r="B129" s="28" t="s">
        <v>22</v>
      </c>
      <c r="C129" s="28">
        <v>2017</v>
      </c>
      <c r="D129" s="31"/>
      <c r="E129" s="31"/>
      <c r="F129" s="31"/>
      <c r="G129" s="28"/>
    </row>
    <row r="130" spans="1:7">
      <c r="A130" s="28" t="s">
        <v>6</v>
      </c>
      <c r="B130" s="28" t="s">
        <v>22</v>
      </c>
      <c r="C130" s="28">
        <v>2018</v>
      </c>
      <c r="D130" s="31"/>
      <c r="E130" s="31"/>
      <c r="F130" s="31"/>
      <c r="G130" s="28"/>
    </row>
    <row r="131" spans="1:7">
      <c r="A131" s="27" t="s">
        <v>6</v>
      </c>
      <c r="B131" s="27" t="s">
        <v>22</v>
      </c>
      <c r="C131" s="27">
        <v>2019</v>
      </c>
      <c r="D131" s="29">
        <v>0.22378999999999999</v>
      </c>
      <c r="E131" s="29"/>
      <c r="F131" s="40"/>
      <c r="G131" s="27"/>
    </row>
    <row r="132" spans="1:7">
      <c r="A132" s="27" t="s">
        <v>6</v>
      </c>
      <c r="B132" s="27" t="s">
        <v>22</v>
      </c>
      <c r="C132" s="27">
        <v>2020</v>
      </c>
      <c r="D132" s="29">
        <v>0.27472999999999997</v>
      </c>
      <c r="E132" s="29"/>
      <c r="F132" s="40"/>
      <c r="G132" s="27"/>
    </row>
    <row r="133" spans="1:7">
      <c r="A133" s="27" t="s">
        <v>6</v>
      </c>
      <c r="B133" s="27" t="s">
        <v>22</v>
      </c>
      <c r="C133" s="27">
        <v>2021</v>
      </c>
      <c r="D133" s="29">
        <v>0.28237000000000001</v>
      </c>
      <c r="E133" s="29"/>
      <c r="F133" s="40"/>
      <c r="G133" s="27"/>
    </row>
    <row r="134" spans="1:7">
      <c r="A134" s="27" t="s">
        <v>6</v>
      </c>
      <c r="B134" s="27" t="s">
        <v>22</v>
      </c>
      <c r="C134" s="27">
        <v>2022</v>
      </c>
      <c r="D134" s="29">
        <v>0.39206000000000002</v>
      </c>
      <c r="E134" s="29"/>
      <c r="F134" s="40"/>
      <c r="G134" s="27"/>
    </row>
    <row r="135" spans="1:7">
      <c r="A135" s="27" t="s">
        <v>6</v>
      </c>
      <c r="B135" s="27" t="s">
        <v>22</v>
      </c>
      <c r="C135" s="27">
        <v>2023</v>
      </c>
      <c r="D135" s="29">
        <v>0.45245000000000002</v>
      </c>
      <c r="E135" s="29"/>
      <c r="F135" s="40"/>
      <c r="G135" s="27"/>
    </row>
    <row r="136" spans="1:7">
      <c r="A136" s="27" t="s">
        <v>6</v>
      </c>
      <c r="B136" s="27" t="s">
        <v>22</v>
      </c>
      <c r="C136" s="27">
        <v>2024</v>
      </c>
      <c r="D136" s="29">
        <v>0.38385000000000002</v>
      </c>
      <c r="E136" s="29"/>
      <c r="F136" s="40"/>
      <c r="G136" s="27"/>
    </row>
    <row r="139" spans="1:7" ht="68">
      <c r="A139" s="39" t="s">
        <v>50</v>
      </c>
      <c r="B139" s="38" t="s">
        <v>51</v>
      </c>
    </row>
    <row r="141" spans="1:7">
      <c r="A141" s="3" t="s">
        <v>53</v>
      </c>
      <c r="B141" s="41"/>
      <c r="C141" t="s">
        <v>54</v>
      </c>
    </row>
    <row r="142" spans="1:7">
      <c r="B142" s="4"/>
      <c r="C142" t="s">
        <v>55</v>
      </c>
    </row>
  </sheetData>
  <autoFilter ref="A1:G136" xr:uid="{C765326C-66C9-9B4E-AA2F-2EFB2434479E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EBFD-B61B-F549-B6C4-33D3AA6702D9}">
  <dimension ref="A1:F81"/>
  <sheetViews>
    <sheetView topLeftCell="A72" zoomScale="137" workbookViewId="0">
      <selection activeCell="C78" sqref="C78"/>
    </sheetView>
  </sheetViews>
  <sheetFormatPr baseColWidth="10" defaultRowHeight="16"/>
  <cols>
    <col min="3" max="3" width="14.5" customWidth="1"/>
  </cols>
  <sheetData>
    <row r="1" spans="1:6" ht="56">
      <c r="A1" s="18" t="s">
        <v>0</v>
      </c>
      <c r="B1" s="18" t="s">
        <v>45</v>
      </c>
      <c r="C1" s="17" t="s">
        <v>49</v>
      </c>
      <c r="D1" s="17" t="s">
        <v>48</v>
      </c>
      <c r="E1" s="17" t="s">
        <v>25</v>
      </c>
      <c r="F1" s="17" t="s">
        <v>40</v>
      </c>
    </row>
    <row r="2" spans="1:6">
      <c r="A2" s="19" t="s">
        <v>1</v>
      </c>
      <c r="B2" s="19">
        <v>2010</v>
      </c>
      <c r="C2" s="20">
        <v>0.14543</v>
      </c>
      <c r="D2" s="42"/>
      <c r="E2" s="19" t="s">
        <v>26</v>
      </c>
      <c r="F2" s="19"/>
    </row>
    <row r="3" spans="1:6">
      <c r="A3" s="19" t="s">
        <v>1</v>
      </c>
      <c r="B3" s="19">
        <v>2011</v>
      </c>
      <c r="C3" s="20">
        <v>0.14574000000000001</v>
      </c>
      <c r="D3" s="42"/>
      <c r="E3" s="19" t="s">
        <v>26</v>
      </c>
      <c r="F3" s="19"/>
    </row>
    <row r="4" spans="1:6">
      <c r="A4" s="19" t="s">
        <v>1</v>
      </c>
      <c r="B4" s="19">
        <v>2012</v>
      </c>
      <c r="C4" s="20">
        <v>0.14430000000000001</v>
      </c>
      <c r="D4" s="42"/>
      <c r="E4" s="19" t="s">
        <v>26</v>
      </c>
      <c r="F4" s="19"/>
    </row>
    <row r="5" spans="1:6">
      <c r="A5" s="19" t="s">
        <v>1</v>
      </c>
      <c r="B5" s="19">
        <v>2013</v>
      </c>
      <c r="C5" s="20">
        <v>0.14671000000000001</v>
      </c>
      <c r="D5" s="42"/>
      <c r="E5" s="19" t="s">
        <v>26</v>
      </c>
      <c r="F5" s="19"/>
    </row>
    <row r="6" spans="1:6">
      <c r="A6" s="19" t="s">
        <v>1</v>
      </c>
      <c r="B6" s="19">
        <v>2014</v>
      </c>
      <c r="C6" s="20">
        <v>0.15014</v>
      </c>
      <c r="D6" s="42"/>
      <c r="E6" s="19" t="s">
        <v>26</v>
      </c>
      <c r="F6" s="19"/>
    </row>
    <row r="7" spans="1:6">
      <c r="A7" s="19" t="s">
        <v>1</v>
      </c>
      <c r="B7" s="19">
        <v>2015</v>
      </c>
      <c r="C7" s="24">
        <v>0.16327</v>
      </c>
      <c r="D7" s="43"/>
      <c r="E7" s="19" t="s">
        <v>26</v>
      </c>
      <c r="F7" s="19"/>
    </row>
    <row r="8" spans="1:6">
      <c r="A8" s="19" t="s">
        <v>1</v>
      </c>
      <c r="B8" s="19">
        <v>2016</v>
      </c>
      <c r="C8" s="20">
        <v>0.18335000000000001</v>
      </c>
      <c r="D8" s="42"/>
      <c r="E8" s="19" t="s">
        <v>26</v>
      </c>
      <c r="F8" s="19"/>
    </row>
    <row r="9" spans="1:6">
      <c r="A9" s="19" t="s">
        <v>1</v>
      </c>
      <c r="B9" s="19">
        <v>2017</v>
      </c>
      <c r="C9" s="20">
        <v>0.18915000000000001</v>
      </c>
      <c r="D9" s="42"/>
      <c r="E9" s="19" t="s">
        <v>26</v>
      </c>
      <c r="F9" s="19"/>
    </row>
    <row r="10" spans="1:6">
      <c r="A10" s="19" t="s">
        <v>1</v>
      </c>
      <c r="B10" s="19">
        <v>2018</v>
      </c>
      <c r="C10" s="20">
        <v>0.19353000000000001</v>
      </c>
      <c r="D10" s="42"/>
      <c r="E10" s="19" t="s">
        <v>26</v>
      </c>
      <c r="F10" s="19"/>
    </row>
    <row r="11" spans="1:6">
      <c r="A11" s="19" t="s">
        <v>1</v>
      </c>
      <c r="B11" s="19">
        <v>2019</v>
      </c>
      <c r="C11" s="20">
        <v>0.19725000000000001</v>
      </c>
      <c r="D11" s="42"/>
      <c r="E11" s="19" t="s">
        <v>26</v>
      </c>
      <c r="F11" s="19"/>
    </row>
    <row r="12" spans="1:6">
      <c r="A12" s="19" t="s">
        <v>1</v>
      </c>
      <c r="B12" s="19">
        <v>2020</v>
      </c>
      <c r="C12" s="20">
        <v>0.21471000000000001</v>
      </c>
      <c r="D12" s="42"/>
      <c r="E12" s="19" t="s">
        <v>26</v>
      </c>
      <c r="F12" s="19"/>
    </row>
    <row r="13" spans="1:6">
      <c r="A13" s="19" t="s">
        <v>1</v>
      </c>
      <c r="B13" s="19">
        <v>2021</v>
      </c>
      <c r="C13" s="22">
        <v>0.21679000000000001</v>
      </c>
      <c r="D13" s="44"/>
      <c r="E13" s="19" t="s">
        <v>26</v>
      </c>
      <c r="F13" s="19"/>
    </row>
    <row r="14" spans="1:6">
      <c r="A14" s="19" t="s">
        <v>1</v>
      </c>
      <c r="B14" s="19">
        <v>2022</v>
      </c>
      <c r="C14" s="22">
        <v>0.24979999999999999</v>
      </c>
      <c r="D14" s="44"/>
      <c r="E14" s="19" t="s">
        <v>26</v>
      </c>
      <c r="F14" s="19"/>
    </row>
    <row r="15" spans="1:6">
      <c r="A15" s="19" t="s">
        <v>1</v>
      </c>
      <c r="B15" s="19">
        <v>2023</v>
      </c>
      <c r="C15" s="22">
        <v>0.29307</v>
      </c>
      <c r="D15" s="44"/>
      <c r="E15" s="19" t="s">
        <v>26</v>
      </c>
      <c r="F15" s="19"/>
    </row>
    <row r="16" spans="1:6">
      <c r="A16" s="19" t="s">
        <v>1</v>
      </c>
      <c r="B16" s="19">
        <v>2024</v>
      </c>
      <c r="C16" s="22">
        <v>0.40447</v>
      </c>
      <c r="D16" s="44"/>
      <c r="E16" s="19" t="s">
        <v>26</v>
      </c>
      <c r="F16" s="19"/>
    </row>
    <row r="17" spans="1:6">
      <c r="A17" s="25" t="s">
        <v>3</v>
      </c>
      <c r="B17" s="25">
        <v>2010</v>
      </c>
      <c r="C17" s="23"/>
      <c r="D17" s="23"/>
      <c r="E17" s="25"/>
      <c r="F17" s="25"/>
    </row>
    <row r="18" spans="1:6">
      <c r="A18" s="25" t="s">
        <v>3</v>
      </c>
      <c r="B18" s="25">
        <v>2011</v>
      </c>
      <c r="C18" s="23"/>
      <c r="D18" s="23"/>
      <c r="E18" s="25"/>
      <c r="F18" s="25"/>
    </row>
    <row r="19" spans="1:6">
      <c r="A19" s="25" t="s">
        <v>3</v>
      </c>
      <c r="B19" s="25">
        <v>2012</v>
      </c>
      <c r="C19" s="23"/>
      <c r="D19" s="23"/>
      <c r="E19" s="25"/>
      <c r="F19" s="25"/>
    </row>
    <row r="20" spans="1:6">
      <c r="A20" s="19" t="s">
        <v>3</v>
      </c>
      <c r="B20" s="19">
        <v>2013</v>
      </c>
      <c r="C20" s="21">
        <f>0.06867+0.07377-0.00097</f>
        <v>0.14147000000000001</v>
      </c>
      <c r="D20" s="24">
        <f>0.796*30</f>
        <v>23.880000000000003</v>
      </c>
      <c r="E20" s="19" t="s">
        <v>31</v>
      </c>
      <c r="F20" s="19"/>
    </row>
    <row r="21" spans="1:6">
      <c r="A21" s="19" t="s">
        <v>3</v>
      </c>
      <c r="B21" s="19">
        <v>2014</v>
      </c>
      <c r="C21" s="21">
        <f>0.06511+0.07508-0.00037</f>
        <v>0.13981999999999997</v>
      </c>
      <c r="D21" s="24">
        <f>30*0.836</f>
        <v>25.08</v>
      </c>
      <c r="E21" s="19" t="s">
        <v>31</v>
      </c>
      <c r="F21" s="19"/>
    </row>
    <row r="22" spans="1:6">
      <c r="A22" s="19" t="s">
        <v>3</v>
      </c>
      <c r="B22" s="19">
        <v>2015</v>
      </c>
      <c r="C22" s="21">
        <f>0.07002+0.0874-0.00172</f>
        <v>0.15570000000000001</v>
      </c>
      <c r="D22" s="24">
        <f>30*0.836</f>
        <v>25.08</v>
      </c>
      <c r="E22" s="19" t="s">
        <v>31</v>
      </c>
      <c r="F22" s="19"/>
    </row>
    <row r="23" spans="1:6">
      <c r="A23" s="19" t="s">
        <v>3</v>
      </c>
      <c r="B23" s="19">
        <v>2016</v>
      </c>
      <c r="C23" s="21">
        <f>0.07296+0.06114-0.00022</f>
        <v>0.13388</v>
      </c>
      <c r="D23" s="24">
        <f>30*0.836</f>
        <v>25.08</v>
      </c>
      <c r="E23" s="19" t="s">
        <v>31</v>
      </c>
      <c r="F23" s="19"/>
    </row>
    <row r="24" spans="1:6">
      <c r="A24" s="19" t="s">
        <v>3</v>
      </c>
      <c r="B24" s="19">
        <v>2017</v>
      </c>
      <c r="C24" s="21">
        <f>0.07808+0.06421</f>
        <v>0.14229</v>
      </c>
      <c r="D24" s="24">
        <f>30*0.777</f>
        <v>23.310000000000002</v>
      </c>
      <c r="E24" s="19" t="s">
        <v>31</v>
      </c>
      <c r="F24" s="19"/>
    </row>
    <row r="25" spans="1:6">
      <c r="A25" s="19" t="s">
        <v>3</v>
      </c>
      <c r="B25" s="19">
        <v>2018</v>
      </c>
      <c r="C25" s="21">
        <f>0.07249+0.07375</f>
        <v>0.14623999999999998</v>
      </c>
      <c r="D25" s="24">
        <f>30*0.806</f>
        <v>24.18</v>
      </c>
      <c r="E25" s="19" t="s">
        <v>31</v>
      </c>
      <c r="F25" s="19"/>
    </row>
    <row r="26" spans="1:6">
      <c r="A26" s="19" t="s">
        <v>3</v>
      </c>
      <c r="B26" s="19">
        <v>2019</v>
      </c>
      <c r="C26" s="21">
        <f>0.07169 +0.07273</f>
        <v>0.14441999999999999</v>
      </c>
      <c r="D26" s="24">
        <f>30*0.806</f>
        <v>24.18</v>
      </c>
      <c r="E26" s="19" t="s">
        <v>31</v>
      </c>
      <c r="F26" s="19"/>
    </row>
    <row r="27" spans="1:6">
      <c r="A27" s="19" t="s">
        <v>3</v>
      </c>
      <c r="B27" s="19">
        <v>2020</v>
      </c>
      <c r="C27" s="21">
        <f>0.07895+0.08012</f>
        <v>0.15906999999999999</v>
      </c>
      <c r="D27" s="24">
        <f>30*0.347</f>
        <v>10.41</v>
      </c>
      <c r="E27" s="19" t="s">
        <v>31</v>
      </c>
      <c r="F27" s="19"/>
    </row>
    <row r="28" spans="1:6">
      <c r="A28" s="19" t="s">
        <v>3</v>
      </c>
      <c r="B28" s="19">
        <v>2021</v>
      </c>
      <c r="C28" s="24">
        <f>0.10828+0.07973</f>
        <v>0.18801000000000001</v>
      </c>
      <c r="D28" s="24">
        <f>30*0.457</f>
        <v>13.71</v>
      </c>
      <c r="E28" s="19" t="s">
        <v>31</v>
      </c>
      <c r="F28" s="19"/>
    </row>
    <row r="29" spans="1:6">
      <c r="A29" s="19" t="s">
        <v>3</v>
      </c>
      <c r="B29" s="19">
        <v>2022</v>
      </c>
      <c r="C29" s="21">
        <f>0.13017+0.07956</f>
        <v>0.20973000000000003</v>
      </c>
      <c r="D29" s="21">
        <f>30*0.566</f>
        <v>16.979999999999997</v>
      </c>
      <c r="E29" s="19" t="s">
        <v>31</v>
      </c>
      <c r="F29" s="19"/>
    </row>
    <row r="30" spans="1:6">
      <c r="A30" s="19" t="s">
        <v>3</v>
      </c>
      <c r="B30" s="19">
        <v>2023</v>
      </c>
      <c r="C30" s="21">
        <f>0.12254+0.12607+0.0007</f>
        <v>0.24931</v>
      </c>
      <c r="D30" s="24">
        <f>30*0.468</f>
        <v>14.040000000000001</v>
      </c>
      <c r="E30" s="19" t="s">
        <v>31</v>
      </c>
      <c r="F30" s="19"/>
    </row>
    <row r="31" spans="1:6">
      <c r="A31" s="19" t="s">
        <v>3</v>
      </c>
      <c r="B31" s="19">
        <v>2024</v>
      </c>
      <c r="C31" s="21">
        <f>0.14008+0.12117+0.00148</f>
        <v>0.26272999999999996</v>
      </c>
      <c r="D31" s="21">
        <f>30*0.468</f>
        <v>14.040000000000001</v>
      </c>
      <c r="E31" s="19" t="s">
        <v>31</v>
      </c>
      <c r="F31" s="19"/>
    </row>
    <row r="32" spans="1:6">
      <c r="A32" s="19" t="s">
        <v>4</v>
      </c>
      <c r="B32" s="19">
        <v>2010</v>
      </c>
      <c r="C32" s="8">
        <v>9.3579999999999997E-2</v>
      </c>
      <c r="D32" s="8">
        <v>6.5</v>
      </c>
      <c r="E32" s="19" t="s">
        <v>32</v>
      </c>
      <c r="F32" s="19" t="s">
        <v>30</v>
      </c>
    </row>
    <row r="33" spans="1:6">
      <c r="A33" s="19" t="s">
        <v>4</v>
      </c>
      <c r="B33" s="19">
        <v>2011</v>
      </c>
      <c r="C33" s="8">
        <v>9.9580000000000002E-2</v>
      </c>
      <c r="D33" s="8">
        <v>6.5</v>
      </c>
      <c r="E33" s="19" t="s">
        <v>32</v>
      </c>
      <c r="F33" s="19" t="s">
        <v>30</v>
      </c>
    </row>
    <row r="34" spans="1:6">
      <c r="A34" s="19" t="s">
        <v>4</v>
      </c>
      <c r="B34" s="19">
        <v>2012</v>
      </c>
      <c r="C34" s="8">
        <v>9.9580000000000002E-2</v>
      </c>
      <c r="D34" s="8">
        <v>6.5</v>
      </c>
      <c r="E34" s="19" t="s">
        <v>32</v>
      </c>
      <c r="F34" s="19" t="s">
        <v>30</v>
      </c>
    </row>
    <row r="35" spans="1:6">
      <c r="A35" s="19" t="s">
        <v>4</v>
      </c>
      <c r="B35" s="19">
        <v>2013</v>
      </c>
      <c r="C35" s="8">
        <v>0.10433000000000001</v>
      </c>
      <c r="D35" s="8">
        <v>6.5</v>
      </c>
      <c r="E35" s="19" t="s">
        <v>32</v>
      </c>
      <c r="F35" s="19" t="s">
        <v>30</v>
      </c>
    </row>
    <row r="36" spans="1:6">
      <c r="A36" s="19" t="s">
        <v>4</v>
      </c>
      <c r="B36" s="19">
        <v>2014</v>
      </c>
      <c r="C36" s="8">
        <v>0.11063000000000001</v>
      </c>
      <c r="D36" s="8">
        <v>6.5</v>
      </c>
      <c r="E36" s="19" t="s">
        <v>32</v>
      </c>
      <c r="F36" s="19" t="s">
        <v>30</v>
      </c>
    </row>
    <row r="37" spans="1:6">
      <c r="A37" s="19" t="s">
        <v>4</v>
      </c>
      <c r="B37" s="19">
        <v>2015</v>
      </c>
      <c r="C37" s="8">
        <v>0.11720999999999999</v>
      </c>
      <c r="D37" s="8">
        <v>6.5</v>
      </c>
      <c r="E37" s="19" t="s">
        <v>32</v>
      </c>
      <c r="F37" s="19" t="s">
        <v>30</v>
      </c>
    </row>
    <row r="38" spans="1:6">
      <c r="A38" s="19" t="s">
        <v>4</v>
      </c>
      <c r="B38" s="19">
        <v>2016</v>
      </c>
      <c r="C38" s="8">
        <v>0.11416999999999999</v>
      </c>
      <c r="D38" s="8">
        <v>6.5</v>
      </c>
      <c r="E38" s="19" t="s">
        <v>32</v>
      </c>
      <c r="F38" s="19" t="s">
        <v>30</v>
      </c>
    </row>
    <row r="39" spans="1:6">
      <c r="A39" s="19" t="s">
        <v>4</v>
      </c>
      <c r="B39" s="19">
        <v>2017</v>
      </c>
      <c r="C39" s="8">
        <v>0.12095999999999998</v>
      </c>
      <c r="D39" s="8">
        <v>7</v>
      </c>
      <c r="E39" s="19" t="s">
        <v>32</v>
      </c>
      <c r="F39" s="19" t="s">
        <v>30</v>
      </c>
    </row>
    <row r="40" spans="1:6">
      <c r="A40" s="19" t="s">
        <v>4</v>
      </c>
      <c r="B40" s="19">
        <v>2018</v>
      </c>
      <c r="C40" s="8">
        <v>0.12634000000000001</v>
      </c>
      <c r="D40" s="8">
        <v>7</v>
      </c>
      <c r="E40" s="19" t="s">
        <v>32</v>
      </c>
      <c r="F40" s="19" t="s">
        <v>30</v>
      </c>
    </row>
    <row r="41" spans="1:6">
      <c r="A41" s="19" t="s">
        <v>4</v>
      </c>
      <c r="B41" s="19">
        <v>2019</v>
      </c>
      <c r="C41" s="8">
        <v>0.13680999999999999</v>
      </c>
      <c r="D41" s="8">
        <v>7</v>
      </c>
      <c r="E41" s="19" t="s">
        <v>32</v>
      </c>
      <c r="F41" s="19" t="s">
        <v>30</v>
      </c>
    </row>
    <row r="42" spans="1:6">
      <c r="A42" s="19" t="s">
        <v>4</v>
      </c>
      <c r="B42" s="19">
        <v>2020</v>
      </c>
      <c r="C42" s="8">
        <v>0.14172000000000001</v>
      </c>
      <c r="D42" s="8">
        <v>7</v>
      </c>
      <c r="E42" s="19" t="s">
        <v>32</v>
      </c>
      <c r="F42" s="19" t="s">
        <v>30</v>
      </c>
    </row>
    <row r="43" spans="1:6">
      <c r="A43" s="19" t="s">
        <v>4</v>
      </c>
      <c r="B43" s="19">
        <v>2021</v>
      </c>
      <c r="C43" s="8">
        <v>0.14429</v>
      </c>
      <c r="D43" s="8">
        <v>7</v>
      </c>
      <c r="E43" s="19" t="s">
        <v>32</v>
      </c>
      <c r="F43" s="19" t="s">
        <v>30</v>
      </c>
    </row>
    <row r="44" spans="1:6">
      <c r="A44" s="19" t="s">
        <v>4</v>
      </c>
      <c r="B44" s="19">
        <v>2022</v>
      </c>
      <c r="C44" s="8">
        <v>0.16064000000000001</v>
      </c>
      <c r="D44" s="8">
        <v>7</v>
      </c>
      <c r="E44" s="19" t="s">
        <v>32</v>
      </c>
      <c r="F44" s="19" t="s">
        <v>30</v>
      </c>
    </row>
    <row r="45" spans="1:6">
      <c r="A45" s="19" t="s">
        <v>4</v>
      </c>
      <c r="B45" s="19">
        <v>2023</v>
      </c>
      <c r="C45" s="8">
        <v>0.16152</v>
      </c>
      <c r="D45" s="8">
        <v>7</v>
      </c>
      <c r="E45" s="19" t="s">
        <v>32</v>
      </c>
      <c r="F45" s="19" t="s">
        <v>30</v>
      </c>
    </row>
    <row r="46" spans="1:6">
      <c r="A46" s="19" t="s">
        <v>4</v>
      </c>
      <c r="B46" s="19">
        <v>2024</v>
      </c>
      <c r="C46" s="8">
        <v>0.1691</v>
      </c>
      <c r="D46" s="8">
        <v>7</v>
      </c>
      <c r="E46" s="19" t="s">
        <v>32</v>
      </c>
      <c r="F46" s="19" t="s">
        <v>30</v>
      </c>
    </row>
    <row r="47" spans="1:6">
      <c r="A47" s="19" t="s">
        <v>5</v>
      </c>
      <c r="B47" s="19">
        <v>2010</v>
      </c>
      <c r="C47" s="45"/>
      <c r="D47" s="45"/>
      <c r="E47" s="19" t="s">
        <v>28</v>
      </c>
      <c r="F47" s="19"/>
    </row>
    <row r="48" spans="1:6">
      <c r="A48" s="19" t="s">
        <v>5</v>
      </c>
      <c r="B48" s="19">
        <v>2011</v>
      </c>
      <c r="C48" s="45"/>
      <c r="D48" s="45"/>
      <c r="E48" s="19" t="s">
        <v>28</v>
      </c>
      <c r="F48" s="19"/>
    </row>
    <row r="49" spans="1:6">
      <c r="A49" s="19" t="s">
        <v>5</v>
      </c>
      <c r="B49" s="19">
        <v>2012</v>
      </c>
      <c r="C49" s="45"/>
      <c r="D49" s="45"/>
      <c r="E49" s="19" t="s">
        <v>28</v>
      </c>
      <c r="F49" s="19"/>
    </row>
    <row r="50" spans="1:6">
      <c r="A50" s="19" t="s">
        <v>5</v>
      </c>
      <c r="B50" s="19">
        <v>2013</v>
      </c>
      <c r="C50" s="45"/>
      <c r="D50" s="45"/>
      <c r="E50" s="19" t="s">
        <v>28</v>
      </c>
      <c r="F50" s="19"/>
    </row>
    <row r="51" spans="1:6">
      <c r="A51" s="19" t="s">
        <v>5</v>
      </c>
      <c r="B51" s="19">
        <v>2014</v>
      </c>
      <c r="C51" s="45"/>
      <c r="D51" s="45"/>
      <c r="E51" s="19" t="s">
        <v>28</v>
      </c>
      <c r="F51" s="19"/>
    </row>
    <row r="52" spans="1:6">
      <c r="A52" s="19" t="s">
        <v>5</v>
      </c>
      <c r="B52" s="19">
        <v>2015</v>
      </c>
      <c r="C52" s="45"/>
      <c r="D52" s="45"/>
      <c r="E52" s="19" t="s">
        <v>28</v>
      </c>
      <c r="F52" s="19"/>
    </row>
    <row r="53" spans="1:6">
      <c r="A53" s="19" t="s">
        <v>5</v>
      </c>
      <c r="B53" s="19">
        <v>2016</v>
      </c>
      <c r="C53" s="43"/>
      <c r="D53" s="43"/>
      <c r="E53" s="19" t="s">
        <v>28</v>
      </c>
      <c r="F53" s="19"/>
    </row>
    <row r="54" spans="1:6">
      <c r="A54" s="19" t="s">
        <v>5</v>
      </c>
      <c r="B54" s="19">
        <v>2017</v>
      </c>
      <c r="C54" s="43"/>
      <c r="D54" s="43"/>
      <c r="E54" s="19" t="s">
        <v>28</v>
      </c>
      <c r="F54" s="19"/>
    </row>
    <row r="55" spans="1:6">
      <c r="A55" s="19" t="s">
        <v>5</v>
      </c>
      <c r="B55" s="19">
        <v>2018</v>
      </c>
      <c r="C55" s="43"/>
      <c r="D55" s="43"/>
      <c r="E55" s="19" t="s">
        <v>28</v>
      </c>
      <c r="F55" s="19"/>
    </row>
    <row r="56" spans="1:6">
      <c r="A56" s="19" t="s">
        <v>5</v>
      </c>
      <c r="B56" s="19">
        <v>2019</v>
      </c>
      <c r="C56" s="43"/>
      <c r="D56" s="43"/>
      <c r="E56" s="19" t="s">
        <v>28</v>
      </c>
      <c r="F56" s="19"/>
    </row>
    <row r="57" spans="1:6">
      <c r="A57" s="19" t="s">
        <v>5</v>
      </c>
      <c r="B57" s="19">
        <v>2020</v>
      </c>
      <c r="C57" s="43"/>
      <c r="D57" s="43"/>
      <c r="E57" s="19" t="s">
        <v>28</v>
      </c>
      <c r="F57" s="19"/>
    </row>
    <row r="58" spans="1:6">
      <c r="A58" s="19" t="s">
        <v>5</v>
      </c>
      <c r="B58" s="19">
        <v>2021</v>
      </c>
      <c r="C58" s="43"/>
      <c r="D58" s="43"/>
      <c r="E58" s="19" t="s">
        <v>28</v>
      </c>
      <c r="F58" s="19"/>
    </row>
    <row r="59" spans="1:6">
      <c r="A59" s="19" t="s">
        <v>5</v>
      </c>
      <c r="B59" s="19">
        <v>2022</v>
      </c>
      <c r="C59" s="43"/>
      <c r="D59" s="43"/>
      <c r="E59" s="19" t="s">
        <v>28</v>
      </c>
      <c r="F59" s="19"/>
    </row>
    <row r="60" spans="1:6">
      <c r="A60" s="19" t="s">
        <v>5</v>
      </c>
      <c r="B60" s="19">
        <v>2023</v>
      </c>
      <c r="C60" s="43"/>
      <c r="D60" s="43"/>
      <c r="E60" s="19" t="s">
        <v>28</v>
      </c>
      <c r="F60" s="19"/>
    </row>
    <row r="61" spans="1:6">
      <c r="A61" s="19" t="s">
        <v>5</v>
      </c>
      <c r="B61" s="19">
        <v>2024</v>
      </c>
      <c r="C61" s="43"/>
      <c r="D61" s="43"/>
      <c r="E61" s="19" t="s">
        <v>28</v>
      </c>
      <c r="F61" s="19"/>
    </row>
    <row r="62" spans="1:6">
      <c r="A62" s="19" t="s">
        <v>6</v>
      </c>
      <c r="B62" s="19">
        <v>2010</v>
      </c>
      <c r="C62" s="43"/>
      <c r="D62" s="43"/>
      <c r="E62" s="19" t="s">
        <v>27</v>
      </c>
      <c r="F62" s="19"/>
    </row>
    <row r="63" spans="1:6">
      <c r="A63" s="19" t="s">
        <v>6</v>
      </c>
      <c r="B63" s="19">
        <v>2011</v>
      </c>
      <c r="C63" s="43"/>
      <c r="D63" s="43"/>
      <c r="E63" s="19" t="s">
        <v>27</v>
      </c>
      <c r="F63" s="19"/>
    </row>
    <row r="64" spans="1:6">
      <c r="A64" s="19" t="s">
        <v>6</v>
      </c>
      <c r="B64" s="19">
        <v>2012</v>
      </c>
      <c r="C64" s="43"/>
      <c r="D64" s="43"/>
      <c r="E64" s="19" t="s">
        <v>27</v>
      </c>
      <c r="F64" s="19"/>
    </row>
    <row r="65" spans="1:6">
      <c r="A65" s="19" t="s">
        <v>6</v>
      </c>
      <c r="B65" s="19">
        <v>2013</v>
      </c>
      <c r="C65" s="43"/>
      <c r="D65" s="43"/>
      <c r="E65" s="19" t="s">
        <v>27</v>
      </c>
      <c r="F65" s="19"/>
    </row>
    <row r="66" spans="1:6">
      <c r="A66" s="19" t="s">
        <v>6</v>
      </c>
      <c r="B66" s="19">
        <v>2014</v>
      </c>
      <c r="C66" s="43"/>
      <c r="D66" s="43"/>
      <c r="E66" s="19" t="s">
        <v>27</v>
      </c>
      <c r="F66" s="19"/>
    </row>
    <row r="67" spans="1:6">
      <c r="A67" s="19" t="s">
        <v>6</v>
      </c>
      <c r="B67" s="19">
        <v>2015</v>
      </c>
      <c r="C67" s="43"/>
      <c r="D67" s="43"/>
      <c r="E67" s="19" t="s">
        <v>27</v>
      </c>
      <c r="F67" s="19"/>
    </row>
    <row r="68" spans="1:6">
      <c r="A68" s="19" t="s">
        <v>6</v>
      </c>
      <c r="B68" s="19">
        <v>2016</v>
      </c>
      <c r="C68" s="43"/>
      <c r="D68" s="43"/>
      <c r="E68" s="19" t="s">
        <v>27</v>
      </c>
      <c r="F68" s="19"/>
    </row>
    <row r="69" spans="1:6">
      <c r="A69" s="19" t="s">
        <v>6</v>
      </c>
      <c r="B69" s="19">
        <v>2017</v>
      </c>
      <c r="C69" s="43"/>
      <c r="D69" s="43"/>
      <c r="E69" s="19" t="s">
        <v>27</v>
      </c>
      <c r="F69" s="19"/>
    </row>
    <row r="70" spans="1:6">
      <c r="A70" s="19" t="s">
        <v>6</v>
      </c>
      <c r="B70" s="19">
        <v>2018</v>
      </c>
      <c r="C70" s="43"/>
      <c r="D70" s="43"/>
      <c r="E70" s="19" t="s">
        <v>27</v>
      </c>
      <c r="F70" s="19"/>
    </row>
    <row r="71" spans="1:6">
      <c r="A71" s="19" t="s">
        <v>6</v>
      </c>
      <c r="B71" s="19">
        <v>2019</v>
      </c>
      <c r="C71" s="46"/>
      <c r="D71" s="46"/>
      <c r="E71" s="19" t="s">
        <v>27</v>
      </c>
      <c r="F71" s="19"/>
    </row>
    <row r="72" spans="1:6">
      <c r="A72" s="19" t="s">
        <v>6</v>
      </c>
      <c r="B72" s="19">
        <v>2020</v>
      </c>
      <c r="C72" s="46"/>
      <c r="D72" s="46"/>
      <c r="E72" s="19" t="s">
        <v>27</v>
      </c>
      <c r="F72" s="19"/>
    </row>
    <row r="73" spans="1:6">
      <c r="A73" s="19" t="s">
        <v>6</v>
      </c>
      <c r="B73" s="19">
        <v>2021</v>
      </c>
      <c r="C73" s="46"/>
      <c r="D73" s="46"/>
      <c r="E73" s="19" t="s">
        <v>27</v>
      </c>
      <c r="F73" s="19"/>
    </row>
    <row r="74" spans="1:6">
      <c r="A74" s="19" t="s">
        <v>6</v>
      </c>
      <c r="B74" s="19">
        <v>2022</v>
      </c>
      <c r="C74" s="46"/>
      <c r="D74" s="46"/>
      <c r="E74" s="19" t="s">
        <v>27</v>
      </c>
      <c r="F74" s="19"/>
    </row>
    <row r="75" spans="1:6">
      <c r="A75" s="19" t="s">
        <v>6</v>
      </c>
      <c r="B75" s="19">
        <v>2023</v>
      </c>
      <c r="C75" s="47"/>
      <c r="D75" s="47"/>
      <c r="E75" s="19" t="s">
        <v>27</v>
      </c>
      <c r="F75" s="19"/>
    </row>
    <row r="76" spans="1:6">
      <c r="A76" s="19" t="s">
        <v>6</v>
      </c>
      <c r="B76" s="19">
        <v>2024</v>
      </c>
      <c r="C76" s="47"/>
      <c r="D76" s="47"/>
      <c r="E76" s="19" t="s">
        <v>27</v>
      </c>
      <c r="F76" s="19"/>
    </row>
    <row r="78" spans="1:6" ht="51">
      <c r="A78" s="39" t="s">
        <v>50</v>
      </c>
      <c r="B78" s="38" t="s">
        <v>51</v>
      </c>
      <c r="C78" s="2" t="s">
        <v>56</v>
      </c>
    </row>
    <row r="80" spans="1:6">
      <c r="A80" s="3" t="s">
        <v>53</v>
      </c>
      <c r="B80" s="41"/>
      <c r="C80" t="s">
        <v>54</v>
      </c>
    </row>
    <row r="81" spans="2:3">
      <c r="B81" s="4"/>
      <c r="C81" t="s">
        <v>55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EA71-FD44-AA49-B897-B390D8FC9C19}">
  <dimension ref="A1:I83"/>
  <sheetViews>
    <sheetView tabSelected="1" workbookViewId="0">
      <pane ySplit="1" topLeftCell="A41" activePane="bottomLeft" state="frozen"/>
      <selection pane="bottomLeft" activeCell="C80" sqref="C80"/>
    </sheetView>
  </sheetViews>
  <sheetFormatPr baseColWidth="10" defaultRowHeight="16"/>
  <cols>
    <col min="3" max="5" width="11.1640625" bestFit="1" customWidth="1"/>
    <col min="6" max="6" width="14.83203125" bestFit="1" customWidth="1"/>
    <col min="7" max="7" width="19" customWidth="1"/>
  </cols>
  <sheetData>
    <row r="1" spans="1:9" ht="44" customHeight="1">
      <c r="A1" s="16" t="s">
        <v>0</v>
      </c>
      <c r="B1" s="16" t="s">
        <v>45</v>
      </c>
      <c r="C1" s="17" t="s">
        <v>37</v>
      </c>
      <c r="D1" s="17" t="s">
        <v>46</v>
      </c>
      <c r="E1" s="17" t="s">
        <v>47</v>
      </c>
      <c r="F1" s="17" t="s">
        <v>48</v>
      </c>
      <c r="G1" s="17" t="s">
        <v>38</v>
      </c>
      <c r="H1" s="17" t="s">
        <v>40</v>
      </c>
      <c r="I1" s="17" t="s">
        <v>25</v>
      </c>
    </row>
    <row r="2" spans="1:9">
      <c r="A2" s="5" t="s">
        <v>4</v>
      </c>
      <c r="B2" s="5">
        <v>2010</v>
      </c>
      <c r="C2" s="6">
        <v>8.9529999999999998E-2</v>
      </c>
      <c r="D2" s="6">
        <v>8.9529999999999998E-2</v>
      </c>
      <c r="E2" s="6">
        <v>7.2870000000000004E-2</v>
      </c>
      <c r="F2" s="6">
        <v>75</v>
      </c>
      <c r="G2" s="11"/>
      <c r="H2" s="5"/>
      <c r="I2" s="5" t="s">
        <v>33</v>
      </c>
    </row>
    <row r="3" spans="1:9">
      <c r="A3" s="5" t="s">
        <v>4</v>
      </c>
      <c r="B3" s="5">
        <v>2011</v>
      </c>
      <c r="C3" s="6">
        <v>9.5530000000000004E-2</v>
      </c>
      <c r="D3" s="6">
        <v>9.5530000000000004E-2</v>
      </c>
      <c r="E3" s="6">
        <v>7.8869999999999996E-2</v>
      </c>
      <c r="F3" s="6">
        <v>75</v>
      </c>
      <c r="G3" s="6">
        <v>4</v>
      </c>
      <c r="H3" s="5"/>
      <c r="I3" s="5" t="s">
        <v>33</v>
      </c>
    </row>
    <row r="4" spans="1:9">
      <c r="A4" s="5" t="s">
        <v>4</v>
      </c>
      <c r="B4" s="5">
        <v>2012</v>
      </c>
      <c r="C4" s="6">
        <v>9.5530000000000004E-2</v>
      </c>
      <c r="D4" s="6">
        <v>9.5530000000000004E-2</v>
      </c>
      <c r="E4" s="6">
        <v>7.8869999999999996E-2</v>
      </c>
      <c r="F4" s="6">
        <v>75</v>
      </c>
      <c r="G4" s="6">
        <v>4</v>
      </c>
      <c r="H4" s="5"/>
      <c r="I4" s="5" t="s">
        <v>33</v>
      </c>
    </row>
    <row r="5" spans="1:9">
      <c r="A5" s="5" t="s">
        <v>4</v>
      </c>
      <c r="B5" s="5">
        <v>2013</v>
      </c>
      <c r="C5" s="6">
        <v>9.9239999999999995E-2</v>
      </c>
      <c r="D5" s="6">
        <v>9.9239999999999995E-2</v>
      </c>
      <c r="E5" s="6">
        <v>8.2580000000000001E-2</v>
      </c>
      <c r="F5" s="6">
        <v>75</v>
      </c>
      <c r="G5" s="6">
        <v>4.3899999999999997</v>
      </c>
      <c r="H5" s="5"/>
      <c r="I5" s="5" t="s">
        <v>33</v>
      </c>
    </row>
    <row r="6" spans="1:9">
      <c r="A6" s="5" t="s">
        <v>4</v>
      </c>
      <c r="B6" s="5">
        <v>2014</v>
      </c>
      <c r="C6" s="6">
        <v>0.10392</v>
      </c>
      <c r="D6" s="6">
        <v>0.10392</v>
      </c>
      <c r="E6" s="6">
        <v>8.7260000000000004E-2</v>
      </c>
      <c r="F6" s="6">
        <v>75</v>
      </c>
      <c r="G6" s="6">
        <v>4.5600000000000005</v>
      </c>
      <c r="H6" s="5"/>
      <c r="I6" s="5" t="s">
        <v>33</v>
      </c>
    </row>
    <row r="7" spans="1:9">
      <c r="A7" s="5" t="s">
        <v>4</v>
      </c>
      <c r="B7" s="5">
        <v>2015</v>
      </c>
      <c r="C7" s="6">
        <v>0.11049999999999999</v>
      </c>
      <c r="D7" s="6">
        <v>0.11049999999999999</v>
      </c>
      <c r="E7" s="6">
        <v>9.3839999999999993E-2</v>
      </c>
      <c r="F7" s="6">
        <v>75</v>
      </c>
      <c r="G7" s="6">
        <v>4.5600000000000005</v>
      </c>
      <c r="H7" s="5"/>
      <c r="I7" s="5" t="s">
        <v>33</v>
      </c>
    </row>
    <row r="8" spans="1:9">
      <c r="A8" s="5" t="s">
        <v>4</v>
      </c>
      <c r="B8" s="5">
        <v>2016</v>
      </c>
      <c r="C8" s="6">
        <v>0.10746</v>
      </c>
      <c r="D8" s="6">
        <v>0.10746</v>
      </c>
      <c r="E8" s="6">
        <v>9.0799999999999992E-2</v>
      </c>
      <c r="F8" s="6">
        <v>75</v>
      </c>
      <c r="G8" s="6">
        <v>4.5600000000000005</v>
      </c>
      <c r="H8" s="5"/>
      <c r="I8" s="5" t="s">
        <v>33</v>
      </c>
    </row>
    <row r="9" spans="1:9">
      <c r="A9" s="5" t="s">
        <v>4</v>
      </c>
      <c r="B9" s="5">
        <v>2017</v>
      </c>
      <c r="C9" s="6">
        <v>0.11570999999999999</v>
      </c>
      <c r="D9" s="6">
        <v>0.11570999999999999</v>
      </c>
      <c r="E9" s="6">
        <v>9.9049999999999999E-2</v>
      </c>
      <c r="F9" s="6">
        <v>75</v>
      </c>
      <c r="G9" s="6">
        <v>4.5600000000000005</v>
      </c>
      <c r="H9" s="5"/>
      <c r="I9" s="5" t="s">
        <v>33</v>
      </c>
    </row>
    <row r="10" spans="1:9">
      <c r="A10" s="5" t="s">
        <v>4</v>
      </c>
      <c r="B10" s="5">
        <v>2018</v>
      </c>
      <c r="C10" s="6">
        <v>0.12304000000000001</v>
      </c>
      <c r="D10" s="6">
        <v>0.12304000000000001</v>
      </c>
      <c r="E10" s="6">
        <v>0.10638</v>
      </c>
      <c r="F10" s="6">
        <v>75</v>
      </c>
      <c r="G10" s="6">
        <v>4.5600000000000005</v>
      </c>
      <c r="H10" s="5"/>
      <c r="I10" s="5" t="s">
        <v>33</v>
      </c>
    </row>
    <row r="11" spans="1:9">
      <c r="A11" s="5" t="s">
        <v>4</v>
      </c>
      <c r="B11" s="5">
        <v>2019</v>
      </c>
      <c r="C11" s="6">
        <v>0.13524</v>
      </c>
      <c r="D11" s="6">
        <v>0.13524</v>
      </c>
      <c r="E11" s="6">
        <v>0.11857999999999999</v>
      </c>
      <c r="F11" s="6">
        <v>75</v>
      </c>
      <c r="G11" s="6">
        <v>4.5600000000000005</v>
      </c>
      <c r="H11" s="5"/>
      <c r="I11" s="5" t="s">
        <v>33</v>
      </c>
    </row>
    <row r="12" spans="1:9">
      <c r="A12" s="5" t="s">
        <v>4</v>
      </c>
      <c r="B12" s="5">
        <v>2020</v>
      </c>
      <c r="C12" s="6">
        <v>0.14152000000000001</v>
      </c>
      <c r="D12" s="6">
        <v>0.14152000000000001</v>
      </c>
      <c r="E12" s="6">
        <v>0.12486</v>
      </c>
      <c r="F12" s="6">
        <v>75</v>
      </c>
      <c r="G12" s="6">
        <v>4.5600000000000005</v>
      </c>
      <c r="H12" s="5"/>
      <c r="I12" s="5" t="s">
        <v>33</v>
      </c>
    </row>
    <row r="13" spans="1:9">
      <c r="A13" s="7" t="s">
        <v>4</v>
      </c>
      <c r="B13" s="7">
        <v>2021</v>
      </c>
      <c r="C13" s="11"/>
      <c r="D13" s="11"/>
      <c r="E13" s="11"/>
      <c r="F13" s="11"/>
      <c r="G13" s="11"/>
      <c r="H13" s="7"/>
      <c r="I13" s="7"/>
    </row>
    <row r="14" spans="1:9">
      <c r="A14" s="7" t="s">
        <v>4</v>
      </c>
      <c r="B14" s="7">
        <v>2022</v>
      </c>
      <c r="C14" s="11"/>
      <c r="D14" s="11"/>
      <c r="E14" s="11"/>
      <c r="F14" s="11"/>
      <c r="G14" s="11"/>
      <c r="H14" s="7"/>
      <c r="I14" s="7"/>
    </row>
    <row r="15" spans="1:9">
      <c r="A15" s="7" t="s">
        <v>4</v>
      </c>
      <c r="B15" s="7">
        <v>2023</v>
      </c>
      <c r="C15" s="11"/>
      <c r="D15" s="11"/>
      <c r="E15" s="11"/>
      <c r="F15" s="11"/>
      <c r="G15" s="11"/>
      <c r="H15" s="7"/>
      <c r="I15" s="7"/>
    </row>
    <row r="16" spans="1:9">
      <c r="A16" s="7" t="s">
        <v>4</v>
      </c>
      <c r="B16" s="7">
        <v>2024</v>
      </c>
      <c r="C16" s="11"/>
      <c r="D16" s="11"/>
      <c r="E16" s="11"/>
      <c r="F16" s="11"/>
      <c r="G16" s="11"/>
      <c r="H16" s="7"/>
      <c r="I16" s="7"/>
    </row>
    <row r="17" spans="1:9">
      <c r="A17" s="7" t="s">
        <v>3</v>
      </c>
      <c r="B17" s="7">
        <v>2010</v>
      </c>
      <c r="C17" s="11"/>
      <c r="D17" s="11"/>
      <c r="E17" s="11"/>
      <c r="F17" s="11"/>
      <c r="G17" s="11"/>
      <c r="H17" s="7"/>
      <c r="I17" s="7"/>
    </row>
    <row r="18" spans="1:9">
      <c r="A18" s="7" t="s">
        <v>3</v>
      </c>
      <c r="B18" s="7">
        <v>2011</v>
      </c>
      <c r="C18" s="11"/>
      <c r="D18" s="11"/>
      <c r="E18" s="11"/>
      <c r="F18" s="11"/>
      <c r="G18" s="11"/>
      <c r="H18" s="7"/>
      <c r="I18" s="7"/>
    </row>
    <row r="19" spans="1:9">
      <c r="A19" s="7" t="s">
        <v>3</v>
      </c>
      <c r="B19" s="7">
        <v>2012</v>
      </c>
      <c r="C19" s="11"/>
      <c r="D19" s="11"/>
      <c r="E19" s="11"/>
      <c r="F19" s="11"/>
      <c r="G19" s="11"/>
      <c r="H19" s="7"/>
      <c r="I19" s="7"/>
    </row>
    <row r="20" spans="1:9">
      <c r="A20" s="5" t="s">
        <v>3</v>
      </c>
      <c r="B20" s="5">
        <v>2013</v>
      </c>
      <c r="C20" s="12" t="s">
        <v>7</v>
      </c>
      <c r="D20" s="10">
        <f>0.0649-0.00097+0.01905</f>
        <v>8.2979999999999998E-2</v>
      </c>
      <c r="E20" s="10">
        <f>0.03798-0.00097+0.01905</f>
        <v>5.6059999999999999E-2</v>
      </c>
      <c r="F20" s="12">
        <v>626.52</v>
      </c>
      <c r="G20" s="12">
        <v>14.88</v>
      </c>
      <c r="H20" s="5" t="s">
        <v>36</v>
      </c>
      <c r="I20" s="5" t="s">
        <v>34</v>
      </c>
    </row>
    <row r="21" spans="1:9">
      <c r="A21" s="5" t="s">
        <v>3</v>
      </c>
      <c r="B21" s="5">
        <v>2014</v>
      </c>
      <c r="C21" s="12" t="s">
        <v>7</v>
      </c>
      <c r="D21" s="10">
        <f>0.05817-0.00037+0.02307</f>
        <v>8.0869999999999997E-2</v>
      </c>
      <c r="E21" s="10">
        <f>0.03875-0.00037+0.02307</f>
        <v>6.1449999999999998E-2</v>
      </c>
      <c r="F21" s="12">
        <v>613.82000000000005</v>
      </c>
      <c r="G21" s="12">
        <v>15.33</v>
      </c>
      <c r="H21" s="5" t="s">
        <v>36</v>
      </c>
      <c r="I21" s="5" t="s">
        <v>34</v>
      </c>
    </row>
    <row r="22" spans="1:9">
      <c r="A22" s="5" t="s">
        <v>3</v>
      </c>
      <c r="B22" s="5">
        <v>2015</v>
      </c>
      <c r="C22" s="12" t="s">
        <v>7</v>
      </c>
      <c r="D22" s="10">
        <f>0.06497-0.00172+0.02638</f>
        <v>8.9630000000000001E-2</v>
      </c>
      <c r="E22" s="10">
        <f>0.04372-0.00172+0.02638</f>
        <v>6.8379999999999996E-2</v>
      </c>
      <c r="F22" s="12">
        <v>609.78</v>
      </c>
      <c r="G22" s="12">
        <v>15.57</v>
      </c>
      <c r="H22" s="5" t="s">
        <v>36</v>
      </c>
      <c r="I22" s="5" t="s">
        <v>34</v>
      </c>
    </row>
    <row r="23" spans="1:9">
      <c r="A23" s="5" t="s">
        <v>3</v>
      </c>
      <c r="B23" s="5">
        <v>2016</v>
      </c>
      <c r="C23" s="12" t="s">
        <v>7</v>
      </c>
      <c r="D23" s="10">
        <f>0.04473-0.00022+0.02331</f>
        <v>6.7820000000000005E-2</v>
      </c>
      <c r="E23" s="10">
        <f>0.02985-0.00022+0.02331</f>
        <v>5.2940000000000001E-2</v>
      </c>
      <c r="F23" s="12">
        <v>356.41</v>
      </c>
      <c r="G23" s="12">
        <v>17.579999999999998</v>
      </c>
      <c r="H23" s="5" t="s">
        <v>36</v>
      </c>
      <c r="I23" s="5" t="s">
        <v>34</v>
      </c>
    </row>
    <row r="24" spans="1:9">
      <c r="A24" s="5" t="s">
        <v>3</v>
      </c>
      <c r="B24" s="5">
        <v>2017</v>
      </c>
      <c r="C24" s="12" t="s">
        <v>7</v>
      </c>
      <c r="D24" s="10">
        <f>0.04674+0.02576</f>
        <v>7.2499999999999995E-2</v>
      </c>
      <c r="E24" s="10">
        <f>0.03721+0.02576</f>
        <v>6.2969999999999998E-2</v>
      </c>
      <c r="F24" s="12">
        <v>634.89</v>
      </c>
      <c r="G24" s="12">
        <v>18.55</v>
      </c>
      <c r="H24" s="5" t="s">
        <v>36</v>
      </c>
      <c r="I24" s="5" t="s">
        <v>34</v>
      </c>
    </row>
    <row r="25" spans="1:9">
      <c r="A25" s="5" t="s">
        <v>3</v>
      </c>
      <c r="B25" s="5">
        <v>2018</v>
      </c>
      <c r="C25" s="12" t="s">
        <v>7</v>
      </c>
      <c r="D25" s="10">
        <f>0.05369+0.02012</f>
        <v>7.3810000000000001E-2</v>
      </c>
      <c r="E25" s="10">
        <f>0.04274+0.02012</f>
        <v>6.2859999999999999E-2</v>
      </c>
      <c r="F25" s="12">
        <v>658.17</v>
      </c>
      <c r="G25" s="12">
        <v>19.02</v>
      </c>
      <c r="H25" s="5" t="s">
        <v>36</v>
      </c>
      <c r="I25" s="5" t="s">
        <v>34</v>
      </c>
    </row>
    <row r="26" spans="1:9">
      <c r="A26" s="5" t="s">
        <v>3</v>
      </c>
      <c r="B26" s="5">
        <v>2019</v>
      </c>
      <c r="C26" s="12" t="s">
        <v>7</v>
      </c>
      <c r="D26" s="10">
        <f>0.05294-0.00007+0.02084</f>
        <v>7.3709999999999998E-2</v>
      </c>
      <c r="E26" s="10">
        <f>0.04214-0.00007+0.02084</f>
        <v>6.2909999999999994E-2</v>
      </c>
      <c r="F26" s="12">
        <v>658.17</v>
      </c>
      <c r="G26" s="12">
        <v>18.55</v>
      </c>
      <c r="H26" s="5" t="s">
        <v>36</v>
      </c>
      <c r="I26" s="5" t="s">
        <v>34</v>
      </c>
    </row>
    <row r="27" spans="1:9">
      <c r="A27" s="5" t="s">
        <v>3</v>
      </c>
      <c r="B27" s="5">
        <v>2020</v>
      </c>
      <c r="C27" s="12">
        <f>0.0624+0.02439-0.00007</f>
        <v>8.6719999999999992E-2</v>
      </c>
      <c r="D27" s="10">
        <f>0.05239+0.02439-0.00007</f>
        <v>7.671E-2</v>
      </c>
      <c r="E27" s="10">
        <f>0.03361+0.02439-0.00007</f>
        <v>5.7929999999999995E-2</v>
      </c>
      <c r="F27" s="12">
        <v>433.47</v>
      </c>
      <c r="G27" s="12">
        <v>11.78</v>
      </c>
      <c r="H27" s="5" t="s">
        <v>35</v>
      </c>
      <c r="I27" s="5" t="s">
        <v>34</v>
      </c>
    </row>
    <row r="28" spans="1:9">
      <c r="A28" s="5" t="s">
        <v>3</v>
      </c>
      <c r="B28" s="5">
        <v>2021</v>
      </c>
      <c r="C28" s="12">
        <f>0.06118+0.03873</f>
        <v>9.9909999999999999E-2</v>
      </c>
      <c r="D28" s="10">
        <f>0.05136+0.03873</f>
        <v>9.0090000000000003E-2</v>
      </c>
      <c r="E28" s="10">
        <v>3.8730000000000001E-2</v>
      </c>
      <c r="F28" s="12">
        <v>571.13</v>
      </c>
      <c r="G28" s="12">
        <v>14.97</v>
      </c>
      <c r="H28" s="5" t="s">
        <v>35</v>
      </c>
      <c r="I28" s="5" t="s">
        <v>34</v>
      </c>
    </row>
    <row r="29" spans="1:9">
      <c r="A29" s="5" t="s">
        <v>3</v>
      </c>
      <c r="B29" s="5">
        <v>2022</v>
      </c>
      <c r="C29" s="12">
        <f>0.04325+0.06104</f>
        <v>0.10428999999999999</v>
      </c>
      <c r="D29" s="10">
        <f>0.04325+0.05125</f>
        <v>9.4500000000000001E-2</v>
      </c>
      <c r="E29" s="10">
        <f>0.04325+0.03285</f>
        <v>7.6100000000000001E-2</v>
      </c>
      <c r="F29" s="12">
        <v>716.13</v>
      </c>
      <c r="G29" s="12">
        <v>18.97</v>
      </c>
      <c r="H29" s="5" t="s">
        <v>35</v>
      </c>
      <c r="I29" s="5" t="s">
        <v>34</v>
      </c>
    </row>
    <row r="30" spans="1:9">
      <c r="A30" s="5" t="s">
        <v>3</v>
      </c>
      <c r="B30" s="5">
        <v>2023</v>
      </c>
      <c r="C30" s="12">
        <f>0.00115+0.0439+0.09047</f>
        <v>0.13552</v>
      </c>
      <c r="D30" s="10">
        <f>0.00115+0.04257+0.09103</f>
        <v>0.13474999999999998</v>
      </c>
      <c r="E30" s="10">
        <f>0.00115+0.04181+0.04778</f>
        <v>9.0740000000000001E-2</v>
      </c>
      <c r="F30" s="12">
        <v>419.88</v>
      </c>
      <c r="G30" s="12">
        <v>21.22</v>
      </c>
      <c r="H30" s="5" t="s">
        <v>35</v>
      </c>
      <c r="I30" s="5" t="s">
        <v>34</v>
      </c>
    </row>
    <row r="31" spans="1:9">
      <c r="A31" s="5" t="s">
        <v>3</v>
      </c>
      <c r="B31" s="5">
        <v>2024</v>
      </c>
      <c r="C31" s="12">
        <f>0.00047+0.03707+0.09407</f>
        <v>0.13161</v>
      </c>
      <c r="D31" s="10">
        <f>0.00047+0.03596+0.09465</f>
        <v>0.13108</v>
      </c>
      <c r="E31" s="10">
        <f>0.00047+0.03533+0.04968</f>
        <v>8.548E-2</v>
      </c>
      <c r="F31" s="12">
        <v>349.79</v>
      </c>
      <c r="G31" s="12">
        <v>23.28</v>
      </c>
      <c r="H31" s="5" t="s">
        <v>35</v>
      </c>
      <c r="I31" s="5" t="s">
        <v>34</v>
      </c>
    </row>
    <row r="32" spans="1:9">
      <c r="A32" s="5" t="s">
        <v>1</v>
      </c>
      <c r="B32" s="5">
        <v>2010</v>
      </c>
      <c r="C32" s="9" t="s">
        <v>7</v>
      </c>
      <c r="D32" s="13">
        <v>9.5769999999999994E-2</v>
      </c>
      <c r="E32" s="13">
        <v>8.48E-2</v>
      </c>
      <c r="F32" s="10">
        <f>30*13.55236</f>
        <v>406.57080000000002</v>
      </c>
      <c r="G32" s="14">
        <v>7.97</v>
      </c>
      <c r="H32" s="5" t="s">
        <v>43</v>
      </c>
      <c r="I32" s="5" t="s">
        <v>39</v>
      </c>
    </row>
    <row r="33" spans="1:9">
      <c r="A33" s="5" t="s">
        <v>1</v>
      </c>
      <c r="B33" s="5">
        <v>2011</v>
      </c>
      <c r="C33" s="9" t="s">
        <v>7</v>
      </c>
      <c r="D33" s="13">
        <v>9.2160000000000006E-2</v>
      </c>
      <c r="E33" s="13">
        <v>8.2390000000000005E-2</v>
      </c>
      <c r="F33" s="10">
        <f>30*13.55236</f>
        <v>406.57080000000002</v>
      </c>
      <c r="G33" s="14">
        <v>9</v>
      </c>
      <c r="H33" s="5" t="s">
        <v>43</v>
      </c>
      <c r="I33" s="5" t="s">
        <v>39</v>
      </c>
    </row>
    <row r="34" spans="1:9">
      <c r="A34" s="5" t="s">
        <v>1</v>
      </c>
      <c r="B34" s="5">
        <v>2012</v>
      </c>
      <c r="C34" s="9" t="s">
        <v>7</v>
      </c>
      <c r="D34" s="13">
        <v>0.09</v>
      </c>
      <c r="E34" s="13">
        <v>7.2569999999999996E-2</v>
      </c>
      <c r="F34" s="10">
        <f>19.71253*30</f>
        <v>591.3759</v>
      </c>
      <c r="G34" s="14">
        <v>11.85</v>
      </c>
      <c r="H34" s="5" t="s">
        <v>43</v>
      </c>
      <c r="I34" s="5" t="s">
        <v>39</v>
      </c>
    </row>
    <row r="35" spans="1:9">
      <c r="A35" s="5" t="s">
        <v>1</v>
      </c>
      <c r="B35" s="5">
        <v>2013</v>
      </c>
      <c r="C35" s="9" t="s">
        <v>7</v>
      </c>
      <c r="D35" s="13">
        <v>9.3030000000000002E-2</v>
      </c>
      <c r="E35" s="13">
        <v>7.3050000000000004E-2</v>
      </c>
      <c r="F35" s="10">
        <f>30*19.71253</f>
        <v>591.3759</v>
      </c>
      <c r="G35" s="14">
        <v>11.79</v>
      </c>
      <c r="H35" s="5" t="s">
        <v>43</v>
      </c>
      <c r="I35" s="5" t="s">
        <v>39</v>
      </c>
    </row>
    <row r="36" spans="1:9">
      <c r="A36" s="5" t="s">
        <v>1</v>
      </c>
      <c r="B36" s="5">
        <v>2014</v>
      </c>
      <c r="C36" s="9" t="s">
        <v>7</v>
      </c>
      <c r="D36" s="13">
        <v>9.8239999999999994E-2</v>
      </c>
      <c r="E36" s="13">
        <v>7.6810000000000003E-2</v>
      </c>
      <c r="F36" s="10">
        <f>19.71253*30</f>
        <v>591.3759</v>
      </c>
      <c r="G36" s="14">
        <v>12.24</v>
      </c>
      <c r="H36" s="5" t="s">
        <v>43</v>
      </c>
      <c r="I36" s="5" t="s">
        <v>39</v>
      </c>
    </row>
    <row r="37" spans="1:9">
      <c r="A37" s="5" t="s">
        <v>1</v>
      </c>
      <c r="B37" s="5">
        <v>2015</v>
      </c>
      <c r="C37" s="9" t="s">
        <v>7</v>
      </c>
      <c r="D37" s="13">
        <v>0.10485</v>
      </c>
      <c r="E37" s="13">
        <v>8.097E-2</v>
      </c>
      <c r="F37" s="10">
        <f>19.71253*30</f>
        <v>591.3759</v>
      </c>
      <c r="G37" s="14">
        <v>13.67</v>
      </c>
      <c r="H37" s="5" t="s">
        <v>43</v>
      </c>
      <c r="I37" s="5" t="s">
        <v>39</v>
      </c>
    </row>
    <row r="38" spans="1:9">
      <c r="A38" s="5" t="s">
        <v>1</v>
      </c>
      <c r="B38" s="5">
        <v>2016</v>
      </c>
      <c r="C38" s="9" t="s">
        <v>7</v>
      </c>
      <c r="D38" s="13">
        <v>0.10122</v>
      </c>
      <c r="E38" s="13">
        <v>8.6739999999999998E-2</v>
      </c>
      <c r="F38" s="10">
        <f>30*19.71253</f>
        <v>591.3759</v>
      </c>
      <c r="G38" s="14">
        <v>15.86</v>
      </c>
      <c r="H38" s="5" t="s">
        <v>43</v>
      </c>
      <c r="I38" s="5" t="s">
        <v>39</v>
      </c>
    </row>
    <row r="39" spans="1:9">
      <c r="A39" s="5" t="s">
        <v>1</v>
      </c>
      <c r="B39" s="5">
        <v>2017</v>
      </c>
      <c r="C39" s="9" t="s">
        <v>7</v>
      </c>
      <c r="D39" s="13">
        <v>0.10779</v>
      </c>
      <c r="E39" s="13">
        <v>9.3170000000000003E-2</v>
      </c>
      <c r="F39" s="10">
        <f>19.71253*30</f>
        <v>591.3759</v>
      </c>
      <c r="G39" s="14">
        <v>16.079999999999998</v>
      </c>
      <c r="H39" s="5" t="s">
        <v>43</v>
      </c>
      <c r="I39" s="5" t="s">
        <v>39</v>
      </c>
    </row>
    <row r="40" spans="1:9">
      <c r="A40" s="5" t="s">
        <v>1</v>
      </c>
      <c r="B40" s="5">
        <v>2018</v>
      </c>
      <c r="C40" s="9" t="s">
        <v>7</v>
      </c>
      <c r="D40" s="13">
        <v>0.10639999999999999</v>
      </c>
      <c r="E40" s="13">
        <v>9.178E-2</v>
      </c>
      <c r="F40" s="10">
        <f>19.71253*30</f>
        <v>591.3759</v>
      </c>
      <c r="G40" s="14">
        <v>17.57</v>
      </c>
      <c r="H40" s="5" t="s">
        <v>43</v>
      </c>
      <c r="I40" s="5" t="s">
        <v>39</v>
      </c>
    </row>
    <row r="41" spans="1:9">
      <c r="A41" s="5" t="s">
        <v>1</v>
      </c>
      <c r="B41" s="5">
        <v>2019</v>
      </c>
      <c r="C41" s="9" t="s">
        <v>7</v>
      </c>
      <c r="D41" s="13">
        <v>0.10958</v>
      </c>
      <c r="E41" s="13">
        <v>9.3549999999999994E-2</v>
      </c>
      <c r="F41" s="10">
        <f>30*19.71253</f>
        <v>591.3759</v>
      </c>
      <c r="G41" s="14">
        <v>17.54</v>
      </c>
      <c r="H41" s="5" t="s">
        <v>43</v>
      </c>
      <c r="I41" s="5" t="s">
        <v>39</v>
      </c>
    </row>
    <row r="42" spans="1:9">
      <c r="A42" s="5" t="s">
        <v>1</v>
      </c>
      <c r="B42" s="5">
        <v>2020</v>
      </c>
      <c r="C42" s="9" t="s">
        <v>7</v>
      </c>
      <c r="D42" s="13">
        <v>0.11663999999999999</v>
      </c>
      <c r="E42" s="13">
        <v>9.9419999999999994E-2</v>
      </c>
      <c r="F42" s="10">
        <f>30*23.65503</f>
        <v>709.65089999999998</v>
      </c>
      <c r="G42" s="14">
        <v>20.55</v>
      </c>
      <c r="H42" s="5" t="s">
        <v>43</v>
      </c>
      <c r="I42" s="5" t="s">
        <v>39</v>
      </c>
    </row>
    <row r="43" spans="1:9">
      <c r="A43" s="5" t="s">
        <v>1</v>
      </c>
      <c r="B43" s="5">
        <v>2021</v>
      </c>
      <c r="C43" s="9" t="s">
        <v>7</v>
      </c>
      <c r="D43" s="15">
        <v>0.11560000000000001</v>
      </c>
      <c r="E43" s="13">
        <v>9.917999999999999E-2</v>
      </c>
      <c r="F43" s="9">
        <f>30*24.86564</f>
        <v>745.9692</v>
      </c>
      <c r="G43" s="14">
        <v>21.08</v>
      </c>
      <c r="H43" s="5" t="s">
        <v>43</v>
      </c>
      <c r="I43" s="5" t="s">
        <v>39</v>
      </c>
    </row>
    <row r="44" spans="1:9">
      <c r="A44" s="5" t="s">
        <v>1</v>
      </c>
      <c r="B44" s="5">
        <v>2022</v>
      </c>
      <c r="C44" s="15">
        <v>0.14338999999999999</v>
      </c>
      <c r="D44" s="15">
        <v>0.11233</v>
      </c>
      <c r="E44" s="15">
        <v>7.0650000000000004E-2</v>
      </c>
      <c r="F44" s="10">
        <f>30*29.6355</f>
        <v>889.06500000000005</v>
      </c>
      <c r="G44" s="14">
        <v>26.03</v>
      </c>
      <c r="H44" s="5" t="s">
        <v>44</v>
      </c>
      <c r="I44" s="5" t="s">
        <v>42</v>
      </c>
    </row>
    <row r="45" spans="1:9">
      <c r="A45" s="5" t="s">
        <v>1</v>
      </c>
      <c r="B45" s="5">
        <v>2023</v>
      </c>
      <c r="C45" s="15">
        <v>0.1852</v>
      </c>
      <c r="D45" s="15">
        <v>0.13958999999999999</v>
      </c>
      <c r="E45" s="15">
        <v>7.8399999999999997E-2</v>
      </c>
      <c r="F45" s="10">
        <f>30*30.47581</f>
        <v>914.27429999999993</v>
      </c>
      <c r="G45" s="14">
        <v>26.46</v>
      </c>
      <c r="H45" s="5" t="s">
        <v>44</v>
      </c>
      <c r="I45" s="5" t="s">
        <v>42</v>
      </c>
    </row>
    <row r="46" spans="1:9">
      <c r="A46" s="5" t="s">
        <v>1</v>
      </c>
      <c r="B46" s="5">
        <v>2024</v>
      </c>
      <c r="C46" s="15">
        <v>0.21119000000000002</v>
      </c>
      <c r="D46" s="15">
        <v>0.15683</v>
      </c>
      <c r="E46" s="15">
        <v>8.3900000000000002E-2</v>
      </c>
      <c r="F46" s="9">
        <f>30*57.4791</f>
        <v>1724.373</v>
      </c>
      <c r="G46" s="14">
        <v>37.85</v>
      </c>
      <c r="H46" s="5" t="s">
        <v>44</v>
      </c>
      <c r="I46" s="5" t="s">
        <v>42</v>
      </c>
    </row>
    <row r="47" spans="1:9">
      <c r="A47" s="5" t="s">
        <v>5</v>
      </c>
      <c r="B47" s="5">
        <v>2010</v>
      </c>
      <c r="C47" s="48"/>
      <c r="D47" s="49"/>
      <c r="E47" s="49"/>
      <c r="F47" s="49"/>
      <c r="G47" s="49"/>
      <c r="H47" s="5"/>
      <c r="I47" s="5"/>
    </row>
    <row r="48" spans="1:9">
      <c r="A48" s="5" t="s">
        <v>5</v>
      </c>
      <c r="B48" s="5">
        <v>2011</v>
      </c>
      <c r="C48" s="49"/>
      <c r="D48" s="49"/>
      <c r="E48" s="49"/>
      <c r="F48" s="49"/>
      <c r="G48" s="49"/>
      <c r="H48" s="5"/>
      <c r="I48" s="5"/>
    </row>
    <row r="49" spans="1:9">
      <c r="A49" s="5" t="s">
        <v>5</v>
      </c>
      <c r="B49" s="5">
        <v>2012</v>
      </c>
      <c r="C49" s="49"/>
      <c r="D49" s="49"/>
      <c r="E49" s="49"/>
      <c r="F49" s="49"/>
      <c r="G49" s="49"/>
      <c r="H49" s="5"/>
      <c r="I49" s="5"/>
    </row>
    <row r="50" spans="1:9">
      <c r="A50" s="5" t="s">
        <v>5</v>
      </c>
      <c r="B50" s="5">
        <v>2013</v>
      </c>
      <c r="C50" s="49"/>
      <c r="D50" s="49"/>
      <c r="E50" s="49"/>
      <c r="F50" s="49"/>
      <c r="G50" s="49"/>
      <c r="H50" s="5"/>
      <c r="I50" s="5"/>
    </row>
    <row r="51" spans="1:9">
      <c r="A51" s="5" t="s">
        <v>5</v>
      </c>
      <c r="B51" s="5">
        <v>2014</v>
      </c>
      <c r="C51" s="49"/>
      <c r="D51" s="49"/>
      <c r="E51" s="49"/>
      <c r="F51" s="49"/>
      <c r="G51" s="49"/>
      <c r="H51" s="5"/>
      <c r="I51" s="5"/>
    </row>
    <row r="52" spans="1:9">
      <c r="A52" s="5" t="s">
        <v>5</v>
      </c>
      <c r="B52" s="5">
        <v>2015</v>
      </c>
      <c r="C52" s="49"/>
      <c r="D52" s="49"/>
      <c r="E52" s="49"/>
      <c r="F52" s="49"/>
      <c r="G52" s="49"/>
      <c r="H52" s="5"/>
      <c r="I52" s="5"/>
    </row>
    <row r="53" spans="1:9">
      <c r="A53" s="5" t="s">
        <v>5</v>
      </c>
      <c r="B53" s="5">
        <v>2016</v>
      </c>
      <c r="C53" s="49"/>
      <c r="D53" s="49"/>
      <c r="E53" s="49"/>
      <c r="F53" s="49"/>
      <c r="G53" s="49"/>
      <c r="H53" s="5"/>
      <c r="I53" s="5"/>
    </row>
    <row r="54" spans="1:9">
      <c r="A54" s="5" t="s">
        <v>5</v>
      </c>
      <c r="B54" s="5">
        <v>2017</v>
      </c>
      <c r="C54" s="49"/>
      <c r="D54" s="49"/>
      <c r="E54" s="49"/>
      <c r="F54" s="49"/>
      <c r="G54" s="49"/>
      <c r="H54" s="5"/>
      <c r="I54" s="5"/>
    </row>
    <row r="55" spans="1:9">
      <c r="A55" s="5" t="s">
        <v>5</v>
      </c>
      <c r="B55" s="5">
        <v>2018</v>
      </c>
      <c r="C55" s="49"/>
      <c r="D55" s="49"/>
      <c r="E55" s="49"/>
      <c r="F55" s="49"/>
      <c r="G55" s="49"/>
      <c r="H55" s="5"/>
      <c r="I55" s="5"/>
    </row>
    <row r="56" spans="1:9">
      <c r="A56" s="5" t="s">
        <v>5</v>
      </c>
      <c r="B56" s="5">
        <v>2019</v>
      </c>
      <c r="C56" s="49"/>
      <c r="D56" s="49"/>
      <c r="E56" s="49"/>
      <c r="F56" s="49"/>
      <c r="G56" s="49"/>
      <c r="H56" s="5"/>
      <c r="I56" s="5"/>
    </row>
    <row r="57" spans="1:9">
      <c r="A57" s="5" t="s">
        <v>5</v>
      </c>
      <c r="B57" s="5">
        <v>2020</v>
      </c>
      <c r="C57" s="49"/>
      <c r="D57" s="49"/>
      <c r="E57" s="49"/>
      <c r="F57" s="49"/>
      <c r="G57" s="49"/>
      <c r="H57" s="5"/>
      <c r="I57" s="5"/>
    </row>
    <row r="58" spans="1:9">
      <c r="A58" s="5" t="s">
        <v>5</v>
      </c>
      <c r="B58" s="5">
        <v>2021</v>
      </c>
      <c r="C58" s="49"/>
      <c r="D58" s="49"/>
      <c r="E58" s="49"/>
      <c r="F58" s="49"/>
      <c r="G58" s="49"/>
      <c r="H58" s="5"/>
      <c r="I58" s="5"/>
    </row>
    <row r="59" spans="1:9">
      <c r="A59" s="5" t="s">
        <v>5</v>
      </c>
      <c r="B59" s="5">
        <v>2022</v>
      </c>
      <c r="C59" s="49"/>
      <c r="D59" s="49"/>
      <c r="E59" s="49"/>
      <c r="F59" s="49"/>
      <c r="G59" s="49"/>
      <c r="H59" s="5"/>
      <c r="I59" s="5"/>
    </row>
    <row r="60" spans="1:9">
      <c r="A60" s="5" t="s">
        <v>5</v>
      </c>
      <c r="B60" s="5">
        <v>2023</v>
      </c>
      <c r="C60" s="49"/>
      <c r="D60" s="49"/>
      <c r="E60" s="49"/>
      <c r="F60" s="49"/>
      <c r="G60" s="49"/>
      <c r="H60" s="5"/>
      <c r="I60" s="5"/>
    </row>
    <row r="61" spans="1:9">
      <c r="A61" s="5" t="s">
        <v>5</v>
      </c>
      <c r="B61" s="5">
        <v>2024</v>
      </c>
      <c r="C61" s="49"/>
      <c r="D61" s="49"/>
      <c r="E61" s="49"/>
      <c r="F61" s="49"/>
      <c r="G61" s="49"/>
      <c r="H61" s="5"/>
      <c r="I61" s="5"/>
    </row>
    <row r="62" spans="1:9">
      <c r="A62" s="5" t="s">
        <v>6</v>
      </c>
      <c r="B62" s="5">
        <v>2010</v>
      </c>
      <c r="C62" s="49"/>
      <c r="D62" s="49"/>
      <c r="E62" s="49"/>
      <c r="F62" s="49"/>
      <c r="G62" s="49"/>
      <c r="H62" s="5"/>
      <c r="I62" s="5"/>
    </row>
    <row r="63" spans="1:9">
      <c r="A63" s="5" t="s">
        <v>6</v>
      </c>
      <c r="B63" s="5">
        <v>2011</v>
      </c>
      <c r="C63" s="49"/>
      <c r="D63" s="49"/>
      <c r="E63" s="49"/>
      <c r="F63" s="49"/>
      <c r="G63" s="49"/>
      <c r="H63" s="5"/>
      <c r="I63" s="5"/>
    </row>
    <row r="64" spans="1:9">
      <c r="A64" s="5" t="s">
        <v>6</v>
      </c>
      <c r="B64" s="5">
        <v>2012</v>
      </c>
      <c r="C64" s="49"/>
      <c r="D64" s="49"/>
      <c r="E64" s="49"/>
      <c r="F64" s="49"/>
      <c r="G64" s="49"/>
      <c r="H64" s="5"/>
      <c r="I64" s="5"/>
    </row>
    <row r="65" spans="1:9">
      <c r="A65" s="5" t="s">
        <v>6</v>
      </c>
      <c r="B65" s="5">
        <v>2013</v>
      </c>
      <c r="C65" s="49"/>
      <c r="D65" s="49"/>
      <c r="E65" s="49"/>
      <c r="F65" s="49"/>
      <c r="G65" s="49"/>
      <c r="H65" s="5"/>
      <c r="I65" s="5"/>
    </row>
    <row r="66" spans="1:9">
      <c r="A66" s="5" t="s">
        <v>6</v>
      </c>
      <c r="B66" s="5">
        <v>2014</v>
      </c>
      <c r="C66" s="49"/>
      <c r="D66" s="49"/>
      <c r="E66" s="49"/>
      <c r="F66" s="49"/>
      <c r="G66" s="49"/>
      <c r="H66" s="5"/>
      <c r="I66" s="5"/>
    </row>
    <row r="67" spans="1:9">
      <c r="A67" s="5" t="s">
        <v>6</v>
      </c>
      <c r="B67" s="5">
        <v>2015</v>
      </c>
      <c r="C67" s="49"/>
      <c r="D67" s="49"/>
      <c r="E67" s="49"/>
      <c r="F67" s="49"/>
      <c r="G67" s="49"/>
      <c r="H67" s="5"/>
      <c r="I67" s="5"/>
    </row>
    <row r="68" spans="1:9">
      <c r="A68" s="5" t="s">
        <v>6</v>
      </c>
      <c r="B68" s="5">
        <v>2016</v>
      </c>
      <c r="C68" s="49"/>
      <c r="D68" s="49"/>
      <c r="E68" s="49"/>
      <c r="F68" s="49"/>
      <c r="G68" s="49"/>
      <c r="H68" s="5"/>
      <c r="I68" s="5"/>
    </row>
    <row r="69" spans="1:9">
      <c r="A69" s="5" t="s">
        <v>6</v>
      </c>
      <c r="B69" s="5">
        <v>2017</v>
      </c>
      <c r="C69" s="49"/>
      <c r="D69" s="49"/>
      <c r="E69" s="49"/>
      <c r="F69" s="49"/>
      <c r="G69" s="49"/>
      <c r="H69" s="5"/>
      <c r="I69" s="5"/>
    </row>
    <row r="70" spans="1:9">
      <c r="A70" s="5" t="s">
        <v>6</v>
      </c>
      <c r="B70" s="5">
        <v>2018</v>
      </c>
      <c r="C70" s="49"/>
      <c r="D70" s="49"/>
      <c r="E70" s="49"/>
      <c r="F70" s="49"/>
      <c r="G70" s="49"/>
      <c r="H70" s="5"/>
      <c r="I70" s="5"/>
    </row>
    <row r="71" spans="1:9">
      <c r="A71" s="5" t="s">
        <v>6</v>
      </c>
      <c r="B71" s="5">
        <v>2019</v>
      </c>
      <c r="C71" s="49"/>
      <c r="D71" s="49"/>
      <c r="E71" s="49"/>
      <c r="F71" s="49"/>
      <c r="G71" s="49"/>
      <c r="H71" s="5"/>
      <c r="I71" s="5"/>
    </row>
    <row r="72" spans="1:9">
      <c r="A72" s="5" t="s">
        <v>6</v>
      </c>
      <c r="B72" s="5">
        <v>2020</v>
      </c>
      <c r="C72" s="49"/>
      <c r="D72" s="49"/>
      <c r="E72" s="49"/>
      <c r="F72" s="49"/>
      <c r="G72" s="49"/>
      <c r="H72" s="5"/>
      <c r="I72" s="5"/>
    </row>
    <row r="73" spans="1:9">
      <c r="A73" s="5" t="s">
        <v>6</v>
      </c>
      <c r="B73" s="5">
        <v>2021</v>
      </c>
      <c r="C73" s="49"/>
      <c r="D73" s="49"/>
      <c r="E73" s="49"/>
      <c r="F73" s="49"/>
      <c r="G73" s="49"/>
      <c r="H73" s="5"/>
      <c r="I73" s="5"/>
    </row>
    <row r="74" spans="1:9">
      <c r="A74" s="5" t="s">
        <v>6</v>
      </c>
      <c r="B74" s="5">
        <v>2022</v>
      </c>
      <c r="C74" s="49"/>
      <c r="D74" s="49"/>
      <c r="E74" s="49"/>
      <c r="F74" s="49"/>
      <c r="G74" s="49"/>
      <c r="H74" s="5"/>
      <c r="I74" s="5"/>
    </row>
    <row r="75" spans="1:9">
      <c r="A75" s="5" t="s">
        <v>6</v>
      </c>
      <c r="B75" s="5">
        <v>2023</v>
      </c>
      <c r="C75" s="49"/>
      <c r="D75" s="49"/>
      <c r="E75" s="49"/>
      <c r="F75" s="49"/>
      <c r="G75" s="49"/>
      <c r="H75" s="5"/>
      <c r="I75" s="5"/>
    </row>
    <row r="76" spans="1:9">
      <c r="A76" s="5" t="s">
        <v>6</v>
      </c>
      <c r="B76" s="5">
        <v>2024</v>
      </c>
      <c r="C76" s="49"/>
      <c r="D76" s="49"/>
      <c r="E76" s="49"/>
      <c r="F76" s="49"/>
      <c r="G76" s="49"/>
      <c r="H76" s="5"/>
      <c r="I76" s="5"/>
    </row>
    <row r="80" spans="1:9" ht="51">
      <c r="A80" s="39" t="s">
        <v>50</v>
      </c>
      <c r="B80" s="38" t="s">
        <v>51</v>
      </c>
      <c r="C80" s="2" t="s">
        <v>57</v>
      </c>
    </row>
    <row r="82" spans="1:3">
      <c r="A82" s="3" t="s">
        <v>53</v>
      </c>
      <c r="B82" s="41"/>
      <c r="C82" t="s">
        <v>54</v>
      </c>
    </row>
    <row r="83" spans="1:3">
      <c r="B83" s="4"/>
      <c r="C8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residential</vt:lpstr>
      <vt:lpstr>commercial</vt:lpstr>
      <vt:lpstr>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2024-03-16T15:25:03Z</dcterms:created>
  <dcterms:modified xsi:type="dcterms:W3CDTF">2024-05-05T18:15:50Z</dcterms:modified>
</cp:coreProperties>
</file>