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"/>
    </mc:Choice>
  </mc:AlternateContent>
  <xr:revisionPtr revIDLastSave="0" documentId="13_ncr:1_{41867ED8-34BD-064F-9C45-B07941CFB78C}" xr6:coauthVersionLast="47" xr6:coauthVersionMax="47" xr10:uidLastSave="{00000000-0000-0000-0000-000000000000}"/>
  <bookViews>
    <workbookView xWindow="0" yWindow="500" windowWidth="25600" windowHeight="14300" activeTab="1" xr2:uid="{7039D85A-8A19-0F42-A262-787F6C9D5D5B}"/>
  </bookViews>
  <sheets>
    <sheet name="Tiered" sheetId="2" r:id="rId1"/>
    <sheet name="TOU" sheetId="3" r:id="rId2"/>
    <sheet name="TOU-EV" sheetId="4" r:id="rId3"/>
    <sheet name="Sour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I6" i="2"/>
  <c r="F6" i="3"/>
  <c r="H6" i="4"/>
  <c r="G6" i="4"/>
  <c r="F6" i="4"/>
  <c r="H6" i="3"/>
  <c r="D9" i="4"/>
  <c r="D9" i="3"/>
  <c r="D9" i="2"/>
  <c r="D8" i="4"/>
  <c r="D8" i="3"/>
  <c r="D8" i="2"/>
  <c r="D2" i="4" l="1"/>
  <c r="D6" i="4" s="1"/>
  <c r="D7" i="4"/>
  <c r="D7" i="3"/>
  <c r="D6" i="3"/>
  <c r="D3" i="3"/>
  <c r="D2" i="3"/>
  <c r="D3" i="2"/>
  <c r="D7" i="2" s="1"/>
  <c r="D2" i="2"/>
  <c r="D6" i="2" s="1"/>
  <c r="E6" i="3"/>
  <c r="F4" i="4"/>
  <c r="H4" i="4"/>
  <c r="G4" i="4"/>
  <c r="E3" i="4"/>
  <c r="E7" i="4" s="1"/>
  <c r="E3" i="2"/>
  <c r="F3" i="2" s="1"/>
  <c r="G3" i="2" s="1"/>
  <c r="E6" i="4"/>
  <c r="H7" i="4"/>
  <c r="G7" i="4"/>
  <c r="F7" i="4"/>
  <c r="F7" i="3"/>
  <c r="H7" i="3"/>
  <c r="G7" i="3"/>
  <c r="I7" i="2"/>
  <c r="J7" i="2" s="1"/>
  <c r="I3" i="2"/>
  <c r="J3" i="2" s="1"/>
  <c r="H3" i="2"/>
  <c r="J6" i="2"/>
  <c r="E6" i="2"/>
  <c r="F6" i="2" s="1"/>
  <c r="G6" i="2" s="1"/>
  <c r="F3" i="3"/>
  <c r="F5" i="2"/>
  <c r="G5" i="2" s="1"/>
  <c r="F3" i="4"/>
  <c r="G3" i="4"/>
  <c r="H3" i="4"/>
  <c r="G3" i="3"/>
  <c r="H3" i="3"/>
  <c r="F2" i="2"/>
  <c r="G2" i="2" s="1"/>
  <c r="E3" i="3" l="1"/>
  <c r="E7" i="3" s="1"/>
  <c r="E7" i="2"/>
  <c r="F7" i="2" s="1"/>
  <c r="G7" i="2" s="1"/>
</calcChain>
</file>

<file path=xl/sharedStrings.xml><?xml version="1.0" encoding="utf-8"?>
<sst xmlns="http://schemas.openxmlformats.org/spreadsheetml/2006/main" count="193" uniqueCount="95">
  <si>
    <t>LSE</t>
  </si>
  <si>
    <t>Type</t>
  </si>
  <si>
    <t>POU</t>
  </si>
  <si>
    <t>SMUD</t>
  </si>
  <si>
    <t>LADWP</t>
  </si>
  <si>
    <t>SCE</t>
  </si>
  <si>
    <t>IOU</t>
  </si>
  <si>
    <t>PG&amp;E</t>
  </si>
  <si>
    <t>SDG&amp;E</t>
  </si>
  <si>
    <t>Rate Name</t>
  </si>
  <si>
    <t>E1</t>
  </si>
  <si>
    <t>NA</t>
  </si>
  <si>
    <t>Notes</t>
  </si>
  <si>
    <t>EV adjustment is a 0.25 cent credit on the baseline, plus no service charge and no ESA charge</t>
  </si>
  <si>
    <t>CCA</t>
  </si>
  <si>
    <t>MCE</t>
  </si>
  <si>
    <t>CPA-SC</t>
  </si>
  <si>
    <t>Notes: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</si>
  <si>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</si>
  <si>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</si>
  <si>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</si>
  <si>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</si>
  <si>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</si>
  <si>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</si>
  <si>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</si>
  <si>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4-9 PM M-F</t>
  </si>
  <si>
    <t>all except 4-9 PM M-F</t>
  </si>
  <si>
    <t>D</t>
  </si>
  <si>
    <t>DTOU</t>
  </si>
  <si>
    <t>PRIME</t>
  </si>
  <si>
    <t>4-9PM M-F</t>
  </si>
  <si>
    <t>4-9 PM Sat-Sun</t>
  </si>
  <si>
    <t>R1B TOU</t>
  </si>
  <si>
    <t>R1A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</si>
  <si>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</si>
  <si>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</si>
  <si>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</si>
  <si>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</si>
  <si>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</si>
  <si>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</si>
  <si>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</si>
  <si>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</si>
  <si>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</si>
  <si>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TOU-D-4</t>
  </si>
  <si>
    <t>RTOD EV Discount</t>
  </si>
  <si>
    <t>EV2</t>
  </si>
  <si>
    <t>ETOUC</t>
  </si>
  <si>
    <t>Minimum Charge ($/month)</t>
  </si>
  <si>
    <t>Minimum Charges ($/month)</t>
  </si>
  <si>
    <t>If a customer has a second meter or submeter, they get a daily credit to offset their daily basic charge. This credit is $0.323 for a full meter or $0.111 for a submeter</t>
  </si>
  <si>
    <t>Fixed Charges Tier 1 ($/month)</t>
  </si>
  <si>
    <t>Fixed Charges Tier 2 ($/month)</t>
  </si>
  <si>
    <t>Fixed Charges Tier 3 ($/month)</t>
  </si>
  <si>
    <t>Fixed Charge ($/month)</t>
  </si>
  <si>
    <t>Tier 1 Rate ($/kWh)</t>
  </si>
  <si>
    <t>Tier 2 Rate ($/kWh)</t>
  </si>
  <si>
    <t>Tier 3 Rate ($/kWh)</t>
  </si>
  <si>
    <t>Low Peak</t>
  </si>
  <si>
    <t>Mid Peak</t>
  </si>
  <si>
    <t>Peak</t>
  </si>
  <si>
    <t>PG&amp;E-2024</t>
  </si>
  <si>
    <t>SGD&amp;E</t>
  </si>
  <si>
    <t>SGDE</t>
  </si>
  <si>
    <t>TOU-DR1</t>
  </si>
  <si>
    <t>DR</t>
  </si>
  <si>
    <t>EVTOU</t>
  </si>
  <si>
    <t>Rate as of March 2024</t>
  </si>
  <si>
    <t>PCIA &amp; Franchise Fee:
https://www.pge.com/tariffs/assets/pdf/adviceletter/ELEC_6805-E.pdf</t>
  </si>
  <si>
    <t>Rates as of June 2023: 
https://www.pge.com/tariffs/assets/pdf/adviceletter/ELEC_6946-E.pdf</t>
  </si>
  <si>
    <t>Rates as of June 2023: 
https://www.sce.com/regulatory/tariff-books/historical-rates/historical-rate-schedules-for-2023</t>
  </si>
  <si>
    <t>Rates as of June 2023: 
https://web.archive.org/web/20230601212158/https://www.smud.org/en/Rate-Information/Residential-rates</t>
  </si>
  <si>
    <t>Rates as of June 2023: 
https://www.ladwp.com/account/customer-service/electric-rates/residential-rates</t>
  </si>
  <si>
    <t>EV TOU rate adjustment:
https://www.ladwp.com/account/customer-service/electric-rates/ev-nem-reo-rates</t>
  </si>
  <si>
    <t>Rates as of June 2023:
https://www.mcecleanenergy.org/wp-content/uploads/2023/12/MCE-Residential-Rates-12132023.pdf</t>
  </si>
  <si>
    <t>Rates as of June 2023: 
https://files.cleanpoweralliance.org/uploads/2023/04/Clean-Power-Alliance-Residential-Rates-Effective-April-1-2023.pdf</t>
  </si>
  <si>
    <t>DR Rates as of June 2023: 
https://apps.openei.org/USURDB/rate/view/62f5346c75747b72641eb477</t>
  </si>
  <si>
    <t>EV-TOU Rates as of June 2023: 
https://apps.openei.org/USURDB/rate/view/62f511ee37e4482019251338</t>
  </si>
  <si>
    <t>EV TOU rate adjustment (ESA charge)
https://www.ladwp.com/sites/default/files/documents/Electric_Rate_Summary_effective_7_1_2019_with_factors_referenced_rev1.pdf</t>
  </si>
  <si>
    <t>Source Link(s)</t>
  </si>
  <si>
    <t>Same as PG&amp;E</t>
  </si>
  <si>
    <t>Same as SCE</t>
  </si>
  <si>
    <t>TOU-DR-1 Rates as of June 2023: 
https://apps.openei.org/USURDB/rate/view/63b47b93b4503f815f07c00e</t>
  </si>
  <si>
    <t>4 p.m. - 9 p.m. every day</t>
  </si>
  <si>
    <t>Midnight - 6 a.m. on
weekdays and
Midnight - 2 p.m. on
weekends and holidays</t>
  </si>
  <si>
    <t>Every other time of day</t>
  </si>
  <si>
    <t>All other hours</t>
  </si>
  <si>
    <t>4:00 p.m. - 9:00 p.m.
(Everyday)</t>
  </si>
  <si>
    <t>Midnight – 6:00 a.m. 
(Weekdays)
Midnight - 2:00 p.m.
(Weekends &amp; Holidays)</t>
  </si>
  <si>
    <t>Baseline Incentive ($/kWh)</t>
  </si>
  <si>
    <t>EV discount:
https://www.smud.org/en/Going-Green/Electric-Vehicles/Residential</t>
  </si>
  <si>
    <t>EV discount is a 1.5cent/kWh incentive between midnight and 6 am</t>
  </si>
  <si>
    <t>Midnight-6AM (for EV discount)
6AM-noon (non EV discount, add 1.5 cent to Low-Peak rate)</t>
  </si>
  <si>
    <t>We have taken the CPA generation rate, added the SCE D total delivery rate, and added the SCE CCA-CRS FRC, PCIA and FF components. Since the WFC charges were the same for both no addition/subtraction has been made with that charge. Here CPA-SC uses the 'Clean Power' category for generation. The 2017 PCIA vintage is used</t>
  </si>
  <si>
    <t>We have taken the MCE generation rate, added the PG&amp;E E-1 delivery rate and incentive adjustment components except for WFC, PCIA, ECRA, and CTC, from the E1 sheet. We have added WFC, PCIA, ECRA, and CTC from the CCA-CRS.We have added the FF from the E-FFS. The 2017 PCIA vintage is used</t>
  </si>
  <si>
    <t>All rates for single-family residential homes. All rates as of June 2023 except PG&amp;E-2024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</si>
</sst>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Aptos"/>
    </font>
    <font>
      <sz val="11"/>
      <name val="Apto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4" fontId="6" fillId="0" borderId="1" xfId="1" applyFont="1" applyBorder="1" applyAlignment="1">
      <alignment horizontal="left" vertical="center" wrapText="1"/>
    </xf>
    <xf numFmtId="44" fontId="7" fillId="0" borderId="1" xfId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4" fontId="6" fillId="0" borderId="1" xfId="1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numFmt numFmtId="165" formatCode="_(&quot;$&quot;* #,##0.0000_);_(&quot;$&quot;* \(#,##0.00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K9" totalsRowShown="0" headerRowDxfId="39" dataDxfId="38" dataCellStyle="Currency">
  <autoFilter ref="A1:K9" xr:uid="{622F9925-59E7-EF40-84D1-6E3283BE399E}"/>
  <tableColumns count="11">
    <tableColumn id="1" xr3:uid="{ED67349A-8A4C-9E48-BEB1-46D207315EC5}" name="LSE" dataDxfId="37"/>
    <tableColumn id="2" xr3:uid="{C2534D26-0176-BE43-A36D-642666F84B78}" name="Type" dataDxfId="36"/>
    <tableColumn id="3" xr3:uid="{4BE4FD15-782C-3641-8E24-6E7DFD8EB062}" name="Rate Name" dataDxfId="35"/>
    <tableColumn id="13" xr3:uid="{C0F46CEF-DCD0-BB47-B139-0EB002DDCBAD}" name="Minimum Charges ($/month)" dataDxfId="34" dataCellStyle="Currency"/>
    <tableColumn id="4" xr3:uid="{D0874B39-AD75-C446-A45A-8905FEB0E25A}" name="Fixed Charges Tier 1 ($/month)" dataDxfId="33" dataCellStyle="Currency"/>
    <tableColumn id="5" xr3:uid="{213136F0-A2F1-7E4E-9CB7-161C428CF1A9}" name="Fixed Charges Tier 2 ($/month)" dataDxfId="32" dataCellStyle="Currency"/>
    <tableColumn id="6" xr3:uid="{D937BE4E-031E-0444-9DA2-373CF38F5F0E}" name="Fixed Charges Tier 3 ($/month)" dataDxfId="31" dataCellStyle="Currency"/>
    <tableColumn id="7" xr3:uid="{2EE0018D-C87A-9B4F-813E-399127C712B1}" name="Tier 1 Rate ($/kWh)" dataDxfId="30" dataCellStyle="Currency"/>
    <tableColumn id="8" xr3:uid="{D4E08105-A1AD-0C40-BC58-A06518FC8B81}" name="Tier 2 Rate ($/kWh)" dataDxfId="29" dataCellStyle="Currency"/>
    <tableColumn id="9" xr3:uid="{AD005999-CA06-D548-9A48-04EE9C0BBF9C}" name="Tier 3 Rate ($/kWh)" dataDxfId="28" dataCellStyle="Currency"/>
    <tableColumn id="12" xr3:uid="{AB506B18-90B5-5C48-941E-FF8BC978622E}" name="Notes" dataDxfId="27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M9" totalsRowShown="0" headerRowDxfId="41" dataDxfId="13">
  <autoFilter ref="A1:M9" xr:uid="{49FA67C6-51F8-F342-87F4-DD10F5ADCB6B}"/>
  <tableColumns count="13">
    <tableColumn id="1" xr3:uid="{31510521-DE32-3B4D-B619-FF2ED05955EC}" name="LSE" dataDxfId="26"/>
    <tableColumn id="2" xr3:uid="{03D9D98B-2872-7D48-90F5-28FF6854553C}" name="Type" dataDxfId="25"/>
    <tableColumn id="3" xr3:uid="{B8D8586E-F3BB-9245-B95A-AC600548C8A2}" name="Rate Name" dataDxfId="24"/>
    <tableColumn id="12" xr3:uid="{34D838A8-7EA8-DC43-9BE5-0177C2694E62}" name="Minimum Charges ($/month)" dataDxfId="23" dataCellStyle="Currency"/>
    <tableColumn id="4" xr3:uid="{03783912-A703-0348-BB6F-12145C905895}" name="Fixed Charge ($/month)" dataDxfId="22" dataCellStyle="Currency"/>
    <tableColumn id="5" xr3:uid="{C0DD89ED-48CF-834B-9BB5-6148F49FA863}" name="Low Peak" dataDxfId="21" dataCellStyle="Currency"/>
    <tableColumn id="6" xr3:uid="{646F9F98-8DDC-CD4E-8D6E-8FE5EFBC5216}" name="Mid Peak" dataDxfId="20" dataCellStyle="Currency"/>
    <tableColumn id="7" xr3:uid="{C37FFE21-3145-F84E-A1A8-394D11C5091F}" name="Peak" dataDxfId="19" dataCellStyle="Currency"/>
    <tableColumn id="8" xr3:uid="{2E823791-CF3C-114E-B67D-80EEA08D47ED}" name="Low Peak Hours" dataDxfId="18"/>
    <tableColumn id="9" xr3:uid="{0051F9D1-C23A-CD43-B61A-E0AAFA8AF1D6}" name="Mid Peak Hours" dataDxfId="17"/>
    <tableColumn id="10" xr3:uid="{1718EDE8-4368-3548-B154-711EB8BAC6A7}" name="Peak Hours" dataDxfId="16"/>
    <tableColumn id="11" xr3:uid="{F84DB3D6-90B8-EE42-8623-4037379BA7EE}" name="Baseline Incentive ($/kWh)" dataDxfId="15"/>
    <tableColumn id="13" xr3:uid="{C4C439B2-D20A-3942-8AA0-6DAD2A6DA638}" name="Notes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L9" totalsRowShown="0" headerRowDxfId="40" dataDxfId="0">
  <autoFilter ref="A1:L9" xr:uid="{34FCF372-FEAA-1341-90F1-F54CFE2E2B0B}"/>
  <tableColumns count="12">
    <tableColumn id="1" xr3:uid="{9C1B714A-42F7-4E4D-B344-DD609BAEA355}" name="LSE" dataDxfId="12"/>
    <tableColumn id="2" xr3:uid="{87DF0F2F-BDDC-7744-A5E7-23288E96BE2C}" name="Type" dataDxfId="11"/>
    <tableColumn id="3" xr3:uid="{45E06AEF-FA1B-7043-BAE4-198D776E8861}" name="Rate Name" dataDxfId="10"/>
    <tableColumn id="12" xr3:uid="{9AA32FAE-99C6-1D48-A547-084E37A57CDE}" name="Minimum Charge ($/month)" dataDxfId="9" dataCellStyle="Currency"/>
    <tableColumn id="4" xr3:uid="{91B0AC90-0EFF-B64A-A54A-184A83940984}" name="Fixed Charge ($/month)" dataDxfId="8" dataCellStyle="Currency"/>
    <tableColumn id="5" xr3:uid="{EF365C78-8E71-9F40-84A4-CE7C7943AAD5}" name="Low Peak" dataDxfId="7" dataCellStyle="Currency"/>
    <tableColumn id="6" xr3:uid="{6D4DC051-49EF-C149-9123-CB9F09236D8E}" name="Mid Peak" dataDxfId="6" dataCellStyle="Currency"/>
    <tableColumn id="7" xr3:uid="{05BBCACD-4DCF-7145-BFCB-A60C180C4477}" name="Peak" dataDxfId="5" dataCellStyle="Currency"/>
    <tableColumn id="8" xr3:uid="{290FFF60-FAD3-BD42-AB66-44CBDF1BE422}" name="Low Peak Hours" dataDxfId="4"/>
    <tableColumn id="9" xr3:uid="{7E8D7913-3D63-3A4B-B286-885D9A8F5C29}" name="Mid Peak Hours" dataDxfId="3"/>
    <tableColumn id="10" xr3:uid="{54084C43-EF71-5D4C-AE4F-F92FA99D885F}" name="Peak Hours" dataDxfId="2"/>
    <tableColumn id="11" xr3:uid="{7E485E16-F5F8-B742-BFDE-0DE08B5A22F3}" name="Not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dwp.com/account/customer-service/understanding-your-rates/residential-electric-rates" TargetMode="External"/><Relationship Id="rId7" Type="http://schemas.openxmlformats.org/officeDocument/2006/relationships/hyperlink" Target="https://www.sce.com/regulatory/tariff-books/historical-rates/historical-rate-schedules-for-2023" TargetMode="External"/><Relationship Id="rId2" Type="http://schemas.openxmlformats.org/officeDocument/2006/relationships/hyperlink" Target="https://files.cleanpoweralliance.org/uploads/2023/04/Clean-Power-Alliance-Residential-Rates-Effective-April-1-2023.pdf" TargetMode="External"/><Relationship Id="rId1" Type="http://schemas.openxmlformats.org/officeDocument/2006/relationships/hyperlink" Target="https://www.mcecleanenergy.org/wp-content/uploads/2023/12/MCE-Residential-Rates-12132023.pdf" TargetMode="External"/><Relationship Id="rId6" Type="http://schemas.openxmlformats.org/officeDocument/2006/relationships/hyperlink" Target="https://web.archive.org/web/20230601212158/https:/www.smud.org/en/Rate-Information/Residential-rates" TargetMode="External"/><Relationship Id="rId5" Type="http://schemas.openxmlformats.org/officeDocument/2006/relationships/hyperlink" Target="https://www.ladwp.com/account/customer-service/electric-rates/residential-rates" TargetMode="External"/><Relationship Id="rId4" Type="http://schemas.openxmlformats.org/officeDocument/2006/relationships/hyperlink" Target="https://www.ladwp.com/account/customer-service/electric-rates/ev-nem-reo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K11"/>
  <sheetViews>
    <sheetView zoomScale="86" workbookViewId="0">
      <selection activeCell="B11" sqref="B11"/>
    </sheetView>
  </sheetViews>
  <sheetFormatPr baseColWidth="10" defaultRowHeight="16" x14ac:dyDescent="0.2"/>
  <cols>
    <col min="1" max="2" width="12.83203125" customWidth="1"/>
    <col min="3" max="3" width="8" customWidth="1"/>
    <col min="4" max="7" width="12.83203125" customWidth="1"/>
    <col min="8" max="8" width="11.6640625" customWidth="1"/>
    <col min="9" max="10" width="12.83203125" customWidth="1"/>
    <col min="11" max="11" width="60.33203125" customWidth="1"/>
  </cols>
  <sheetData>
    <row r="1" spans="1:11" ht="91" customHeight="1" x14ac:dyDescent="0.2">
      <c r="A1" s="13" t="s">
        <v>0</v>
      </c>
      <c r="B1" s="13" t="s">
        <v>1</v>
      </c>
      <c r="C1" s="13" t="s">
        <v>9</v>
      </c>
      <c r="D1" s="14" t="s">
        <v>48</v>
      </c>
      <c r="E1" s="13" t="s">
        <v>50</v>
      </c>
      <c r="F1" s="13" t="s">
        <v>51</v>
      </c>
      <c r="G1" s="13" t="s">
        <v>52</v>
      </c>
      <c r="H1" s="15" t="s">
        <v>54</v>
      </c>
      <c r="I1" s="16" t="s">
        <v>55</v>
      </c>
      <c r="J1" s="16" t="s">
        <v>56</v>
      </c>
      <c r="K1" s="7" t="s">
        <v>12</v>
      </c>
    </row>
    <row r="2" spans="1:11" ht="20" customHeight="1" x14ac:dyDescent="0.2">
      <c r="A2" s="17" t="s">
        <v>7</v>
      </c>
      <c r="B2" s="17" t="s">
        <v>6</v>
      </c>
      <c r="C2" s="17" t="s">
        <v>10</v>
      </c>
      <c r="D2" s="18">
        <f>0.37612*30</f>
        <v>11.2836</v>
      </c>
      <c r="E2" s="18">
        <v>0</v>
      </c>
      <c r="F2" s="18">
        <f>E2</f>
        <v>0</v>
      </c>
      <c r="G2" s="18">
        <f>F2</f>
        <v>0</v>
      </c>
      <c r="H2" s="19">
        <v>0.33376</v>
      </c>
      <c r="I2" s="19">
        <v>0.41697000000000001</v>
      </c>
      <c r="J2" s="19">
        <v>0.41697000000000001</v>
      </c>
      <c r="K2" s="12"/>
    </row>
    <row r="3" spans="1:11" ht="20" customHeight="1" x14ac:dyDescent="0.2">
      <c r="A3" s="17" t="s">
        <v>5</v>
      </c>
      <c r="B3" s="17" t="s">
        <v>6</v>
      </c>
      <c r="C3" s="17" t="s">
        <v>27</v>
      </c>
      <c r="D3" s="18">
        <f>0.346*30</f>
        <v>10.379999999999999</v>
      </c>
      <c r="E3" s="18">
        <f>0.031*30</f>
        <v>0.92999999999999994</v>
      </c>
      <c r="F3" s="18">
        <f>E3</f>
        <v>0.92999999999999994</v>
      </c>
      <c r="G3" s="18">
        <f>F3</f>
        <v>0.92999999999999994</v>
      </c>
      <c r="H3" s="19">
        <f>0.16127+0.16503+0.0026</f>
        <v>0.32890000000000003</v>
      </c>
      <c r="I3" s="19">
        <f>0.25519+0.16503+0.0026</f>
        <v>0.42281999999999997</v>
      </c>
      <c r="J3" s="19">
        <f>I3</f>
        <v>0.42281999999999997</v>
      </c>
      <c r="K3" s="12"/>
    </row>
    <row r="4" spans="1:11" ht="20" customHeight="1" x14ac:dyDescent="0.2">
      <c r="A4" s="17" t="s">
        <v>4</v>
      </c>
      <c r="B4" s="17" t="s">
        <v>2</v>
      </c>
      <c r="C4" s="17" t="s">
        <v>33</v>
      </c>
      <c r="D4" s="18">
        <v>0</v>
      </c>
      <c r="E4" s="18">
        <v>2.2999999999999998</v>
      </c>
      <c r="F4" s="18">
        <v>7.9</v>
      </c>
      <c r="G4" s="18">
        <v>22.7</v>
      </c>
      <c r="H4" s="18">
        <v>0.18956999999999999</v>
      </c>
      <c r="I4" s="18">
        <v>0.24815999999999999</v>
      </c>
      <c r="J4" s="18">
        <v>0.33517000000000002</v>
      </c>
      <c r="K4" s="12"/>
    </row>
    <row r="5" spans="1:11" ht="20" customHeight="1" x14ac:dyDescent="0.2">
      <c r="A5" s="17" t="s">
        <v>3</v>
      </c>
      <c r="B5" s="17" t="s">
        <v>2</v>
      </c>
      <c r="C5" s="17" t="s">
        <v>39</v>
      </c>
      <c r="D5" s="18">
        <v>0</v>
      </c>
      <c r="E5" s="18">
        <v>23.5</v>
      </c>
      <c r="F5" s="18">
        <f>E5</f>
        <v>23.5</v>
      </c>
      <c r="G5" s="18">
        <f>F5</f>
        <v>23.5</v>
      </c>
      <c r="H5" s="18">
        <v>0.19070000000000001</v>
      </c>
      <c r="I5" s="18">
        <v>0.19070000000000001</v>
      </c>
      <c r="J5" s="18">
        <v>0.19070000000000001</v>
      </c>
      <c r="K5" s="12"/>
    </row>
    <row r="6" spans="1:11" ht="61" customHeight="1" x14ac:dyDescent="0.2">
      <c r="A6" s="17" t="s">
        <v>15</v>
      </c>
      <c r="B6" s="17" t="s">
        <v>14</v>
      </c>
      <c r="C6" s="17" t="s">
        <v>10</v>
      </c>
      <c r="D6" s="18">
        <f>D2</f>
        <v>11.2836</v>
      </c>
      <c r="E6" s="18">
        <f>E2</f>
        <v>0</v>
      </c>
      <c r="F6" s="18">
        <f>Table1[[#This Row],[Fixed Charges Tier 1 ($/month)]]</f>
        <v>0</v>
      </c>
      <c r="G6" s="18">
        <f>Table1[[#This Row],[Fixed Charges Tier 2 ($/month)]]</f>
        <v>0</v>
      </c>
      <c r="H6" s="18">
        <f>0.149-0.03601+0.12203+0.05254+0.00059+0.00069+0.02554+0.00135+0.00346+0.00254+0.00798-0.00798-0.00071+0.0034+0.0003+0.00289+0.00111</f>
        <v>0.32872000000000012</v>
      </c>
      <c r="I6" s="18">
        <f>0.149+0.0472+0.12203+0.05254+0.00059+0.00069+0.02554+0.00135+0.00346+0.00254+0.00798-0.00798-0.00071+0.0034+0.0003+0.00289+0.00111</f>
        <v>0.41193000000000013</v>
      </c>
      <c r="J6" s="18">
        <f>Table1[[#This Row],[Tier 2 Rate ($/kWh)]]</f>
        <v>0.41193000000000013</v>
      </c>
      <c r="K6" s="12" t="s">
        <v>93</v>
      </c>
    </row>
    <row r="7" spans="1:11" ht="55" customHeight="1" x14ac:dyDescent="0.2">
      <c r="A7" s="17" t="s">
        <v>16</v>
      </c>
      <c r="B7" s="17" t="s">
        <v>14</v>
      </c>
      <c r="C7" s="17" t="s">
        <v>27</v>
      </c>
      <c r="D7" s="18">
        <f>D3</f>
        <v>10.379999999999999</v>
      </c>
      <c r="E7" s="18">
        <f>E3</f>
        <v>0.92999999999999994</v>
      </c>
      <c r="F7" s="18">
        <f>E7</f>
        <v>0.92999999999999994</v>
      </c>
      <c r="G7" s="18">
        <f>F7</f>
        <v>0.92999999999999994</v>
      </c>
      <c r="H7" s="19">
        <f>0.14207+0.16127+0.0026-0.00003-0.0069</f>
        <v>0.29901</v>
      </c>
      <c r="I7" s="19">
        <f>0.25519+0.14207+0.0026-0.00003-0.0069</f>
        <v>0.39292999999999995</v>
      </c>
      <c r="J7" s="19">
        <f>I7</f>
        <v>0.39292999999999995</v>
      </c>
      <c r="K7" s="12" t="s">
        <v>92</v>
      </c>
    </row>
    <row r="8" spans="1:11" ht="59" customHeight="1" x14ac:dyDescent="0.2">
      <c r="A8" s="17" t="s">
        <v>60</v>
      </c>
      <c r="B8" s="17" t="s">
        <v>6</v>
      </c>
      <c r="C8" s="17" t="s">
        <v>10</v>
      </c>
      <c r="D8" s="18">
        <f>0.39167*30</f>
        <v>11.7501</v>
      </c>
      <c r="E8" s="18">
        <v>0</v>
      </c>
      <c r="F8" s="18">
        <v>0</v>
      </c>
      <c r="G8" s="18">
        <v>0</v>
      </c>
      <c r="H8" s="18">
        <v>0.42101</v>
      </c>
      <c r="I8" s="18">
        <v>0.52707999999999999</v>
      </c>
      <c r="J8" s="18">
        <v>0.52707999999999999</v>
      </c>
      <c r="K8" s="12" t="s">
        <v>66</v>
      </c>
    </row>
    <row r="9" spans="1:11" ht="54" customHeight="1" x14ac:dyDescent="0.2">
      <c r="A9" s="17" t="s">
        <v>61</v>
      </c>
      <c r="B9" s="17" t="s">
        <v>6</v>
      </c>
      <c r="C9" s="17" t="s">
        <v>64</v>
      </c>
      <c r="D9" s="18">
        <f>0.35*30</f>
        <v>10.5</v>
      </c>
      <c r="E9" s="18">
        <v>0</v>
      </c>
      <c r="F9" s="18">
        <v>0</v>
      </c>
      <c r="G9" s="18">
        <v>0</v>
      </c>
      <c r="H9" s="18">
        <v>0.45245000000000002</v>
      </c>
      <c r="I9" s="18">
        <v>0.56969000000000003</v>
      </c>
      <c r="J9" s="18">
        <v>0.56969000000000003</v>
      </c>
      <c r="K9" s="12"/>
    </row>
    <row r="11" spans="1:11" x14ac:dyDescent="0.2">
      <c r="A11" s="1" t="s">
        <v>17</v>
      </c>
      <c r="B11" t="s">
        <v>94</v>
      </c>
    </row>
  </sheetData>
  <phoneticPr fontId="8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M10"/>
  <sheetViews>
    <sheetView tabSelected="1" zoomScale="50" zoomScaleNormal="100" workbookViewId="0">
      <selection activeCell="M6" sqref="M6:M7"/>
    </sheetView>
  </sheetViews>
  <sheetFormatPr baseColWidth="10" defaultRowHeight="16" x14ac:dyDescent="0.2"/>
  <cols>
    <col min="1" max="4" width="12.83203125" customWidth="1"/>
    <col min="5" max="5" width="13" customWidth="1"/>
    <col min="6" max="8" width="12.83203125" customWidth="1"/>
    <col min="9" max="9" width="23.1640625" customWidth="1"/>
    <col min="10" max="10" width="24.5" customWidth="1"/>
    <col min="11" max="11" width="21.5" customWidth="1"/>
    <col min="12" max="12" width="12.83203125" customWidth="1"/>
    <col min="13" max="13" width="54.1640625" customWidth="1"/>
  </cols>
  <sheetData>
    <row r="1" spans="1:13" ht="61" customHeight="1" x14ac:dyDescent="0.2">
      <c r="A1" s="4" t="s">
        <v>0</v>
      </c>
      <c r="B1" s="4" t="s">
        <v>1</v>
      </c>
      <c r="C1" s="4" t="s">
        <v>9</v>
      </c>
      <c r="D1" s="4" t="s">
        <v>48</v>
      </c>
      <c r="E1" s="4" t="s">
        <v>53</v>
      </c>
      <c r="F1" s="21" t="s">
        <v>57</v>
      </c>
      <c r="G1" s="21" t="s">
        <v>58</v>
      </c>
      <c r="H1" s="21" t="s">
        <v>59</v>
      </c>
      <c r="I1" s="21" t="s">
        <v>18</v>
      </c>
      <c r="J1" s="21" t="s">
        <v>19</v>
      </c>
      <c r="K1" s="21" t="s">
        <v>20</v>
      </c>
      <c r="L1" s="5" t="s">
        <v>88</v>
      </c>
      <c r="M1" s="6" t="s">
        <v>12</v>
      </c>
    </row>
    <row r="2" spans="1:13" ht="50" customHeight="1" x14ac:dyDescent="0.2">
      <c r="A2" s="9" t="s">
        <v>7</v>
      </c>
      <c r="B2" s="9" t="s">
        <v>6</v>
      </c>
      <c r="C2" s="9" t="s">
        <v>46</v>
      </c>
      <c r="D2" s="10">
        <f>0.37612*30</f>
        <v>11.2836</v>
      </c>
      <c r="E2" s="10">
        <v>0</v>
      </c>
      <c r="F2" s="11">
        <v>0.42593999999999999</v>
      </c>
      <c r="G2" s="11" t="s">
        <v>11</v>
      </c>
      <c r="H2" s="11">
        <v>0.50938000000000005</v>
      </c>
      <c r="I2" s="9" t="s">
        <v>26</v>
      </c>
      <c r="J2" s="9" t="s">
        <v>11</v>
      </c>
      <c r="K2" s="9" t="s">
        <v>25</v>
      </c>
      <c r="L2" s="9">
        <v>-8.3210000000000006E-2</v>
      </c>
      <c r="M2" s="9"/>
    </row>
    <row r="3" spans="1:13" ht="55" customHeight="1" x14ac:dyDescent="0.2">
      <c r="A3" s="9" t="s">
        <v>5</v>
      </c>
      <c r="B3" s="9" t="s">
        <v>6</v>
      </c>
      <c r="C3" s="9" t="s">
        <v>28</v>
      </c>
      <c r="D3" s="10">
        <f>0.346*30</f>
        <v>10.379999999999999</v>
      </c>
      <c r="E3" s="10">
        <f>Table1[[#This Row],[Fixed Charges Tier 1 ($/month)]]</f>
        <v>0.92999999999999994</v>
      </c>
      <c r="F3" s="10">
        <f>0.24598+0.12263 +0.0026</f>
        <v>0.37120999999999998</v>
      </c>
      <c r="G3" s="11">
        <f>0.28936+0.18942 +0.0026</f>
        <v>0.48137999999999997</v>
      </c>
      <c r="H3" s="11">
        <f>0.28936+0.30129+0.0026</f>
        <v>0.59325000000000006</v>
      </c>
      <c r="I3" s="9" t="s">
        <v>22</v>
      </c>
      <c r="J3" s="9" t="s">
        <v>31</v>
      </c>
      <c r="K3" s="9" t="s">
        <v>30</v>
      </c>
      <c r="L3" s="9">
        <v>-9.3909999999999993E-2</v>
      </c>
      <c r="M3" s="9"/>
    </row>
    <row r="4" spans="1:13" ht="108" customHeight="1" x14ac:dyDescent="0.2">
      <c r="A4" s="9" t="s">
        <v>4</v>
      </c>
      <c r="B4" s="9" t="s">
        <v>2</v>
      </c>
      <c r="C4" s="9" t="s">
        <v>32</v>
      </c>
      <c r="D4" s="10">
        <v>10</v>
      </c>
      <c r="E4" s="10">
        <v>12</v>
      </c>
      <c r="F4" s="10">
        <v>0.19089</v>
      </c>
      <c r="G4" s="10">
        <v>0.21833</v>
      </c>
      <c r="H4" s="10">
        <v>0.27672999999999998</v>
      </c>
      <c r="I4" s="9" t="s">
        <v>34</v>
      </c>
      <c r="J4" s="9" t="s">
        <v>35</v>
      </c>
      <c r="K4" s="9" t="s">
        <v>36</v>
      </c>
      <c r="L4" s="9"/>
      <c r="M4" s="9"/>
    </row>
    <row r="5" spans="1:13" ht="89" customHeight="1" x14ac:dyDescent="0.2">
      <c r="A5" s="9" t="s">
        <v>3</v>
      </c>
      <c r="B5" s="9" t="s">
        <v>2</v>
      </c>
      <c r="C5" s="9" t="s">
        <v>38</v>
      </c>
      <c r="D5" s="10">
        <v>0</v>
      </c>
      <c r="E5" s="10">
        <v>23.5</v>
      </c>
      <c r="F5" s="10">
        <v>0.13500000000000001</v>
      </c>
      <c r="G5" s="10">
        <v>0.18640000000000001</v>
      </c>
      <c r="H5" s="10">
        <v>0.32790000000000002</v>
      </c>
      <c r="I5" s="9" t="s">
        <v>42</v>
      </c>
      <c r="J5" s="9" t="s">
        <v>41</v>
      </c>
      <c r="K5" s="9" t="s">
        <v>40</v>
      </c>
      <c r="L5" s="9"/>
      <c r="M5" s="9"/>
    </row>
    <row r="6" spans="1:13" ht="62" customHeight="1" x14ac:dyDescent="0.2">
      <c r="A6" s="9" t="s">
        <v>15</v>
      </c>
      <c r="B6" s="9" t="s">
        <v>14</v>
      </c>
      <c r="C6" s="9" t="s">
        <v>46</v>
      </c>
      <c r="D6" s="10">
        <f>D2</f>
        <v>11.2836</v>
      </c>
      <c r="E6" s="10">
        <f>E2</f>
        <v>0</v>
      </c>
      <c r="F6" s="10">
        <f>0.144+0.05254+0.00059+0.00069+0.02554+0.00135+0.00346+0.00254+0.12646-0.00071+0.0053+0.0003+0.00289+0.06047+0.00111</f>
        <v>0.42653000000000008</v>
      </c>
      <c r="G6" s="10" t="s">
        <v>11</v>
      </c>
      <c r="H6" s="10">
        <f>0.195+0.05254+0.00059+0.00069+0.02554+0.00135+0.00346+0.00254+0.14646-0.00071+0.0053+0.0003+0.00289+0.06047+0.00111</f>
        <v>0.49753000000000014</v>
      </c>
      <c r="I6" s="9" t="s">
        <v>79</v>
      </c>
      <c r="J6" s="9" t="s">
        <v>79</v>
      </c>
      <c r="K6" s="9" t="s">
        <v>79</v>
      </c>
      <c r="L6" s="9">
        <v>-8.3210000000000006E-2</v>
      </c>
      <c r="M6" s="12" t="s">
        <v>93</v>
      </c>
    </row>
    <row r="7" spans="1:13" ht="62" customHeight="1" x14ac:dyDescent="0.2">
      <c r="A7" s="9" t="s">
        <v>16</v>
      </c>
      <c r="B7" s="9" t="s">
        <v>14</v>
      </c>
      <c r="C7" s="9" t="s">
        <v>43</v>
      </c>
      <c r="D7" s="10">
        <f>D3</f>
        <v>10.379999999999999</v>
      </c>
      <c r="E7" s="10">
        <f>E3</f>
        <v>0.92999999999999994</v>
      </c>
      <c r="F7" s="10">
        <f>0.24598+0.10845 +0.0026-0.00003-0.0069</f>
        <v>0.35010000000000002</v>
      </c>
      <c r="G7" s="11">
        <f>0.28936+0.14326 +0.0026-0.00003-0.0069</f>
        <v>0.42829</v>
      </c>
      <c r="H7" s="11">
        <f>0.28936+0.27122+0.0026-0.00003-0.0069</f>
        <v>0.55625000000000013</v>
      </c>
      <c r="I7" s="9" t="s">
        <v>80</v>
      </c>
      <c r="J7" s="9" t="s">
        <v>80</v>
      </c>
      <c r="K7" s="9" t="s">
        <v>80</v>
      </c>
      <c r="L7" s="9">
        <v>-9.3909999999999993E-2</v>
      </c>
      <c r="M7" s="12" t="s">
        <v>92</v>
      </c>
    </row>
    <row r="8" spans="1:13" ht="44" customHeight="1" x14ac:dyDescent="0.2">
      <c r="A8" s="9" t="s">
        <v>60</v>
      </c>
      <c r="B8" s="9" t="s">
        <v>6</v>
      </c>
      <c r="C8" s="9" t="s">
        <v>46</v>
      </c>
      <c r="D8" s="10">
        <f>0.39167*30</f>
        <v>11.7501</v>
      </c>
      <c r="E8" s="23">
        <v>0</v>
      </c>
      <c r="F8" s="23">
        <v>0.53605000000000003</v>
      </c>
      <c r="G8" s="23" t="s">
        <v>11</v>
      </c>
      <c r="H8" s="23">
        <v>0.61948999999999999</v>
      </c>
      <c r="I8" s="9" t="s">
        <v>26</v>
      </c>
      <c r="J8" s="9" t="s">
        <v>11</v>
      </c>
      <c r="K8" s="9" t="s">
        <v>25</v>
      </c>
      <c r="L8" s="9">
        <v>-0.10607</v>
      </c>
      <c r="M8" s="9"/>
    </row>
    <row r="9" spans="1:13" ht="55" customHeight="1" x14ac:dyDescent="0.2">
      <c r="A9" s="9" t="s">
        <v>8</v>
      </c>
      <c r="B9" s="9" t="s">
        <v>6</v>
      </c>
      <c r="C9" s="9" t="s">
        <v>63</v>
      </c>
      <c r="D9" s="10">
        <f>0.38*30</f>
        <v>11.4</v>
      </c>
      <c r="E9" s="23">
        <v>0</v>
      </c>
      <c r="F9" s="23">
        <v>0.35515000000000002</v>
      </c>
      <c r="G9" s="23">
        <v>0.51978999999999997</v>
      </c>
      <c r="H9" s="23">
        <v>0.83325000000000005</v>
      </c>
      <c r="I9" s="9" t="s">
        <v>83</v>
      </c>
      <c r="J9" s="9" t="s">
        <v>84</v>
      </c>
      <c r="K9" s="9" t="s">
        <v>82</v>
      </c>
      <c r="L9" s="9">
        <v>-0.11724</v>
      </c>
      <c r="M9" s="9"/>
    </row>
    <row r="10" spans="1:13" x14ac:dyDescent="0.2">
      <c r="F10" s="2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L9"/>
  <sheetViews>
    <sheetView topLeftCell="A3" zoomScale="87" workbookViewId="0">
      <selection activeCell="L6" sqref="L6:L7"/>
    </sheetView>
  </sheetViews>
  <sheetFormatPr baseColWidth="10" defaultRowHeight="16" x14ac:dyDescent="0.2"/>
  <cols>
    <col min="1" max="8" width="12.83203125" customWidth="1"/>
    <col min="9" max="9" width="24.6640625" customWidth="1"/>
    <col min="10" max="10" width="27.5" customWidth="1"/>
    <col min="11" max="11" width="28.1640625" customWidth="1"/>
    <col min="12" max="12" width="42.5" customWidth="1"/>
  </cols>
  <sheetData>
    <row r="1" spans="1:12" ht="53" customHeight="1" x14ac:dyDescent="0.2">
      <c r="A1" s="2" t="s">
        <v>0</v>
      </c>
      <c r="B1" s="2" t="s">
        <v>1</v>
      </c>
      <c r="C1" s="2" t="s">
        <v>9</v>
      </c>
      <c r="D1" s="2" t="s">
        <v>47</v>
      </c>
      <c r="E1" s="2" t="s">
        <v>53</v>
      </c>
      <c r="F1" s="8" t="s">
        <v>57</v>
      </c>
      <c r="G1" s="8" t="s">
        <v>58</v>
      </c>
      <c r="H1" s="8" t="s">
        <v>59</v>
      </c>
      <c r="I1" s="8" t="s">
        <v>18</v>
      </c>
      <c r="J1" s="8" t="s">
        <v>19</v>
      </c>
      <c r="K1" s="8" t="s">
        <v>20</v>
      </c>
      <c r="L1" s="3" t="s">
        <v>12</v>
      </c>
    </row>
    <row r="2" spans="1:12" ht="61" customHeight="1" x14ac:dyDescent="0.2">
      <c r="A2" s="9" t="s">
        <v>7</v>
      </c>
      <c r="B2" s="9" t="s">
        <v>6</v>
      </c>
      <c r="C2" s="9" t="s">
        <v>45</v>
      </c>
      <c r="D2" s="10">
        <f>0.37612*30</f>
        <v>11.2836</v>
      </c>
      <c r="E2" s="10">
        <v>0</v>
      </c>
      <c r="F2" s="11">
        <v>0.25106000000000001</v>
      </c>
      <c r="G2" s="11">
        <v>0.45306999999999997</v>
      </c>
      <c r="H2" s="11">
        <v>0.56355999999999995</v>
      </c>
      <c r="I2" s="9" t="s">
        <v>23</v>
      </c>
      <c r="J2" s="9" t="s">
        <v>24</v>
      </c>
      <c r="K2" s="9" t="s">
        <v>21</v>
      </c>
      <c r="L2" s="9"/>
    </row>
    <row r="3" spans="1:12" ht="99" customHeight="1" x14ac:dyDescent="0.2">
      <c r="A3" s="9" t="s">
        <v>5</v>
      </c>
      <c r="B3" s="9" t="s">
        <v>6</v>
      </c>
      <c r="C3" s="9" t="s">
        <v>29</v>
      </c>
      <c r="D3" s="10">
        <v>0</v>
      </c>
      <c r="E3" s="10">
        <f>0.427*30</f>
        <v>12.81</v>
      </c>
      <c r="F3" s="10">
        <f>0.15191+0.10162+0.0026</f>
        <v>0.25612999999999997</v>
      </c>
      <c r="G3" s="11">
        <f>0.22789+0.15221+0.0026</f>
        <v>0.38269999999999998</v>
      </c>
      <c r="H3" s="10">
        <f>0.22789+0.42769+0.0026</f>
        <v>0.6581800000000001</v>
      </c>
      <c r="I3" s="9" t="s">
        <v>22</v>
      </c>
      <c r="J3" s="9" t="s">
        <v>31</v>
      </c>
      <c r="K3" s="9" t="s">
        <v>30</v>
      </c>
      <c r="L3" s="9" t="s">
        <v>49</v>
      </c>
    </row>
    <row r="4" spans="1:12" ht="126" customHeight="1" x14ac:dyDescent="0.2">
      <c r="A4" s="9" t="s">
        <v>4</v>
      </c>
      <c r="B4" s="9" t="s">
        <v>2</v>
      </c>
      <c r="C4" s="9" t="s">
        <v>37</v>
      </c>
      <c r="D4" s="10">
        <v>10</v>
      </c>
      <c r="E4" s="10">
        <v>12</v>
      </c>
      <c r="F4" s="10">
        <f>Table2[[#This Row],[Low Peak]]-0.0025-0.00147</f>
        <v>0.18692</v>
      </c>
      <c r="G4" s="10">
        <f>Table2[[#This Row],[Mid Peak]]</f>
        <v>0.21833</v>
      </c>
      <c r="H4" s="10">
        <f>Table2[[#This Row],[Peak]]</f>
        <v>0.27672999999999998</v>
      </c>
      <c r="I4" s="9" t="s">
        <v>34</v>
      </c>
      <c r="J4" s="9" t="s">
        <v>35</v>
      </c>
      <c r="K4" s="9" t="s">
        <v>36</v>
      </c>
      <c r="L4" s="9" t="s">
        <v>13</v>
      </c>
    </row>
    <row r="5" spans="1:12" ht="104" customHeight="1" x14ac:dyDescent="0.2">
      <c r="A5" s="9" t="s">
        <v>3</v>
      </c>
      <c r="B5" s="9" t="s">
        <v>2</v>
      </c>
      <c r="C5" s="9" t="s">
        <v>44</v>
      </c>
      <c r="D5" s="10">
        <v>0</v>
      </c>
      <c r="E5" s="10">
        <v>23.5</v>
      </c>
      <c r="F5" s="10">
        <v>0.1275</v>
      </c>
      <c r="G5" s="10">
        <v>0.19670000000000001</v>
      </c>
      <c r="H5" s="10">
        <v>0.34620000000000001</v>
      </c>
      <c r="I5" s="9" t="s">
        <v>91</v>
      </c>
      <c r="J5" s="9" t="s">
        <v>41</v>
      </c>
      <c r="K5" s="9" t="s">
        <v>40</v>
      </c>
      <c r="L5" s="9" t="s">
        <v>90</v>
      </c>
    </row>
    <row r="6" spans="1:12" ht="64" customHeight="1" x14ac:dyDescent="0.2">
      <c r="A6" s="9" t="s">
        <v>15</v>
      </c>
      <c r="B6" s="9" t="s">
        <v>14</v>
      </c>
      <c r="C6" s="9" t="s">
        <v>45</v>
      </c>
      <c r="D6" s="10">
        <f>D2</f>
        <v>11.2836</v>
      </c>
      <c r="E6" s="10">
        <f>E2</f>
        <v>0</v>
      </c>
      <c r="F6" s="10">
        <f>0.128+0.02597+0.05254 +0.00059+0.00069+0.02554+0.00135 +0.0003+0.0053+0.00346+0.00254 -0.00071+0.00289+0.00111</f>
        <v>0.24956999999999999</v>
      </c>
      <c r="G6" s="10">
        <f>0.167+0.18684+0.05254 +0.00059+0.00069+0.02554+0.00135 +0.0003+0.0053+0.00346+0.00254 -0.00071+0.00289+0.00111</f>
        <v>0.44944000000000017</v>
      </c>
      <c r="H6" s="10">
        <f>0.21+0.25262+0.05254 +0.00059+0.00069+0.02554+0.00135 +0.0003+0.0053+0.00346+0.00254 -0.00071+0.00289+0.00111</f>
        <v>0.55821999999999994</v>
      </c>
      <c r="I6" s="9" t="s">
        <v>23</v>
      </c>
      <c r="J6" s="9" t="s">
        <v>24</v>
      </c>
      <c r="K6" s="9" t="s">
        <v>21</v>
      </c>
      <c r="L6" s="12" t="s">
        <v>93</v>
      </c>
    </row>
    <row r="7" spans="1:12" ht="45" customHeight="1" x14ac:dyDescent="0.2">
      <c r="A7" s="9" t="s">
        <v>16</v>
      </c>
      <c r="B7" s="9" t="s">
        <v>14</v>
      </c>
      <c r="C7" s="9" t="s">
        <v>29</v>
      </c>
      <c r="D7" s="10">
        <f>D3</f>
        <v>0</v>
      </c>
      <c r="E7" s="10">
        <f>E3</f>
        <v>12.81</v>
      </c>
      <c r="F7" s="10">
        <f>0.15191+0.08127 +0.0026-0.00003-0.0069</f>
        <v>0.22885</v>
      </c>
      <c r="G7" s="11">
        <f>0.22789+0.18029+0.0026-0.00003-0.0069</f>
        <v>0.40384999999999999</v>
      </c>
      <c r="H7" s="10">
        <f>0.22789+0.35835+0.0026-0.00003-0.0069</f>
        <v>0.58191000000000004</v>
      </c>
      <c r="I7" s="9" t="s">
        <v>22</v>
      </c>
      <c r="J7" s="9" t="s">
        <v>31</v>
      </c>
      <c r="K7" s="9" t="s">
        <v>30</v>
      </c>
      <c r="L7" s="12" t="s">
        <v>92</v>
      </c>
    </row>
    <row r="8" spans="1:12" ht="49" customHeight="1" x14ac:dyDescent="0.2">
      <c r="A8" s="9" t="s">
        <v>60</v>
      </c>
      <c r="B8" s="9" t="s">
        <v>6</v>
      </c>
      <c r="C8" s="9" t="s">
        <v>45</v>
      </c>
      <c r="D8" s="10">
        <f>0.39167*30</f>
        <v>11.7501</v>
      </c>
      <c r="E8" s="23">
        <v>0</v>
      </c>
      <c r="F8" s="23">
        <v>0.34577999999999998</v>
      </c>
      <c r="G8" s="23">
        <v>0.54779</v>
      </c>
      <c r="H8" s="23">
        <v>0.65827999999999998</v>
      </c>
      <c r="I8" s="9" t="s">
        <v>23</v>
      </c>
      <c r="J8" s="9" t="s">
        <v>24</v>
      </c>
      <c r="K8" s="9" t="s">
        <v>21</v>
      </c>
      <c r="L8" s="9"/>
    </row>
    <row r="9" spans="1:12" ht="81" customHeight="1" x14ac:dyDescent="0.2">
      <c r="A9" s="9" t="s">
        <v>8</v>
      </c>
      <c r="B9" s="9" t="s">
        <v>6</v>
      </c>
      <c r="C9" s="9" t="s">
        <v>65</v>
      </c>
      <c r="D9" s="10">
        <f>0.38 *30</f>
        <v>11.4</v>
      </c>
      <c r="E9" s="23">
        <v>0</v>
      </c>
      <c r="F9" s="23">
        <v>0.2848</v>
      </c>
      <c r="G9" s="23">
        <v>0.49726999999999999</v>
      </c>
      <c r="H9" s="23">
        <v>0.83226999999999995</v>
      </c>
      <c r="I9" s="9" t="s">
        <v>87</v>
      </c>
      <c r="J9" s="9" t="s">
        <v>85</v>
      </c>
      <c r="K9" s="9" t="s">
        <v>86</v>
      </c>
      <c r="L9" s="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1:D8"/>
  <sheetViews>
    <sheetView workbookViewId="0">
      <selection activeCell="C5" sqref="C5"/>
    </sheetView>
  </sheetViews>
  <sheetFormatPr baseColWidth="10" defaultRowHeight="16" x14ac:dyDescent="0.2"/>
  <cols>
    <col min="2" max="2" width="102.83203125" customWidth="1"/>
    <col min="3" max="3" width="75.1640625" customWidth="1"/>
    <col min="4" max="4" width="69.1640625" customWidth="1"/>
  </cols>
  <sheetData>
    <row r="1" spans="1:4" x14ac:dyDescent="0.2">
      <c r="A1" s="1" t="s">
        <v>0</v>
      </c>
      <c r="B1" s="1" t="s">
        <v>78</v>
      </c>
    </row>
    <row r="2" spans="1:4" ht="51" x14ac:dyDescent="0.2">
      <c r="A2" t="s">
        <v>7</v>
      </c>
      <c r="B2" s="20" t="s">
        <v>68</v>
      </c>
      <c r="C2" s="20" t="s">
        <v>67</v>
      </c>
    </row>
    <row r="3" spans="1:4" ht="51" x14ac:dyDescent="0.2">
      <c r="A3" t="s">
        <v>5</v>
      </c>
      <c r="B3" s="20" t="s">
        <v>69</v>
      </c>
    </row>
    <row r="4" spans="1:4" ht="54" customHeight="1" x14ac:dyDescent="0.2">
      <c r="A4" t="s">
        <v>3</v>
      </c>
      <c r="B4" s="20" t="s">
        <v>70</v>
      </c>
      <c r="C4" s="20" t="s">
        <v>89</v>
      </c>
    </row>
    <row r="5" spans="1:4" ht="68" x14ac:dyDescent="0.2">
      <c r="A5" t="s">
        <v>4</v>
      </c>
      <c r="B5" s="20" t="s">
        <v>71</v>
      </c>
      <c r="C5" s="20" t="s">
        <v>72</v>
      </c>
      <c r="D5" s="20" t="s">
        <v>77</v>
      </c>
    </row>
    <row r="6" spans="1:4" ht="51" x14ac:dyDescent="0.2">
      <c r="A6" t="s">
        <v>15</v>
      </c>
      <c r="B6" s="20" t="s">
        <v>73</v>
      </c>
    </row>
    <row r="7" spans="1:4" ht="68" x14ac:dyDescent="0.2">
      <c r="A7" t="s">
        <v>16</v>
      </c>
      <c r="B7" s="20" t="s">
        <v>74</v>
      </c>
    </row>
    <row r="8" spans="1:4" ht="51" x14ac:dyDescent="0.2">
      <c r="A8" t="s">
        <v>62</v>
      </c>
      <c r="B8" s="20" t="s">
        <v>75</v>
      </c>
      <c r="C8" s="20" t="s">
        <v>81</v>
      </c>
      <c r="D8" s="20" t="s">
        <v>76</v>
      </c>
    </row>
  </sheetData>
  <hyperlinks>
    <hyperlink ref="B6" r:id="rId1" display="https://www.mcecleanenergy.org/wp-content/uploads/2023/12/MCE-Residential-Rates-12132023.pdf" xr:uid="{4C3987A8-6742-944B-80E8-A97C5CEBD425}"/>
    <hyperlink ref="B7" r:id="rId2" display="https://files.cleanpoweralliance.org/uploads/2023/04/Clean-Power-Alliance-Residential-Rates-Effective-April-1-2023.pdf" xr:uid="{1396245A-D065-BE48-AA79-9DA080A9F788}"/>
    <hyperlink ref="D5" r:id="rId3" display="https://www.ladwp.com/account/customer-service/understanding-your-rates/residential-electric-rates" xr:uid="{7BAB672E-28BC-0142-87D5-D6BCF0DCB22B}"/>
    <hyperlink ref="C5" r:id="rId4" display="https://www.ladwp.com/account/customer-service/electric-rates/ev-nem-reo-rates" xr:uid="{D2ED481F-1A68-8F44-86EF-D9997B075BE2}"/>
    <hyperlink ref="B5" r:id="rId5" display="https://www.ladwp.com/account/customer-service/electric-rates/residential-rates" xr:uid="{7CE854F8-9DB4-BE48-9EDE-FCD50FB6F464}"/>
    <hyperlink ref="B4" r:id="rId6" display="https://web.archive.org/web/20230601212158/https://www.smud.org/en/Rate-Information/Residential-rates" xr:uid="{FEB4458E-C953-D749-8348-FCFFCE40892F}"/>
    <hyperlink ref="B3" r:id="rId7" display="https://www.sce.com/regulatory/tariff-books/historical-rates/historical-rate-schedules-for-2023" xr:uid="{E526A839-8C10-F74F-93E9-60C2DAE92D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Tiered</vt:lpstr>
      <vt:lpstr>TOU</vt:lpstr>
      <vt:lpstr>TOU-EV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2024-03-25T19:02:03Z</dcterms:modified>
</cp:coreProperties>
</file>