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yan/Developer/CCAResearch/ConsolidatedPrimerData/"/>
    </mc:Choice>
  </mc:AlternateContent>
  <xr:revisionPtr revIDLastSave="0" documentId="13_ncr:1_{8E3805C3-AB37-734D-86F3-1113FFA39770}" xr6:coauthVersionLast="47" xr6:coauthVersionMax="47" xr10:uidLastSave="{00000000-0000-0000-0000-000000000000}"/>
  <bookViews>
    <workbookView xWindow="0" yWindow="500" windowWidth="25600" windowHeight="14120" activeTab="2" xr2:uid="{7039D85A-8A19-0F42-A262-787F6C9D5D5B}"/>
  </bookViews>
  <sheets>
    <sheet name="Tiered" sheetId="1" r:id="rId1"/>
    <sheet name="New-Tiered" sheetId="2" r:id="rId2"/>
    <sheet name="TOU" sheetId="3" r:id="rId3"/>
    <sheet name="TOU-EV" sheetId="4" r:id="rId4"/>
    <sheet name="GRaphs" sheetId="6" r:id="rId5"/>
    <sheet name="Sources" sheetId="5" r:id="rId6"/>
  </sheets>
  <definedNames>
    <definedName name="_xlnm._FilterDatabase" localSheetId="0" hidden="1">Tiered!$A$1:$X$19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D6" i="4" s="1"/>
  <c r="D7" i="4"/>
  <c r="D7" i="3"/>
  <c r="D6" i="3"/>
  <c r="D3" i="3"/>
  <c r="D2" i="3"/>
  <c r="D3" i="2"/>
  <c r="D7" i="2" s="1"/>
  <c r="D2" i="2"/>
  <c r="D6" i="2" s="1"/>
  <c r="E3" i="3"/>
  <c r="E7" i="3" s="1"/>
  <c r="E6" i="3"/>
  <c r="F4" i="4"/>
  <c r="H4" i="4"/>
  <c r="G4" i="4"/>
  <c r="E3" i="4"/>
  <c r="E7" i="4" s="1"/>
  <c r="E3" i="2"/>
  <c r="F3" i="2" s="1"/>
  <c r="G3" i="2" s="1"/>
  <c r="E6" i="4"/>
  <c r="H7" i="4"/>
  <c r="G7" i="4"/>
  <c r="F7" i="4"/>
  <c r="F7" i="3"/>
  <c r="H7" i="3"/>
  <c r="G7" i="3"/>
  <c r="H7" i="2"/>
  <c r="I7" i="2"/>
  <c r="J7" i="2" s="1"/>
  <c r="I3" i="2"/>
  <c r="H3" i="2"/>
  <c r="H6" i="3"/>
  <c r="F6" i="3"/>
  <c r="H6" i="2"/>
  <c r="J6" i="2"/>
  <c r="I6" i="2"/>
  <c r="E6" i="2"/>
  <c r="F6" i="2" s="1"/>
  <c r="G6" i="2" s="1"/>
  <c r="F3" i="3"/>
  <c r="U15" i="1"/>
  <c r="F5" i="2"/>
  <c r="G5" i="2" s="1"/>
  <c r="F3" i="4"/>
  <c r="G3" i="4"/>
  <c r="H3" i="4"/>
  <c r="G3" i="3"/>
  <c r="H3" i="3"/>
  <c r="J3" i="2"/>
  <c r="L3" i="2"/>
  <c r="L2" i="2"/>
  <c r="F2" i="2"/>
  <c r="G2" i="2" s="1"/>
  <c r="W15" i="1"/>
  <c r="V15" i="1"/>
  <c r="W6" i="1"/>
  <c r="V6" i="1"/>
  <c r="U6" i="1"/>
  <c r="L7" i="1"/>
  <c r="K7" i="1"/>
  <c r="J7" i="1"/>
  <c r="L9" i="1"/>
  <c r="K9" i="1"/>
  <c r="J9" i="1"/>
  <c r="L10" i="1"/>
  <c r="K10" i="1"/>
  <c r="J10" i="1"/>
  <c r="L11" i="1"/>
  <c r="K11" i="1"/>
  <c r="J11" i="1"/>
  <c r="L12" i="1"/>
  <c r="K12" i="1"/>
  <c r="J12" i="1"/>
  <c r="L19" i="1"/>
  <c r="K19" i="1"/>
  <c r="J19" i="1"/>
  <c r="I16" i="1"/>
  <c r="H16" i="1"/>
  <c r="G16" i="1"/>
  <c r="E7" i="2" l="1"/>
  <c r="F7" i="2" s="1"/>
  <c r="G7" i="2" s="1"/>
</calcChain>
</file>

<file path=xl/sharedStrings.xml><?xml version="1.0" encoding="utf-8"?>
<sst xmlns="http://schemas.openxmlformats.org/spreadsheetml/2006/main" count="250" uniqueCount="142">
  <si>
    <t>LSE</t>
  </si>
  <si>
    <t>Type</t>
  </si>
  <si>
    <t>Fixed - Tier 1</t>
  </si>
  <si>
    <t>Fixed - Tier 2</t>
  </si>
  <si>
    <t>Fixed - Tier 3</t>
  </si>
  <si>
    <t>PerkWh - Tier 1</t>
  </si>
  <si>
    <t>PerkWh - Tier 2</t>
  </si>
  <si>
    <t>PerkWh - Tier 3</t>
  </si>
  <si>
    <t>Source for Rates</t>
  </si>
  <si>
    <t>Riverside</t>
  </si>
  <si>
    <t>POU</t>
  </si>
  <si>
    <t>https://riversideca.gov/utilities/sites/riversideca.gov.utilities/files/pdf/rates-electric/Electric%20Schedule%20D%20-%20Effective%2001-1-19.pdf</t>
  </si>
  <si>
    <t>MID</t>
  </si>
  <si>
    <t>https://www.mid.org/tariffs/rates/d_residential.pdf</t>
  </si>
  <si>
    <t>Roseville</t>
  </si>
  <si>
    <t>https://www.roseville.ca.us/cms/One.aspx?portalId=7964922&amp;pageId=19014994</t>
  </si>
  <si>
    <t>Redding</t>
  </si>
  <si>
    <t>https://www.cityofredding.gov/government/departments/utilities/customer_service/rates___fees.php</t>
  </si>
  <si>
    <t>SMUD</t>
  </si>
  <si>
    <t>https://www.smud.org/en/Rate-Information/Residential-rates/Fixed-Rate</t>
  </si>
  <si>
    <t>LADWP</t>
  </si>
  <si>
    <t>Alameda</t>
  </si>
  <si>
    <t>https://www.alamedamp.com/161/Residential-Rate-Tiers</t>
  </si>
  <si>
    <t>Glendale</t>
  </si>
  <si>
    <t>https://www.glendaleca.gov/government/departments/glendale-water-and-power/rates/residential-electric-rates</t>
  </si>
  <si>
    <t>Turlock</t>
  </si>
  <si>
    <t>https://issuu.com/turlockirrigationdistrict/docs/schedule_de__2015_?e=15635682/50056124</t>
  </si>
  <si>
    <t>Pasadena</t>
  </si>
  <si>
    <t>https://pwp.cityofpasadena.net/rates/</t>
  </si>
  <si>
    <t>IID</t>
  </si>
  <si>
    <t>Vernon</t>
  </si>
  <si>
    <t>https://www.cityofvernon.org/government/public-utilities/rates-fees/-folder-49</t>
  </si>
  <si>
    <t>Anaheim</t>
  </si>
  <si>
    <t>https://www.anaheim.net/DocumentCenter/View/1256/Domestic-Service-PDF?bidId=</t>
  </si>
  <si>
    <t>Santa Clara</t>
  </si>
  <si>
    <t>https://www.siliconvalleypower.com/home/showpublisheddocument/6253/638236376834400000</t>
  </si>
  <si>
    <t>SCE</t>
  </si>
  <si>
    <t>IOU</t>
  </si>
  <si>
    <t>https://edisonintl.sharepoint.com/teams/Public/TM2/Shared%20Documents/Forms/AllItems.aspx?ga=1&amp;id=%2Fteams%2FPublic%2FTM2%2FShared%20Documents%2FPublic%2FRegulatory%2FTariff%2DSCE%20Tariff%20Books%2FElectric%2FSchedules%2FResidential%20Rates%2FELECTRIC%5FSCHEDULES%5FD%2Epdf&amp;parent=%2Fteams%2FPublic%2FTM2%2FShared%20Documents%2FPublic%2FRegulatory%2FTariff%2DSCE%20Tariff%20Books%2FElectric%2FSchedules%2FResidential%20Rates</t>
  </si>
  <si>
    <t>PG&amp;E</t>
  </si>
  <si>
    <t>SDG&amp;E</t>
  </si>
  <si>
    <t>https://apps.openei.org/USURDB/rate/view/62f5346c75747b72641eb477#3__Energy</t>
  </si>
  <si>
    <t>Palo Alto</t>
  </si>
  <si>
    <t>TOU offpeak</t>
  </si>
  <si>
    <t>TOU midpeak</t>
  </si>
  <si>
    <t>TOU peak</t>
  </si>
  <si>
    <t>https://www.pge.com/assets/pge/docs/account/rate-plans/residential-electric-rate-plan-pricing.pdf.html</t>
  </si>
  <si>
    <t>Rate Name</t>
  </si>
  <si>
    <t>E1</t>
  </si>
  <si>
    <t>ETOUD (5-8 PM peak)</t>
  </si>
  <si>
    <t>EV2-A (4-9pm peak(</t>
  </si>
  <si>
    <t>EVTOU offpeak</t>
  </si>
  <si>
    <t>EVTOU midpeak</t>
  </si>
  <si>
    <t>EVTOU peak</t>
  </si>
  <si>
    <t>Date Rate Effective</t>
  </si>
  <si>
    <t>June 2023 eff</t>
  </si>
  <si>
    <t>Summer rate of 2024 as of Feb 2024 (live)</t>
  </si>
  <si>
    <t>Fixed</t>
  </si>
  <si>
    <t>R-1B</t>
  </si>
  <si>
    <t>https://www.ladwp.com/account/customer-service/electric-rates/residential-rates</t>
  </si>
  <si>
    <t>EV discount</t>
  </si>
  <si>
    <t>https://www.ladwp.com/account/customer-service/electric-rates/ev-nem-reo-rates</t>
  </si>
  <si>
    <t>Tier 2 cutoff</t>
  </si>
  <si>
    <t>Tier 1 Baseline Amt (kwh/month)</t>
  </si>
  <si>
    <t>NA</t>
  </si>
  <si>
    <t>Notes</t>
  </si>
  <si>
    <t>Tier amounts in kWh are for volumetric rates. The fixed rate cutoffs are at 360 and 750 kWh/month respectively</t>
  </si>
  <si>
    <t>eff 2024 summer</t>
  </si>
  <si>
    <t xml:space="preserve"> </t>
  </si>
  <si>
    <t>EV adjustment is a 0.25 cent credit on the baseline, plus no service charge and no ESA charge</t>
  </si>
  <si>
    <t>https://www.smud.org/en/Rate-Information/Residential-rates/Electric-vehicle-rates</t>
  </si>
  <si>
    <t>EV rate extra</t>
  </si>
  <si>
    <t>1.5c/kWh credit on 12am-6am offpeak segment only, not 6am-noon offpeak segment</t>
  </si>
  <si>
    <t>CCA</t>
  </si>
  <si>
    <t>MCE</t>
  </si>
  <si>
    <t>CPA-SC</t>
  </si>
  <si>
    <t>Notes:</t>
  </si>
  <si>
    <t>All rates as of June 2023</t>
  </si>
  <si>
    <t>Tier 3 Rate ($/kWh)</t>
  </si>
  <si>
    <t>Tier 2 Rate ($/kWh)</t>
  </si>
  <si>
    <t>Tier 1 Rate ($/kWh)</t>
  </si>
  <si>
    <t>Tier 1 Amount Limit (kWh)</t>
  </si>
  <si>
    <t>Tier 2 Amount Limit (kWh)</t>
  </si>
  <si>
    <t>Low Peak</t>
  </si>
  <si>
    <t>Mid Peak</t>
  </si>
  <si>
    <t>Peak</t>
  </si>
  <si>
    <t>Low Peak Hours</t>
  </si>
  <si>
    <t>Mid Peak Hours</t>
  </si>
  <si>
    <t>Peak Hours</t>
  </si>
  <si>
    <t>4-9 PM</t>
  </si>
  <si>
    <t>all except 4-9 PM</t>
  </si>
  <si>
    <t>12am-3pm</t>
  </si>
  <si>
    <t>3pm-4pm; 9pm-12am</t>
  </si>
  <si>
    <t>https://www.pge.com/tariffs/Res_Inclu_TOU_230601-230630.xlsx</t>
  </si>
  <si>
    <t>4-9 PM M-F</t>
  </si>
  <si>
    <t>all except 4-9 PM M-F</t>
  </si>
  <si>
    <t>https://www.sce.com/regulatory/tariff-books/historical-rates/historical-rate-schedules-for-2023</t>
  </si>
  <si>
    <t>D</t>
  </si>
  <si>
    <t>Single-family</t>
  </si>
  <si>
    <t>Delivery minimum considered as non-energy charge</t>
  </si>
  <si>
    <t>Baseline credit</t>
  </si>
  <si>
    <t>DTOU</t>
  </si>
  <si>
    <t>PRIME</t>
  </si>
  <si>
    <t>4-9PM M-F</t>
  </si>
  <si>
    <t>4-9 PM Sat-Sun</t>
  </si>
  <si>
    <t>R1B TOU</t>
  </si>
  <si>
    <t>R1A</t>
  </si>
  <si>
    <t>Monday through Friday
8:00 p.m. - 9:59 a.m.
All day Saturday and Sunday</t>
  </si>
  <si>
    <t>Monday through Friday
10:00 a.m. - 12:59 p.m.
5:00 p.m. - 7:59 p.m</t>
  </si>
  <si>
    <t>Monday through Friday
1:00 p.m. - 4:59 p.m</t>
  </si>
  <si>
    <t>https://www.ladwp.com/account/customer-service/understanding-your-rates/residential-electric-rates</t>
  </si>
  <si>
    <t>R1B TOU-EV Discount</t>
  </si>
  <si>
    <t>RTOD</t>
  </si>
  <si>
    <t>R-Fixed</t>
  </si>
  <si>
    <t>Weekdays between 5:00 p.m. and 8:00 p.m.</t>
  </si>
  <si>
    <t>Weekdays between noon and midnight except during the
Peak hours</t>
  </si>
  <si>
    <t>All other hours, including weekends and holidays</t>
  </si>
  <si>
    <t>Midnight-6AM</t>
  </si>
  <si>
    <t>Cpa</t>
  </si>
  <si>
    <t>https://files.cleanpoweralliance.org/uploads/2023/04/Clean-Power-Alliance-Residential-Rates-Effective-April-1-2023.pdf</t>
  </si>
  <si>
    <t>All using 2017 PCIA</t>
  </si>
  <si>
    <t>TOU-D-4</t>
  </si>
  <si>
    <t>CPASC includes WTC CRS (and subtracted D WTC), FRC, PCIA</t>
  </si>
  <si>
    <t>CPASC uses Clean Power as default</t>
  </si>
  <si>
    <t>RTOD EV Discount</t>
  </si>
  <si>
    <t>https://web.archive.org/web/20230601212158/https://www.smud.org/en/Rate-Information/Residential-rates</t>
  </si>
  <si>
    <t>EV2</t>
  </si>
  <si>
    <t>ETOUC</t>
  </si>
  <si>
    <t>https://www.mcecleanenergy.org/wp-content/uploads/2023/12/MCE-Residential-Rates-12132023.pdf</t>
  </si>
  <si>
    <t>Note</t>
  </si>
  <si>
    <t>I have taken the CPA generation rate, added the SCE D delivery rate, subtracted the SCE D WTC component, and added the SCE CCA-CRS WTC, FRC, and PCIA components</t>
  </si>
  <si>
    <t>I have taken the MCE generation rate, added the PG&amp;E E-1 delivery rate and incentive adjustment components except for WFC, PCIA, ECRA, and CTC, from the E1 sheet. I have added WFC, PCIA, ECRA, and CTC from the CCA-CRS.</t>
  </si>
  <si>
    <t>https://www.pge.com/tariffs/assets/pdf/adviceletter/ELEC_6946-E.pdf</t>
  </si>
  <si>
    <t xml:space="preserve">PCIA source: CAL PUC Sheet 54945-E </t>
  </si>
  <si>
    <t>Minimum Charge ($/month)</t>
  </si>
  <si>
    <t>Minimum Charges ($/month)</t>
  </si>
  <si>
    <t>https://www.ladwp.com/sites/default/files/documents/Electric_Rate_Summary_effective_7_1_2019_with_factors_referenced_rev1.pdf</t>
  </si>
  <si>
    <t>If a customer has a second meter or submeter, they get a daily credit to offset their daily basic charge. This credit is $0.323 for a full meter or $0.111 for a submeter</t>
  </si>
  <si>
    <t>Fixed Charges Tier 1 ($/month)</t>
  </si>
  <si>
    <t>Fixed Charges Tier 2 ($/month)</t>
  </si>
  <si>
    <t>Fixed Charges Tier 3 ($/month)</t>
  </si>
  <si>
    <t>Fixed Charge ($/month)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</si>
</sst>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_);_(@_)"/>
  </numFmts>
  <fonts count="1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sz val="7"/>
      <color theme="1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sz val="10"/>
      <color theme="1"/>
      <name val="ArialMT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4" fontId="0" fillId="0" borderId="0" xfId="1" applyFont="1" applyAlignment="1">
      <alignment horizontal="center"/>
    </xf>
    <xf numFmtId="44" fontId="0" fillId="0" borderId="0" xfId="1" applyFont="1"/>
    <xf numFmtId="0" fontId="3" fillId="0" borderId="0" xfId="2"/>
    <xf numFmtId="0" fontId="2" fillId="2" borderId="0" xfId="0" applyFont="1" applyFill="1" applyAlignment="1">
      <alignment horizontal="center" vertical="center" wrapText="1"/>
    </xf>
    <xf numFmtId="44" fontId="0" fillId="2" borderId="0" xfId="1" applyFont="1" applyFill="1"/>
    <xf numFmtId="0" fontId="0" fillId="2" borderId="0" xfId="0" applyFill="1"/>
    <xf numFmtId="0" fontId="2" fillId="2" borderId="0" xfId="0" applyFont="1" applyFill="1"/>
    <xf numFmtId="17" fontId="0" fillId="0" borderId="0" xfId="0" applyNumberFormat="1"/>
    <xf numFmtId="43" fontId="0" fillId="0" borderId="0" xfId="3" applyFont="1"/>
    <xf numFmtId="0" fontId="0" fillId="0" borderId="0" xfId="0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7" fillId="3" borderId="6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7" fillId="3" borderId="0" xfId="0" applyFont="1" applyFill="1" applyAlignment="1">
      <alignment horizontal="left" vertical="center" wrapText="1"/>
    </xf>
    <xf numFmtId="44" fontId="0" fillId="0" borderId="0" xfId="1" applyFont="1" applyAlignment="1">
      <alignment horizontal="left" vertical="center" wrapText="1"/>
    </xf>
    <xf numFmtId="44" fontId="5" fillId="0" borderId="3" xfId="1" applyFont="1" applyBorder="1" applyAlignment="1">
      <alignment horizontal="left" vertical="center" wrapText="1"/>
    </xf>
    <xf numFmtId="43" fontId="0" fillId="0" borderId="0" xfId="3" applyFont="1" applyAlignment="1">
      <alignment horizontal="left" vertical="center" wrapText="1"/>
    </xf>
    <xf numFmtId="44" fontId="5" fillId="0" borderId="4" xfId="1" applyFont="1" applyBorder="1" applyAlignment="1">
      <alignment horizontal="left" vertical="center" wrapText="1"/>
    </xf>
    <xf numFmtId="44" fontId="5" fillId="0" borderId="5" xfId="1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8" fillId="3" borderId="0" xfId="0" applyFont="1" applyFill="1" applyAlignment="1">
      <alignment horizontal="left" vertical="center" wrapText="1"/>
    </xf>
    <xf numFmtId="164" fontId="5" fillId="0" borderId="2" xfId="1" applyNumberFormat="1" applyFont="1" applyBorder="1" applyAlignment="1">
      <alignment horizontal="left" vertical="center" wrapText="1"/>
    </xf>
    <xf numFmtId="0" fontId="9" fillId="0" borderId="0" xfId="0" applyFont="1"/>
    <xf numFmtId="0" fontId="0" fillId="0" borderId="7" xfId="0" applyBorder="1" applyAlignment="1">
      <alignment horizontal="left" vertical="center" wrapText="1"/>
    </xf>
    <xf numFmtId="164" fontId="5" fillId="0" borderId="4" xfId="1" applyNumberFormat="1" applyFont="1" applyBorder="1" applyAlignment="1">
      <alignment horizontal="left" vertical="center" wrapText="1"/>
    </xf>
    <xf numFmtId="44" fontId="5" fillId="0" borderId="6" xfId="1" applyFont="1" applyBorder="1" applyAlignment="1">
      <alignment horizontal="left" vertical="center" wrapText="1"/>
    </xf>
    <xf numFmtId="44" fontId="5" fillId="0" borderId="2" xfId="1" applyFont="1" applyBorder="1" applyAlignment="1">
      <alignment horizontal="left" vertical="center" wrapText="1"/>
    </xf>
    <xf numFmtId="44" fontId="5" fillId="0" borderId="0" xfId="1" applyFont="1" applyAlignment="1">
      <alignment horizontal="left" vertical="center" wrapText="1"/>
    </xf>
  </cellXfs>
  <cellStyles count="4">
    <cellStyle name="Comma" xfId="3" builtinId="3"/>
    <cellStyle name="Currency" xfId="1" builtinId="4"/>
    <cellStyle name="Hyperlink" xfId="2" builtinId="8"/>
    <cellStyle name="Normal" xfId="0" builtinId="0"/>
  </cellStyles>
  <dxfs count="43"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  <fill>
        <patternFill>
          <bgColor theme="1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 Charges - higher for POUs</a:t>
            </a:r>
            <a:br>
              <a:rPr lang="en-US"/>
            </a:b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(Basic Tiered Summer Residential Rate,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Tiered!$G$1</c:f>
              <c:strCache>
                <c:ptCount val="1"/>
                <c:pt idx="0">
                  <c:v>Fixed - Tier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Tiered!$A$2:$A$19</c:f>
              <c:strCache>
                <c:ptCount val="18"/>
                <c:pt idx="0">
                  <c:v>PG&amp;E</c:v>
                </c:pt>
                <c:pt idx="1">
                  <c:v>SDG&amp;E</c:v>
                </c:pt>
                <c:pt idx="2">
                  <c:v>SCE</c:v>
                </c:pt>
                <c:pt idx="3">
                  <c:v>Palo Alto</c:v>
                </c:pt>
                <c:pt idx="4">
                  <c:v>LADWP</c:v>
                </c:pt>
                <c:pt idx="5">
                  <c:v>Santa Clara</c:v>
                </c:pt>
                <c:pt idx="6">
                  <c:v>Anaheim</c:v>
                </c:pt>
                <c:pt idx="7">
                  <c:v>Vernon</c:v>
                </c:pt>
                <c:pt idx="8">
                  <c:v>IID</c:v>
                </c:pt>
                <c:pt idx="9">
                  <c:v>Pasadena</c:v>
                </c:pt>
                <c:pt idx="10">
                  <c:v>Turlock</c:v>
                </c:pt>
                <c:pt idx="11">
                  <c:v>Glendale</c:v>
                </c:pt>
                <c:pt idx="12">
                  <c:v>Alameda</c:v>
                </c:pt>
                <c:pt idx="13">
                  <c:v>SMUD</c:v>
                </c:pt>
                <c:pt idx="14">
                  <c:v>Riverside</c:v>
                </c:pt>
                <c:pt idx="15">
                  <c:v>Redding</c:v>
                </c:pt>
                <c:pt idx="16">
                  <c:v>MID</c:v>
                </c:pt>
                <c:pt idx="17">
                  <c:v>Roseville</c:v>
                </c:pt>
              </c:strCache>
            </c:strRef>
          </c:cat>
          <c:val>
            <c:numRef>
              <c:f>Tiered!$G$2:$G$19</c:f>
              <c:numCache>
                <c:formatCode>_("$"* #,##0.00_);_("$"* \(#,##0.00\);_("$"*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0.93</c:v>
                </c:pt>
                <c:pt idx="3">
                  <c:v>0</c:v>
                </c:pt>
                <c:pt idx="4">
                  <c:v>2.2999999999999998</c:v>
                </c:pt>
                <c:pt idx="5">
                  <c:v>4.25</c:v>
                </c:pt>
                <c:pt idx="6">
                  <c:v>5</c:v>
                </c:pt>
                <c:pt idx="7">
                  <c:v>5.42</c:v>
                </c:pt>
                <c:pt idx="8">
                  <c:v>9.6</c:v>
                </c:pt>
                <c:pt idx="9">
                  <c:v>13.46</c:v>
                </c:pt>
                <c:pt idx="10">
                  <c:v>17</c:v>
                </c:pt>
                <c:pt idx="11">
                  <c:v>19.2</c:v>
                </c:pt>
                <c:pt idx="12">
                  <c:v>19.989999999999998</c:v>
                </c:pt>
                <c:pt idx="13">
                  <c:v>23.5</c:v>
                </c:pt>
                <c:pt idx="14">
                  <c:v>24.550000000000004</c:v>
                </c:pt>
                <c:pt idx="15">
                  <c:v>25</c:v>
                </c:pt>
                <c:pt idx="16">
                  <c:v>30</c:v>
                </c:pt>
                <c:pt idx="1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2-3F44-A8F4-64CA061190C0}"/>
            </c:ext>
          </c:extLst>
        </c:ser>
        <c:ser>
          <c:idx val="1"/>
          <c:order val="1"/>
          <c:tx>
            <c:strRef>
              <c:f>Tiered!$H$1</c:f>
              <c:strCache>
                <c:ptCount val="1"/>
                <c:pt idx="0">
                  <c:v>Fixed - Tier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Tiered!$A$2:$A$19</c:f>
              <c:strCache>
                <c:ptCount val="18"/>
                <c:pt idx="0">
                  <c:v>PG&amp;E</c:v>
                </c:pt>
                <c:pt idx="1">
                  <c:v>SDG&amp;E</c:v>
                </c:pt>
                <c:pt idx="2">
                  <c:v>SCE</c:v>
                </c:pt>
                <c:pt idx="3">
                  <c:v>Palo Alto</c:v>
                </c:pt>
                <c:pt idx="4">
                  <c:v>LADWP</c:v>
                </c:pt>
                <c:pt idx="5">
                  <c:v>Santa Clara</c:v>
                </c:pt>
                <c:pt idx="6">
                  <c:v>Anaheim</c:v>
                </c:pt>
                <c:pt idx="7">
                  <c:v>Vernon</c:v>
                </c:pt>
                <c:pt idx="8">
                  <c:v>IID</c:v>
                </c:pt>
                <c:pt idx="9">
                  <c:v>Pasadena</c:v>
                </c:pt>
                <c:pt idx="10">
                  <c:v>Turlock</c:v>
                </c:pt>
                <c:pt idx="11">
                  <c:v>Glendale</c:v>
                </c:pt>
                <c:pt idx="12">
                  <c:v>Alameda</c:v>
                </c:pt>
                <c:pt idx="13">
                  <c:v>SMUD</c:v>
                </c:pt>
                <c:pt idx="14">
                  <c:v>Riverside</c:v>
                </c:pt>
                <c:pt idx="15">
                  <c:v>Redding</c:v>
                </c:pt>
                <c:pt idx="16">
                  <c:v>MID</c:v>
                </c:pt>
                <c:pt idx="17">
                  <c:v>Roseville</c:v>
                </c:pt>
              </c:strCache>
            </c:strRef>
          </c:cat>
          <c:val>
            <c:numRef>
              <c:f>Tiered!$H$2:$H$19</c:f>
              <c:numCache>
                <c:formatCode>_("$"* #,##0.00_);_("$"* \(#,##0.00\);_("$"*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0.93</c:v>
                </c:pt>
                <c:pt idx="3">
                  <c:v>0</c:v>
                </c:pt>
                <c:pt idx="4">
                  <c:v>7.9</c:v>
                </c:pt>
                <c:pt idx="5">
                  <c:v>4.25</c:v>
                </c:pt>
                <c:pt idx="6">
                  <c:v>5</c:v>
                </c:pt>
                <c:pt idx="7">
                  <c:v>5.42</c:v>
                </c:pt>
                <c:pt idx="8">
                  <c:v>9.6</c:v>
                </c:pt>
                <c:pt idx="9">
                  <c:v>13.46</c:v>
                </c:pt>
                <c:pt idx="10">
                  <c:v>17</c:v>
                </c:pt>
                <c:pt idx="11">
                  <c:v>19.2</c:v>
                </c:pt>
                <c:pt idx="12">
                  <c:v>19.989999999999998</c:v>
                </c:pt>
                <c:pt idx="13">
                  <c:v>23.5</c:v>
                </c:pt>
                <c:pt idx="14">
                  <c:v>28.03</c:v>
                </c:pt>
                <c:pt idx="15">
                  <c:v>25</c:v>
                </c:pt>
                <c:pt idx="16">
                  <c:v>30</c:v>
                </c:pt>
                <c:pt idx="1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C2-3F44-A8F4-64CA061190C0}"/>
            </c:ext>
          </c:extLst>
        </c:ser>
        <c:ser>
          <c:idx val="2"/>
          <c:order val="2"/>
          <c:tx>
            <c:strRef>
              <c:f>Tiered!$I$1</c:f>
              <c:strCache>
                <c:ptCount val="1"/>
                <c:pt idx="0">
                  <c:v>Fixed - Tier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Tiered!$A$2:$A$19</c:f>
              <c:strCache>
                <c:ptCount val="18"/>
                <c:pt idx="0">
                  <c:v>PG&amp;E</c:v>
                </c:pt>
                <c:pt idx="1">
                  <c:v>SDG&amp;E</c:v>
                </c:pt>
                <c:pt idx="2">
                  <c:v>SCE</c:v>
                </c:pt>
                <c:pt idx="3">
                  <c:v>Palo Alto</c:v>
                </c:pt>
                <c:pt idx="4">
                  <c:v>LADWP</c:v>
                </c:pt>
                <c:pt idx="5">
                  <c:v>Santa Clara</c:v>
                </c:pt>
                <c:pt idx="6">
                  <c:v>Anaheim</c:v>
                </c:pt>
                <c:pt idx="7">
                  <c:v>Vernon</c:v>
                </c:pt>
                <c:pt idx="8">
                  <c:v>IID</c:v>
                </c:pt>
                <c:pt idx="9">
                  <c:v>Pasadena</c:v>
                </c:pt>
                <c:pt idx="10">
                  <c:v>Turlock</c:v>
                </c:pt>
                <c:pt idx="11">
                  <c:v>Glendale</c:v>
                </c:pt>
                <c:pt idx="12">
                  <c:v>Alameda</c:v>
                </c:pt>
                <c:pt idx="13">
                  <c:v>SMUD</c:v>
                </c:pt>
                <c:pt idx="14">
                  <c:v>Riverside</c:v>
                </c:pt>
                <c:pt idx="15">
                  <c:v>Redding</c:v>
                </c:pt>
                <c:pt idx="16">
                  <c:v>MID</c:v>
                </c:pt>
                <c:pt idx="17">
                  <c:v>Roseville</c:v>
                </c:pt>
              </c:strCache>
            </c:strRef>
          </c:cat>
          <c:val>
            <c:numRef>
              <c:f>Tiered!$I$2:$I$19</c:f>
              <c:numCache>
                <c:formatCode>_("$"* #,##0.00_);_("$"* \(#,##0.00\);_("$"*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0.93</c:v>
                </c:pt>
                <c:pt idx="3">
                  <c:v>0</c:v>
                </c:pt>
                <c:pt idx="4">
                  <c:v>22.7</c:v>
                </c:pt>
                <c:pt idx="5">
                  <c:v>4.25</c:v>
                </c:pt>
                <c:pt idx="6">
                  <c:v>5</c:v>
                </c:pt>
                <c:pt idx="7">
                  <c:v>5.42</c:v>
                </c:pt>
                <c:pt idx="8">
                  <c:v>9.6</c:v>
                </c:pt>
                <c:pt idx="9">
                  <c:v>13.46</c:v>
                </c:pt>
                <c:pt idx="10">
                  <c:v>17</c:v>
                </c:pt>
                <c:pt idx="11">
                  <c:v>19.2</c:v>
                </c:pt>
                <c:pt idx="12">
                  <c:v>19.989999999999998</c:v>
                </c:pt>
                <c:pt idx="13">
                  <c:v>23.5</c:v>
                </c:pt>
                <c:pt idx="14">
                  <c:v>35.22</c:v>
                </c:pt>
                <c:pt idx="15">
                  <c:v>25</c:v>
                </c:pt>
                <c:pt idx="16">
                  <c:v>30</c:v>
                </c:pt>
                <c:pt idx="1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C2-3F44-A8F4-64CA06119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966415"/>
        <c:axId val="1363698799"/>
      </c:barChart>
      <c:catAx>
        <c:axId val="90496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698799"/>
        <c:crosses val="autoZero"/>
        <c:auto val="1"/>
        <c:lblAlgn val="ctr"/>
        <c:lblOffset val="100"/>
        <c:noMultiLvlLbl val="0"/>
      </c:catAx>
      <c:valAx>
        <c:axId val="136369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96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Volumetric Charges - higher for IOUs</a:t>
            </a:r>
            <a:br>
              <a:rPr lang="en-US"/>
            </a:b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(Basic Tiered Summer Residential Rate,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Tiered!$J$1</c:f>
              <c:strCache>
                <c:ptCount val="1"/>
                <c:pt idx="0">
                  <c:v>PerkWh - Tier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Tiered!$A$2:$A$19</c:f>
              <c:strCache>
                <c:ptCount val="18"/>
                <c:pt idx="0">
                  <c:v>PG&amp;E</c:v>
                </c:pt>
                <c:pt idx="1">
                  <c:v>SDG&amp;E</c:v>
                </c:pt>
                <c:pt idx="2">
                  <c:v>SCE</c:v>
                </c:pt>
                <c:pt idx="3">
                  <c:v>Palo Alto</c:v>
                </c:pt>
                <c:pt idx="4">
                  <c:v>LADWP</c:v>
                </c:pt>
                <c:pt idx="5">
                  <c:v>Santa Clara</c:v>
                </c:pt>
                <c:pt idx="6">
                  <c:v>Anaheim</c:v>
                </c:pt>
                <c:pt idx="7">
                  <c:v>Vernon</c:v>
                </c:pt>
                <c:pt idx="8">
                  <c:v>IID</c:v>
                </c:pt>
                <c:pt idx="9">
                  <c:v>Pasadena</c:v>
                </c:pt>
                <c:pt idx="10">
                  <c:v>Turlock</c:v>
                </c:pt>
                <c:pt idx="11">
                  <c:v>Glendale</c:v>
                </c:pt>
                <c:pt idx="12">
                  <c:v>Alameda</c:v>
                </c:pt>
                <c:pt idx="13">
                  <c:v>SMUD</c:v>
                </c:pt>
                <c:pt idx="14">
                  <c:v>Riverside</c:v>
                </c:pt>
                <c:pt idx="15">
                  <c:v>Redding</c:v>
                </c:pt>
                <c:pt idx="16">
                  <c:v>MID</c:v>
                </c:pt>
                <c:pt idx="17">
                  <c:v>Roseville</c:v>
                </c:pt>
              </c:strCache>
            </c:strRef>
          </c:cat>
          <c:val>
            <c:numRef>
              <c:f>Tiered!$J$2:$J$19</c:f>
              <c:numCache>
                <c:formatCode>_("$"* #,##0.00_);_("$"* \(#,##0.00\);_("$"* "-"??_);_(@_)</c:formatCode>
                <c:ptCount val="18"/>
                <c:pt idx="0">
                  <c:v>0.42</c:v>
                </c:pt>
                <c:pt idx="1">
                  <c:v>0.39295000000000002</c:v>
                </c:pt>
                <c:pt idx="2">
                  <c:v>0.3523</c:v>
                </c:pt>
                <c:pt idx="3">
                  <c:v>0.17521</c:v>
                </c:pt>
                <c:pt idx="4" formatCode="General">
                  <c:v>0.18956999999999999</c:v>
                </c:pt>
                <c:pt idx="5">
                  <c:v>0.13397414499999999</c:v>
                </c:pt>
                <c:pt idx="6">
                  <c:v>0.12</c:v>
                </c:pt>
                <c:pt idx="7">
                  <c:v>0.10439999999999999</c:v>
                </c:pt>
                <c:pt idx="8">
                  <c:v>0.15710000000000002</c:v>
                </c:pt>
                <c:pt idx="9">
                  <c:v>0.17951</c:v>
                </c:pt>
                <c:pt idx="10">
                  <c:v>0.14316719999999999</c:v>
                </c:pt>
                <c:pt idx="11">
                  <c:v>0.1661</c:v>
                </c:pt>
                <c:pt idx="12">
                  <c:v>0.12429999999999999</c:v>
                </c:pt>
                <c:pt idx="13">
                  <c:v>0.20130000000000001</c:v>
                </c:pt>
                <c:pt idx="14">
                  <c:v>0.11020000000000001</c:v>
                </c:pt>
                <c:pt idx="15">
                  <c:v>0.14879999999999999</c:v>
                </c:pt>
                <c:pt idx="16">
                  <c:v>0.1449</c:v>
                </c:pt>
                <c:pt idx="17">
                  <c:v>0.12079999999999999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D2-9946-9E77-E37D8652C9A8}"/>
            </c:ext>
          </c:extLst>
        </c:ser>
        <c:ser>
          <c:idx val="1"/>
          <c:order val="1"/>
          <c:tx>
            <c:strRef>
              <c:f>Tiered!$K$1</c:f>
              <c:strCache>
                <c:ptCount val="1"/>
                <c:pt idx="0">
                  <c:v>PerkWh - Tier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Tiered!$A$2:$A$19</c:f>
              <c:strCache>
                <c:ptCount val="18"/>
                <c:pt idx="0">
                  <c:v>PG&amp;E</c:v>
                </c:pt>
                <c:pt idx="1">
                  <c:v>SDG&amp;E</c:v>
                </c:pt>
                <c:pt idx="2">
                  <c:v>SCE</c:v>
                </c:pt>
                <c:pt idx="3">
                  <c:v>Palo Alto</c:v>
                </c:pt>
                <c:pt idx="4">
                  <c:v>LADWP</c:v>
                </c:pt>
                <c:pt idx="5">
                  <c:v>Santa Clara</c:v>
                </c:pt>
                <c:pt idx="6">
                  <c:v>Anaheim</c:v>
                </c:pt>
                <c:pt idx="7">
                  <c:v>Vernon</c:v>
                </c:pt>
                <c:pt idx="8">
                  <c:v>IID</c:v>
                </c:pt>
                <c:pt idx="9">
                  <c:v>Pasadena</c:v>
                </c:pt>
                <c:pt idx="10">
                  <c:v>Turlock</c:v>
                </c:pt>
                <c:pt idx="11">
                  <c:v>Glendale</c:v>
                </c:pt>
                <c:pt idx="12">
                  <c:v>Alameda</c:v>
                </c:pt>
                <c:pt idx="13">
                  <c:v>SMUD</c:v>
                </c:pt>
                <c:pt idx="14">
                  <c:v>Riverside</c:v>
                </c:pt>
                <c:pt idx="15">
                  <c:v>Redding</c:v>
                </c:pt>
                <c:pt idx="16">
                  <c:v>MID</c:v>
                </c:pt>
                <c:pt idx="17">
                  <c:v>Roseville</c:v>
                </c:pt>
              </c:strCache>
            </c:strRef>
          </c:cat>
          <c:val>
            <c:numRef>
              <c:f>Tiered!$K$2:$K$19</c:f>
              <c:numCache>
                <c:formatCode>_("$"* #,##0.00_);_("$"* \(#,##0.00\);_("$"* "-"??_);_(@_)</c:formatCode>
                <c:ptCount val="18"/>
                <c:pt idx="0">
                  <c:v>0.53</c:v>
                </c:pt>
                <c:pt idx="1">
                  <c:v>0.49476999999999999</c:v>
                </c:pt>
                <c:pt idx="2">
                  <c:v>0.44622000000000001</c:v>
                </c:pt>
                <c:pt idx="3">
                  <c:v>0.24665999999999999</c:v>
                </c:pt>
                <c:pt idx="4" formatCode="General">
                  <c:v>0.24815999999999999</c:v>
                </c:pt>
                <c:pt idx="5">
                  <c:v>0.15395790000000001</c:v>
                </c:pt>
                <c:pt idx="6">
                  <c:v>0.19739999999999999</c:v>
                </c:pt>
                <c:pt idx="7">
                  <c:v>0.10439999999999999</c:v>
                </c:pt>
                <c:pt idx="8">
                  <c:v>0.15710000000000002</c:v>
                </c:pt>
                <c:pt idx="9">
                  <c:v>0.32624000000000003</c:v>
                </c:pt>
                <c:pt idx="10">
                  <c:v>0.16733695000000001</c:v>
                </c:pt>
                <c:pt idx="11">
                  <c:v>0.2059</c:v>
                </c:pt>
                <c:pt idx="12">
                  <c:v>0.19794</c:v>
                </c:pt>
                <c:pt idx="13">
                  <c:v>0.20130000000000001</c:v>
                </c:pt>
                <c:pt idx="14">
                  <c:v>0.17530000000000001</c:v>
                </c:pt>
                <c:pt idx="15">
                  <c:v>0.14879999999999999</c:v>
                </c:pt>
                <c:pt idx="16">
                  <c:v>0.18079999999999999</c:v>
                </c:pt>
                <c:pt idx="17">
                  <c:v>0.16870000000000002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D2-9946-9E77-E37D8652C9A8}"/>
            </c:ext>
          </c:extLst>
        </c:ser>
        <c:ser>
          <c:idx val="2"/>
          <c:order val="2"/>
          <c:tx>
            <c:strRef>
              <c:f>Tiered!$L$1</c:f>
              <c:strCache>
                <c:ptCount val="1"/>
                <c:pt idx="0">
                  <c:v>PerkWh - Tier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Tiered!$A$2:$A$19</c:f>
              <c:strCache>
                <c:ptCount val="18"/>
                <c:pt idx="0">
                  <c:v>PG&amp;E</c:v>
                </c:pt>
                <c:pt idx="1">
                  <c:v>SDG&amp;E</c:v>
                </c:pt>
                <c:pt idx="2">
                  <c:v>SCE</c:v>
                </c:pt>
                <c:pt idx="3">
                  <c:v>Palo Alto</c:v>
                </c:pt>
                <c:pt idx="4">
                  <c:v>LADWP</c:v>
                </c:pt>
                <c:pt idx="5">
                  <c:v>Santa Clara</c:v>
                </c:pt>
                <c:pt idx="6">
                  <c:v>Anaheim</c:v>
                </c:pt>
                <c:pt idx="7">
                  <c:v>Vernon</c:v>
                </c:pt>
                <c:pt idx="8">
                  <c:v>IID</c:v>
                </c:pt>
                <c:pt idx="9">
                  <c:v>Pasadena</c:v>
                </c:pt>
                <c:pt idx="10">
                  <c:v>Turlock</c:v>
                </c:pt>
                <c:pt idx="11">
                  <c:v>Glendale</c:v>
                </c:pt>
                <c:pt idx="12">
                  <c:v>Alameda</c:v>
                </c:pt>
                <c:pt idx="13">
                  <c:v>SMUD</c:v>
                </c:pt>
                <c:pt idx="14">
                  <c:v>Riverside</c:v>
                </c:pt>
                <c:pt idx="15">
                  <c:v>Redding</c:v>
                </c:pt>
                <c:pt idx="16">
                  <c:v>MID</c:v>
                </c:pt>
                <c:pt idx="17">
                  <c:v>Roseville</c:v>
                </c:pt>
              </c:strCache>
            </c:strRef>
          </c:cat>
          <c:val>
            <c:numRef>
              <c:f>Tiered!$L$2:$L$19</c:f>
              <c:numCache>
                <c:formatCode>_("$"* #,##0.00_);_("$"* \(#,##0.00\);_("$"* "-"??_);_(@_)</c:formatCode>
                <c:ptCount val="18"/>
                <c:pt idx="0">
                  <c:v>0.53</c:v>
                </c:pt>
                <c:pt idx="1">
                  <c:v>0.49476999999999999</c:v>
                </c:pt>
                <c:pt idx="2">
                  <c:v>0.44622000000000001</c:v>
                </c:pt>
                <c:pt idx="3">
                  <c:v>0.24665999999999999</c:v>
                </c:pt>
                <c:pt idx="4" formatCode="General">
                  <c:v>0.33517000000000002</c:v>
                </c:pt>
                <c:pt idx="5">
                  <c:v>0.15395790000000001</c:v>
                </c:pt>
                <c:pt idx="6">
                  <c:v>0.19739999999999999</c:v>
                </c:pt>
                <c:pt idx="7">
                  <c:v>0.10439999999999999</c:v>
                </c:pt>
                <c:pt idx="8">
                  <c:v>0.15710000000000002</c:v>
                </c:pt>
                <c:pt idx="9">
                  <c:v>0.43329999999999996</c:v>
                </c:pt>
                <c:pt idx="10">
                  <c:v>0.18081030000000001</c:v>
                </c:pt>
                <c:pt idx="11">
                  <c:v>0.24590000000000001</c:v>
                </c:pt>
                <c:pt idx="12">
                  <c:v>0.29453000000000001</c:v>
                </c:pt>
                <c:pt idx="13">
                  <c:v>0.20130000000000001</c:v>
                </c:pt>
                <c:pt idx="14">
                  <c:v>0.1988</c:v>
                </c:pt>
                <c:pt idx="15">
                  <c:v>0.14879999999999999</c:v>
                </c:pt>
                <c:pt idx="16">
                  <c:v>0.18079999999999999</c:v>
                </c:pt>
                <c:pt idx="17">
                  <c:v>0.16870000000000002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D2-9946-9E77-E37D8652C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966415"/>
        <c:axId val="1363698799"/>
      </c:barChart>
      <c:catAx>
        <c:axId val="90496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698799"/>
        <c:crosses val="autoZero"/>
        <c:auto val="1"/>
        <c:lblAlgn val="ctr"/>
        <c:lblOffset val="100"/>
        <c:noMultiLvlLbl val="0"/>
      </c:catAx>
      <c:valAx>
        <c:axId val="136369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96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TOU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Tiered!$A$2</c:f>
              <c:strCache>
                <c:ptCount val="1"/>
                <c:pt idx="0">
                  <c:v>PG&amp;E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Tiered!$P$1:$R$1</c:f>
              <c:strCache>
                <c:ptCount val="3"/>
                <c:pt idx="0">
                  <c:v>TOU offpeak</c:v>
                </c:pt>
                <c:pt idx="1">
                  <c:v>TOU midpeak</c:v>
                </c:pt>
                <c:pt idx="2">
                  <c:v>TOU peak</c:v>
                </c:pt>
              </c:strCache>
            </c:strRef>
          </c:cat>
          <c:val>
            <c:numRef>
              <c:f>Tiered!$P$2:$R$2</c:f>
              <c:numCache>
                <c:formatCode>General</c:formatCode>
                <c:ptCount val="3"/>
                <c:pt idx="0" formatCode="_(&quot;$&quot;* #,##0.00_);_(&quot;$&quot;* \(#,##0.00\);_(&quot;$&quot;* &quot;-&quot;??_);_(@_)">
                  <c:v>0.45</c:v>
                </c:pt>
                <c:pt idx="2" formatCode="_(&quot;$&quot;* #,##0.00_);_(&quot;$&quot;* \(#,##0.00\);_(&quot;$&quot;* &quot;-&quot;??_);_(@_)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6-1141-AD97-BC0796F2E582}"/>
            </c:ext>
          </c:extLst>
        </c:ser>
        <c:ser>
          <c:idx val="1"/>
          <c:order val="1"/>
          <c:tx>
            <c:strRef>
              <c:f>Tiered!$A$6</c:f>
              <c:strCache>
                <c:ptCount val="1"/>
                <c:pt idx="0">
                  <c:v>LADWP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Tiered!$P$1:$R$1</c:f>
              <c:strCache>
                <c:ptCount val="3"/>
                <c:pt idx="0">
                  <c:v>TOU offpeak</c:v>
                </c:pt>
                <c:pt idx="1">
                  <c:v>TOU midpeak</c:v>
                </c:pt>
                <c:pt idx="2">
                  <c:v>TOU peak</c:v>
                </c:pt>
              </c:strCache>
            </c:strRef>
          </c:cat>
          <c:val>
            <c:numRef>
              <c:f>Tiered!$P$6:$R$6</c:f>
              <c:numCache>
                <c:formatCode>General</c:formatCode>
                <c:ptCount val="3"/>
                <c:pt idx="0">
                  <c:v>0.19089</c:v>
                </c:pt>
                <c:pt idx="1">
                  <c:v>0.21833</c:v>
                </c:pt>
                <c:pt idx="2">
                  <c:v>0.27672999999999998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D6-1141-AD97-BC0796F2E582}"/>
            </c:ext>
          </c:extLst>
        </c:ser>
        <c:ser>
          <c:idx val="2"/>
          <c:order val="2"/>
          <c:tx>
            <c:strRef>
              <c:f>Tiered!$A$15</c:f>
              <c:strCache>
                <c:ptCount val="1"/>
                <c:pt idx="0">
                  <c:v>SMUD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Tiered!$P$15:$R$15</c:f>
              <c:numCache>
                <c:formatCode>General</c:formatCode>
                <c:ptCount val="3"/>
                <c:pt idx="0">
                  <c:v>0.14249999999999999</c:v>
                </c:pt>
                <c:pt idx="1">
                  <c:v>0.19670000000000001</c:v>
                </c:pt>
                <c:pt idx="2">
                  <c:v>0.34620000000000001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D6-1141-AD97-BC0796F2E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806640"/>
        <c:axId val="867665968"/>
      </c:barChart>
      <c:catAx>
        <c:axId val="57980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665968"/>
        <c:crosses val="autoZero"/>
        <c:auto val="1"/>
        <c:lblAlgn val="ctr"/>
        <c:lblOffset val="100"/>
        <c:noMultiLvlLbl val="0"/>
      </c:catAx>
      <c:valAx>
        <c:axId val="8676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0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 TOU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Tiered!$A$2</c:f>
              <c:strCache>
                <c:ptCount val="1"/>
                <c:pt idx="0">
                  <c:v>PG&amp;E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Tiered!$U$1:$W$1</c:f>
              <c:strCache>
                <c:ptCount val="3"/>
                <c:pt idx="0">
                  <c:v>EVTOU offpeak</c:v>
                </c:pt>
                <c:pt idx="1">
                  <c:v>EVTOU midpeak</c:v>
                </c:pt>
                <c:pt idx="2">
                  <c:v>EVTOU peak</c:v>
                </c:pt>
              </c:strCache>
            </c:strRef>
          </c:cat>
          <c:val>
            <c:numRef>
              <c:f>Tiered!$U$2:$W$2</c:f>
              <c:numCache>
                <c:formatCode>_("$"* #,##0.00_);_("$"* \(#,##0.00\);_("$"* "-"??_);_(@_)</c:formatCode>
                <c:ptCount val="3"/>
                <c:pt idx="0">
                  <c:v>0.34</c:v>
                </c:pt>
                <c:pt idx="1">
                  <c:v>0.55000000000000004</c:v>
                </c:pt>
                <c:pt idx="2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F-2443-9F43-92A26B9B71A4}"/>
            </c:ext>
          </c:extLst>
        </c:ser>
        <c:ser>
          <c:idx val="1"/>
          <c:order val="1"/>
          <c:tx>
            <c:strRef>
              <c:f>Tiered!$A$6</c:f>
              <c:strCache>
                <c:ptCount val="1"/>
                <c:pt idx="0">
                  <c:v>LADWP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Tiered!$U$1:$W$1</c:f>
              <c:strCache>
                <c:ptCount val="3"/>
                <c:pt idx="0">
                  <c:v>EVTOU offpeak</c:v>
                </c:pt>
                <c:pt idx="1">
                  <c:v>EVTOU midpeak</c:v>
                </c:pt>
                <c:pt idx="2">
                  <c:v>EVTOU peak</c:v>
                </c:pt>
              </c:strCache>
            </c:strRef>
          </c:cat>
          <c:val>
            <c:numRef>
              <c:f>Tiered!$U$6:$W$6</c:f>
              <c:numCache>
                <c:formatCode>General</c:formatCode>
                <c:ptCount val="3"/>
                <c:pt idx="0">
                  <c:v>0.16442000000000001</c:v>
                </c:pt>
                <c:pt idx="1">
                  <c:v>0.21833</c:v>
                </c:pt>
                <c:pt idx="2">
                  <c:v>0.27672999999999998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F-2443-9F43-92A26B9B71A4}"/>
            </c:ext>
          </c:extLst>
        </c:ser>
        <c:ser>
          <c:idx val="2"/>
          <c:order val="2"/>
          <c:tx>
            <c:strRef>
              <c:f>Tiered!$A$15</c:f>
              <c:strCache>
                <c:ptCount val="1"/>
                <c:pt idx="0">
                  <c:v>SMUD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Tiered!$U$15:$W$15</c:f>
              <c:numCache>
                <c:formatCode>General</c:formatCode>
                <c:ptCount val="3"/>
                <c:pt idx="0">
                  <c:v>0.1275</c:v>
                </c:pt>
                <c:pt idx="1">
                  <c:v>0.19670000000000001</c:v>
                </c:pt>
                <c:pt idx="2">
                  <c:v>0.34620000000000001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F-2443-9F43-92A26B9B7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806640"/>
        <c:axId val="867665968"/>
      </c:barChart>
      <c:catAx>
        <c:axId val="57980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665968"/>
        <c:crosses val="autoZero"/>
        <c:auto val="1"/>
        <c:lblAlgn val="ctr"/>
        <c:lblOffset val="100"/>
        <c:noMultiLvlLbl val="0"/>
      </c:catAx>
      <c:valAx>
        <c:axId val="8676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0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r>
              <a:rPr lang="en-US"/>
              <a:t>Domestic Tiered Rate</a:t>
            </a:r>
            <a:br>
              <a:rPr lang="en-US"/>
            </a:br>
            <a:r>
              <a:rPr lang="en-US"/>
              <a:t>Non-Volumetric Charges ($/month)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DEJAVU SANS" panose="020B0603030804020204" pitchFamily="34" charset="0"/>
              <a:ea typeface="DEJAVU SANS" panose="020B0603030804020204" pitchFamily="34" charset="0"/>
              <a:cs typeface="DEJAVU SANS" panose="020B0603030804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942147186341178"/>
          <c:y val="0.17777365944814247"/>
          <c:w val="0.72418147668856137"/>
          <c:h val="0.565449639297318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'New-Tiered'!$D$1</c:f>
              <c:strCache>
                <c:ptCount val="1"/>
                <c:pt idx="0">
                  <c:v>Minimum Charges ($/month)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'New-Tiered'!$A$2:$A$7</c:f>
              <c:strCache>
                <c:ptCount val="6"/>
                <c:pt idx="0">
                  <c:v>PG&amp;E</c:v>
                </c:pt>
                <c:pt idx="1">
                  <c:v>SCE</c:v>
                </c:pt>
                <c:pt idx="2">
                  <c:v>LADWP</c:v>
                </c:pt>
                <c:pt idx="3">
                  <c:v>SMUD</c:v>
                </c:pt>
                <c:pt idx="4">
                  <c:v>MCE</c:v>
                </c:pt>
                <c:pt idx="5">
                  <c:v>CPA-SC</c:v>
                </c:pt>
              </c:strCache>
            </c:strRef>
          </c:cat>
          <c:val>
            <c:numRef>
              <c:f>'New-Tiered'!$D$2:$D$7</c:f>
              <c:numCache>
                <c:formatCode>_("$"* #,##0.00_);_("$"* \(#,##0.00\);_("$"* "-"??_);_(@_)</c:formatCode>
                <c:ptCount val="6"/>
                <c:pt idx="0">
                  <c:v>11.2836</c:v>
                </c:pt>
                <c:pt idx="1">
                  <c:v>10.379999999999999</c:v>
                </c:pt>
                <c:pt idx="2">
                  <c:v>0</c:v>
                </c:pt>
                <c:pt idx="3">
                  <c:v>0</c:v>
                </c:pt>
                <c:pt idx="4">
                  <c:v>11.2836</c:v>
                </c:pt>
                <c:pt idx="5">
                  <c:v>10.379999999999999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3-1147-82C3-CF19894B9624}"/>
            </c:ext>
          </c:extLst>
        </c:ser>
        <c:ser>
          <c:idx val="1"/>
          <c:order val="1"/>
          <c:tx>
            <c:strRef>
              <c:f>'New-Tiered'!$E$1</c:f>
              <c:strCache>
                <c:ptCount val="1"/>
                <c:pt idx="0">
                  <c:v>Fixed Charges Tier 1 ($/month)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'New-Tiered'!$A$2:$A$7</c:f>
              <c:strCache>
                <c:ptCount val="6"/>
                <c:pt idx="0">
                  <c:v>PG&amp;E</c:v>
                </c:pt>
                <c:pt idx="1">
                  <c:v>SCE</c:v>
                </c:pt>
                <c:pt idx="2">
                  <c:v>LADWP</c:v>
                </c:pt>
                <c:pt idx="3">
                  <c:v>SMUD</c:v>
                </c:pt>
                <c:pt idx="4">
                  <c:v>MCE</c:v>
                </c:pt>
                <c:pt idx="5">
                  <c:v>CPA-SC</c:v>
                </c:pt>
              </c:strCache>
            </c:strRef>
          </c:cat>
          <c:val>
            <c:numRef>
              <c:f>'New-Tiered'!$E$2:$E$7</c:f>
              <c:numCache>
                <c:formatCode>_("$"* #,##0.00_);_("$"* \(#,##0.00\);_("$"* "-"??_);_(@_)</c:formatCode>
                <c:ptCount val="6"/>
                <c:pt idx="0">
                  <c:v>0</c:v>
                </c:pt>
                <c:pt idx="1">
                  <c:v>0.92999999999999994</c:v>
                </c:pt>
                <c:pt idx="2">
                  <c:v>2.2999999999999998</c:v>
                </c:pt>
                <c:pt idx="3">
                  <c:v>23.5</c:v>
                </c:pt>
                <c:pt idx="4">
                  <c:v>0</c:v>
                </c:pt>
                <c:pt idx="5">
                  <c:v>0.92999999999999994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A3-1147-82C3-CF19894B9624}"/>
            </c:ext>
          </c:extLst>
        </c:ser>
        <c:ser>
          <c:idx val="2"/>
          <c:order val="2"/>
          <c:tx>
            <c:strRef>
              <c:f>'New-Tiered'!$F$1</c:f>
              <c:strCache>
                <c:ptCount val="1"/>
                <c:pt idx="0">
                  <c:v>Fixed Charges Tier 2 ($/month)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'New-Tiered'!$A$2:$A$7</c:f>
              <c:strCache>
                <c:ptCount val="6"/>
                <c:pt idx="0">
                  <c:v>PG&amp;E</c:v>
                </c:pt>
                <c:pt idx="1">
                  <c:v>SCE</c:v>
                </c:pt>
                <c:pt idx="2">
                  <c:v>LADWP</c:v>
                </c:pt>
                <c:pt idx="3">
                  <c:v>SMUD</c:v>
                </c:pt>
                <c:pt idx="4">
                  <c:v>MCE</c:v>
                </c:pt>
                <c:pt idx="5">
                  <c:v>CPA-SC</c:v>
                </c:pt>
              </c:strCache>
            </c:strRef>
          </c:cat>
          <c:val>
            <c:numRef>
              <c:f>'New-Tiered'!$F$2:$F$7</c:f>
              <c:numCache>
                <c:formatCode>_("$"* #,##0.00_);_("$"* \(#,##0.00\);_("$"* "-"??_);_(@_)</c:formatCode>
                <c:ptCount val="6"/>
                <c:pt idx="0">
                  <c:v>0</c:v>
                </c:pt>
                <c:pt idx="1">
                  <c:v>0.92999999999999994</c:v>
                </c:pt>
                <c:pt idx="2">
                  <c:v>7.9</c:v>
                </c:pt>
                <c:pt idx="3">
                  <c:v>23.5</c:v>
                </c:pt>
                <c:pt idx="4">
                  <c:v>0</c:v>
                </c:pt>
                <c:pt idx="5">
                  <c:v>0.92999999999999994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A3-1147-82C3-CF19894B9624}"/>
            </c:ext>
          </c:extLst>
        </c:ser>
        <c:ser>
          <c:idx val="3"/>
          <c:order val="3"/>
          <c:tx>
            <c:strRef>
              <c:f>'New-Tiered'!$G$1</c:f>
              <c:strCache>
                <c:ptCount val="1"/>
                <c:pt idx="0">
                  <c:v>Fixed Charges Tier 3 ($/month)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'New-Tiered'!$A$2:$A$7</c:f>
              <c:strCache>
                <c:ptCount val="6"/>
                <c:pt idx="0">
                  <c:v>PG&amp;E</c:v>
                </c:pt>
                <c:pt idx="1">
                  <c:v>SCE</c:v>
                </c:pt>
                <c:pt idx="2">
                  <c:v>LADWP</c:v>
                </c:pt>
                <c:pt idx="3">
                  <c:v>SMUD</c:v>
                </c:pt>
                <c:pt idx="4">
                  <c:v>MCE</c:v>
                </c:pt>
                <c:pt idx="5">
                  <c:v>CPA-SC</c:v>
                </c:pt>
              </c:strCache>
            </c:strRef>
          </c:cat>
          <c:val>
            <c:numRef>
              <c:f>'New-Tiered'!$G$2:$G$7</c:f>
              <c:numCache>
                <c:formatCode>_("$"* #,##0.00_);_("$"* \(#,##0.00\);_("$"* "-"??_);_(@_)</c:formatCode>
                <c:ptCount val="6"/>
                <c:pt idx="0">
                  <c:v>0</c:v>
                </c:pt>
                <c:pt idx="1">
                  <c:v>0.92999999999999994</c:v>
                </c:pt>
                <c:pt idx="2">
                  <c:v>22.7</c:v>
                </c:pt>
                <c:pt idx="3">
                  <c:v>23.5</c:v>
                </c:pt>
                <c:pt idx="4">
                  <c:v>0</c:v>
                </c:pt>
                <c:pt idx="5">
                  <c:v>0.92999999999999994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A3-1147-82C3-CF19894B9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330912"/>
        <c:axId val="1395076784"/>
      </c:barChart>
      <c:catAx>
        <c:axId val="139533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US"/>
          </a:p>
        </c:txPr>
        <c:crossAx val="1395076784"/>
        <c:crosses val="autoZero"/>
        <c:auto val="1"/>
        <c:lblAlgn val="ctr"/>
        <c:lblOffset val="100"/>
        <c:noMultiLvlLbl val="0"/>
      </c:catAx>
      <c:valAx>
        <c:axId val="13950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DEJAVU SANS" panose="020B0603030804020204" pitchFamily="34" charset="0"/>
                    <a:ea typeface="DEJAVU SANS" panose="020B0603030804020204" pitchFamily="34" charset="0"/>
                    <a:cs typeface="DEJAVU SANS" panose="020B0603030804020204" pitchFamily="34" charset="0"/>
                  </a:defRPr>
                </a:pPr>
                <a:r>
                  <a:rPr lang="en-US"/>
                  <a:t>Non-Volumetric</a:t>
                </a:r>
                <a:r>
                  <a:rPr lang="en-US" baseline="0"/>
                  <a:t> Charge ($/month)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DEJAVU SANS" panose="020B0603030804020204" pitchFamily="34" charset="0"/>
                  <a:ea typeface="DEJAVU SANS" panose="020B0603030804020204" pitchFamily="34" charset="0"/>
                  <a:cs typeface="DEJAVU SANS" panose="020B0603030804020204" pitchFamily="34" charset="0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US"/>
          </a:p>
        </c:txPr>
        <c:crossAx val="139533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DEJAVU SANS" panose="020B0603030804020204" pitchFamily="34" charset="0"/>
              <a:ea typeface="DEJAVU SANS" panose="020B0603030804020204" pitchFamily="34" charset="0"/>
              <a:cs typeface="DEJAVU SANS" panose="020B06030308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DEJAVU SANS" panose="020B0603030804020204" pitchFamily="34" charset="0"/>
          <a:ea typeface="DEJAVU SANS" panose="020B0603030804020204" pitchFamily="34" charset="0"/>
          <a:cs typeface="DEJAVU SANS" panose="020B0603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r>
              <a:rPr lang="en-US"/>
              <a:t>Default TOU Rate</a:t>
            </a:r>
            <a:br>
              <a:rPr lang="en-US"/>
            </a:br>
            <a:r>
              <a:rPr lang="en-US"/>
              <a:t>Non-Volumetric Charges ($/month)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DEJAVU SANS" panose="020B0603030804020204" pitchFamily="34" charset="0"/>
              <a:ea typeface="DEJAVU SANS" panose="020B0603030804020204" pitchFamily="34" charset="0"/>
              <a:cs typeface="DEJAVU SANS" panose="020B0603030804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92807669874599"/>
          <c:y val="0.21120014523570868"/>
          <c:w val="0.72434357163687868"/>
          <c:h val="0.672593423062735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TOU!$D$1</c:f>
              <c:strCache>
                <c:ptCount val="1"/>
                <c:pt idx="0">
                  <c:v>Minimum Charges ($/month)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TOU!$A$2:$A$7</c:f>
              <c:strCache>
                <c:ptCount val="6"/>
                <c:pt idx="0">
                  <c:v>PG&amp;E</c:v>
                </c:pt>
                <c:pt idx="1">
                  <c:v>SCE</c:v>
                </c:pt>
                <c:pt idx="2">
                  <c:v>LADWP</c:v>
                </c:pt>
                <c:pt idx="3">
                  <c:v>SMUD</c:v>
                </c:pt>
                <c:pt idx="4">
                  <c:v>MCE</c:v>
                </c:pt>
                <c:pt idx="5">
                  <c:v>CPA-SC</c:v>
                </c:pt>
              </c:strCache>
            </c:strRef>
          </c:cat>
          <c:val>
            <c:numRef>
              <c:f>TOU!$D$2:$D$7</c:f>
              <c:numCache>
                <c:formatCode>_("$"* #,##0.00_);_("$"* \(#,##0.00\);_("$"* "-"??_);_(@_)</c:formatCode>
                <c:ptCount val="6"/>
                <c:pt idx="0">
                  <c:v>11.2836</c:v>
                </c:pt>
                <c:pt idx="1">
                  <c:v>10.379999999999999</c:v>
                </c:pt>
                <c:pt idx="2">
                  <c:v>10</c:v>
                </c:pt>
                <c:pt idx="3">
                  <c:v>0</c:v>
                </c:pt>
                <c:pt idx="4">
                  <c:v>11.2836</c:v>
                </c:pt>
                <c:pt idx="5">
                  <c:v>10.379999999999999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F-7249-AFB6-3F4A83C58C37}"/>
            </c:ext>
          </c:extLst>
        </c:ser>
        <c:ser>
          <c:idx val="1"/>
          <c:order val="1"/>
          <c:tx>
            <c:strRef>
              <c:f>TOU!$E$1</c:f>
              <c:strCache>
                <c:ptCount val="1"/>
                <c:pt idx="0">
                  <c:v>Fixed Charge ($/month)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TOU!$A$2:$A$7</c:f>
              <c:strCache>
                <c:ptCount val="6"/>
                <c:pt idx="0">
                  <c:v>PG&amp;E</c:v>
                </c:pt>
                <c:pt idx="1">
                  <c:v>SCE</c:v>
                </c:pt>
                <c:pt idx="2">
                  <c:v>LADWP</c:v>
                </c:pt>
                <c:pt idx="3">
                  <c:v>SMUD</c:v>
                </c:pt>
                <c:pt idx="4">
                  <c:v>MCE</c:v>
                </c:pt>
                <c:pt idx="5">
                  <c:v>CPA-SC</c:v>
                </c:pt>
              </c:strCache>
            </c:strRef>
          </c:cat>
          <c:val>
            <c:numRef>
              <c:f>TOU!$E$2:$E$7</c:f>
              <c:numCache>
                <c:formatCode>_("$"* #,##0.00_);_("$"* \(#,##0.00\);_("$"* "-"??_);_(@_)</c:formatCode>
                <c:ptCount val="6"/>
                <c:pt idx="0">
                  <c:v>0</c:v>
                </c:pt>
                <c:pt idx="1">
                  <c:v>0.92999999999999994</c:v>
                </c:pt>
                <c:pt idx="2">
                  <c:v>12</c:v>
                </c:pt>
                <c:pt idx="3">
                  <c:v>23.5</c:v>
                </c:pt>
                <c:pt idx="4">
                  <c:v>0</c:v>
                </c:pt>
                <c:pt idx="5">
                  <c:v>0.92999999999999994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AF-7249-AFB6-3F4A83C58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2835392"/>
        <c:axId val="1423177488"/>
      </c:barChart>
      <c:catAx>
        <c:axId val="26283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US"/>
          </a:p>
        </c:txPr>
        <c:crossAx val="1423177488"/>
        <c:crosses val="autoZero"/>
        <c:auto val="1"/>
        <c:lblAlgn val="ctr"/>
        <c:lblOffset val="100"/>
        <c:noMultiLvlLbl val="0"/>
      </c:catAx>
      <c:valAx>
        <c:axId val="142317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DEJAVU SANS" panose="020B0603030804020204" pitchFamily="34" charset="0"/>
                    <a:ea typeface="DEJAVU SANS" panose="020B0603030804020204" pitchFamily="34" charset="0"/>
                    <a:cs typeface="DEJAVU SANS" panose="020B0603030804020204" pitchFamily="34" charset="0"/>
                  </a:defRPr>
                </a:pPr>
                <a:r>
                  <a:rPr lang="en-US"/>
                  <a:t>Non-Volumetric</a:t>
                </a:r>
                <a:r>
                  <a:rPr lang="en-US" baseline="0"/>
                  <a:t> Charge ($/month)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DEJAVU SANS" panose="020B0603030804020204" pitchFamily="34" charset="0"/>
                  <a:ea typeface="DEJAVU SANS" panose="020B0603030804020204" pitchFamily="34" charset="0"/>
                  <a:cs typeface="DEJAVU SANS" panose="020B0603030804020204" pitchFamily="34" charset="0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US"/>
          </a:p>
        </c:txPr>
        <c:crossAx val="26283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DEJAVU SANS" panose="020B0603030804020204" pitchFamily="34" charset="0"/>
              <a:ea typeface="DEJAVU SANS" panose="020B0603030804020204" pitchFamily="34" charset="0"/>
              <a:cs typeface="DEJAVU SANS" panose="020B06030308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DEJAVU SANS" panose="020B0603030804020204" pitchFamily="34" charset="0"/>
          <a:ea typeface="DEJAVU SANS" panose="020B0603030804020204" pitchFamily="34" charset="0"/>
          <a:cs typeface="DEJAVU SANS" panose="020B0603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r>
              <a:rPr lang="en-US"/>
              <a:t>Default TOU-EV Rate</a:t>
            </a:r>
            <a:br>
              <a:rPr lang="en-US"/>
            </a:br>
            <a:r>
              <a:rPr lang="en-US"/>
              <a:t>Non-Volumetric Charges ($/month)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DEJAVU SANS" panose="020B0603030804020204" pitchFamily="34" charset="0"/>
              <a:ea typeface="DEJAVU SANS" panose="020B0603030804020204" pitchFamily="34" charset="0"/>
              <a:cs typeface="DEJAVU SANS" panose="020B0603030804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92807669874599"/>
          <c:y val="0.21120014523570868"/>
          <c:w val="0.72434357163687868"/>
          <c:h val="0.672593423062735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'TOU-EV'!$D$1</c:f>
              <c:strCache>
                <c:ptCount val="1"/>
                <c:pt idx="0">
                  <c:v>Minimum Charge ($/month)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'TOU-EV'!$A$2:$A$7</c:f>
              <c:strCache>
                <c:ptCount val="6"/>
                <c:pt idx="0">
                  <c:v>PG&amp;E</c:v>
                </c:pt>
                <c:pt idx="1">
                  <c:v>SCE</c:v>
                </c:pt>
                <c:pt idx="2">
                  <c:v>LADWP</c:v>
                </c:pt>
                <c:pt idx="3">
                  <c:v>SMUD</c:v>
                </c:pt>
                <c:pt idx="4">
                  <c:v>MCE</c:v>
                </c:pt>
                <c:pt idx="5">
                  <c:v>CPA-SC</c:v>
                </c:pt>
              </c:strCache>
            </c:strRef>
          </c:cat>
          <c:val>
            <c:numRef>
              <c:f>'TOU-EV'!$D$2:$D$7</c:f>
              <c:numCache>
                <c:formatCode>_("$"* #,##0.00_);_("$"* \(#,##0.00\);_("$"* "-"??_);_(@_)</c:formatCode>
                <c:ptCount val="6"/>
                <c:pt idx="0">
                  <c:v>11.2836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  <c:pt idx="4">
                  <c:v>11.2836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3-534F-928F-A17D29BA8413}"/>
            </c:ext>
          </c:extLst>
        </c:ser>
        <c:ser>
          <c:idx val="1"/>
          <c:order val="1"/>
          <c:tx>
            <c:strRef>
              <c:f>'TOU-EV'!$E$1</c:f>
              <c:strCache>
                <c:ptCount val="1"/>
                <c:pt idx="0">
                  <c:v>Fixed Charge ($/month)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'TOU-EV'!$A$2:$A$7</c:f>
              <c:strCache>
                <c:ptCount val="6"/>
                <c:pt idx="0">
                  <c:v>PG&amp;E</c:v>
                </c:pt>
                <c:pt idx="1">
                  <c:v>SCE</c:v>
                </c:pt>
                <c:pt idx="2">
                  <c:v>LADWP</c:v>
                </c:pt>
                <c:pt idx="3">
                  <c:v>SMUD</c:v>
                </c:pt>
                <c:pt idx="4">
                  <c:v>MCE</c:v>
                </c:pt>
                <c:pt idx="5">
                  <c:v>CPA-SC</c:v>
                </c:pt>
              </c:strCache>
            </c:strRef>
          </c:cat>
          <c:val>
            <c:numRef>
              <c:f>'TOU-EV'!$E$2:$E$7</c:f>
              <c:numCache>
                <c:formatCode>_("$"* #,##0.00_);_("$"* \(#,##0.00\);_("$"* "-"??_);_(@_)</c:formatCode>
                <c:ptCount val="6"/>
                <c:pt idx="0">
                  <c:v>0</c:v>
                </c:pt>
                <c:pt idx="1">
                  <c:v>12.81</c:v>
                </c:pt>
                <c:pt idx="2">
                  <c:v>12</c:v>
                </c:pt>
                <c:pt idx="3">
                  <c:v>23.5</c:v>
                </c:pt>
                <c:pt idx="4">
                  <c:v>0</c:v>
                </c:pt>
                <c:pt idx="5">
                  <c:v>12.81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13-534F-928F-A17D29BA8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6195920"/>
        <c:axId val="1475615120"/>
      </c:barChart>
      <c:catAx>
        <c:axId val="147619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US"/>
          </a:p>
        </c:txPr>
        <c:crossAx val="1475615120"/>
        <c:crosses val="autoZero"/>
        <c:auto val="1"/>
        <c:lblAlgn val="ctr"/>
        <c:lblOffset val="100"/>
        <c:noMultiLvlLbl val="0"/>
      </c:catAx>
      <c:valAx>
        <c:axId val="147561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DEJAVU SANS" panose="020B0603030804020204" pitchFamily="34" charset="0"/>
                    <a:ea typeface="DEJAVU SANS" panose="020B0603030804020204" pitchFamily="34" charset="0"/>
                    <a:cs typeface="DEJAVU SANS" panose="020B0603030804020204" pitchFamily="34" charset="0"/>
                  </a:defRPr>
                </a:pPr>
                <a:r>
                  <a:rPr lang="en-US"/>
                  <a:t>Non-Volumetric</a:t>
                </a:r>
                <a:r>
                  <a:rPr lang="en-US" baseline="0"/>
                  <a:t> Charge ($/month)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DEJAVU SANS" panose="020B0603030804020204" pitchFamily="34" charset="0"/>
                  <a:ea typeface="DEJAVU SANS" panose="020B0603030804020204" pitchFamily="34" charset="0"/>
                  <a:cs typeface="DEJAVU SANS" panose="020B0603030804020204" pitchFamily="34" charset="0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US"/>
          </a:p>
        </c:txPr>
        <c:crossAx val="14761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DEJAVU SANS" panose="020B0603030804020204" pitchFamily="34" charset="0"/>
              <a:ea typeface="DEJAVU SANS" panose="020B0603030804020204" pitchFamily="34" charset="0"/>
              <a:cs typeface="DEJAVU SANS" panose="020B06030308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DEJAVU SANS" panose="020B0603030804020204" pitchFamily="34" charset="0"/>
          <a:ea typeface="DEJAVU SANS" panose="020B0603030804020204" pitchFamily="34" charset="0"/>
          <a:cs typeface="DEJAVU SANS" panose="020B0603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20</xdr:row>
      <xdr:rowOff>114300</xdr:rowOff>
    </xdr:from>
    <xdr:to>
      <xdr:col>10</xdr:col>
      <xdr:colOff>450850</xdr:colOff>
      <xdr:row>34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59426F-646A-82EB-2146-1C8A1EDEE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389467</xdr:colOff>
      <xdr:row>35</xdr:row>
      <xdr:rowOff>131233</xdr:rowOff>
    </xdr:from>
    <xdr:to>
      <xdr:col>10</xdr:col>
      <xdr:colOff>8466</xdr:colOff>
      <xdr:row>49</xdr:row>
      <xdr:rowOff>29633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698C4C-A260-9C44-8DB8-CFEA87767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560916</xdr:colOff>
      <xdr:row>22</xdr:row>
      <xdr:rowOff>55033</xdr:rowOff>
    </xdr:from>
    <xdr:to>
      <xdr:col>18</xdr:col>
      <xdr:colOff>171450</xdr:colOff>
      <xdr:row>35</xdr:row>
      <xdr:rowOff>156633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FD5F82-5A77-9F45-AE35-8DDA6317C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25399</xdr:colOff>
      <xdr:row>22</xdr:row>
      <xdr:rowOff>160867</xdr:rowOff>
    </xdr:from>
    <xdr:to>
      <xdr:col>24</xdr:col>
      <xdr:colOff>474133</xdr:colOff>
      <xdr:row>36</xdr:row>
      <xdr:rowOff>59267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FE5B3B4-7696-3B49-A612-6CA31BB52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0.26944</cdr:x>
      <cdr:y>0.25</cdr:y>
    </cdr:from>
    <cdr:to>
      <cdr:x>0.26944</cdr:x>
      <cdr:y>0.77778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88B07F2E-39A7-C875-BBFF-079415ED2445}"/>
            </a:ext>
          </a:extLst>
        </cdr:cNvPr>
        <cdr:cNvCxnSpPr/>
      </cdr:nvCxnSpPr>
      <cdr:spPr>
        <a:xfrm xmlns:a="http://schemas.openxmlformats.org/drawingml/2006/main" flipV="1">
          <a:off x="1231900" y="685800"/>
          <a:ext cx="0" cy="144780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0.25556</cdr:x>
      <cdr:y>0.24074</cdr:y>
    </cdr:from>
    <cdr:to>
      <cdr:x>0.25556</cdr:x>
      <cdr:y>0.76852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09EC970E-FA1A-9B40-ABB7-4044524F1CC9}"/>
            </a:ext>
          </a:extLst>
        </cdr:cNvPr>
        <cdr:cNvCxnSpPr/>
      </cdr:nvCxnSpPr>
      <cdr:spPr>
        <a:xfrm xmlns:a="http://schemas.openxmlformats.org/drawingml/2006/main" flipV="1">
          <a:off x="1168400" y="660400"/>
          <a:ext cx="0" cy="144780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536223</xdr:colOff>
      <xdr:row>24</xdr:row>
      <xdr:rowOff>44289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C61643-6BC8-FE4E-A6BD-91BF01778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533400</xdr:colOff>
      <xdr:row>0</xdr:row>
      <xdr:rowOff>0</xdr:rowOff>
    </xdr:from>
    <xdr:to>
      <xdr:col>9</xdr:col>
      <xdr:colOff>246380</xdr:colOff>
      <xdr:row>20</xdr:row>
      <xdr:rowOff>78232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7AB1E0-8D3B-5042-83E2-FA4D88099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241300</xdr:colOff>
      <xdr:row>0</xdr:row>
      <xdr:rowOff>0</xdr:rowOff>
    </xdr:from>
    <xdr:to>
      <xdr:col>13</xdr:col>
      <xdr:colOff>779780</xdr:colOff>
      <xdr:row>20</xdr:row>
      <xdr:rowOff>78232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6430FC-5973-8249-8703-5ABF4A66A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2F9925-59E7-EF40-84D1-6E3283BE399E}" name="Table1" displayName="Table1" ref="A1:M7" totalsRowShown="0" headerRowDxfId="42" dataDxfId="41" dataCellStyle="Currency">
  <autoFilter ref="A1:M7" xr:uid="{622F9925-59E7-EF40-84D1-6E3283BE399E}"/>
  <tableColumns count="13">
    <tableColumn id="1" xr3:uid="{ED67349A-8A4C-9E48-BEB1-46D207315EC5}" name="LSE" dataDxfId="40"/>
    <tableColumn id="2" xr3:uid="{C2534D26-0176-BE43-A36D-642666F84B78}" name="Type" dataDxfId="39"/>
    <tableColumn id="3" xr3:uid="{4BE4FD15-782C-3641-8E24-6E7DFD8EB062}" name="Rate Name" dataDxfId="38"/>
    <tableColumn id="13" xr3:uid="{C0F46CEF-DCD0-BB47-B139-0EB002DDCBAD}" name="Minimum Charges ($/month)" dataDxfId="37" dataCellStyle="Currency"/>
    <tableColumn id="4" xr3:uid="{D0874B39-AD75-C446-A45A-8905FEB0E25A}" name="Fixed Charges Tier 1 ($/month)" dataDxfId="36" dataCellStyle="Currency"/>
    <tableColumn id="5" xr3:uid="{213136F0-A2F1-7E4E-9CB7-161C428CF1A9}" name="Fixed Charges Tier 2 ($/month)" dataDxfId="35" dataCellStyle="Currency"/>
    <tableColumn id="6" xr3:uid="{D937BE4E-031E-0444-9DA2-373CF38F5F0E}" name="Fixed Charges Tier 3 ($/month)" dataDxfId="34" dataCellStyle="Currency"/>
    <tableColumn id="7" xr3:uid="{2EE0018D-C87A-9B4F-813E-399127C712B1}" name="Tier 1 Rate ($/kWh)" dataDxfId="33" dataCellStyle="Currency"/>
    <tableColumn id="8" xr3:uid="{D4E08105-A1AD-0C40-BC58-A06518FC8B81}" name="Tier 2 Rate ($/kWh)" dataDxfId="32" dataCellStyle="Currency"/>
    <tableColumn id="9" xr3:uid="{AD005999-CA06-D548-9A48-04EE9C0BBF9C}" name="Tier 3 Rate ($/kWh)" dataDxfId="31" dataCellStyle="Currency"/>
    <tableColumn id="10" xr3:uid="{0D31915C-674D-E04E-9284-E7F994346F47}" name="Tier 1 Amount Limit (kWh)" dataDxfId="30" dataCellStyle="Comma"/>
    <tableColumn id="11" xr3:uid="{04D2C5F7-0956-AB48-B8BB-82314456C7E8}" name="Tier 2 Amount Limit (kWh)" dataDxfId="29" dataCellStyle="Comma"/>
    <tableColumn id="12" xr3:uid="{AB506B18-90B5-5C48-941E-FF8BC978622E}" name="Note" dataDxfId="28" dataCellStyle="Currency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FA67C6-51F8-F342-87F4-DD10F5ADCB6B}" name="Table2" displayName="Table2" ref="A1:L7" totalsRowShown="0" headerRowDxfId="27" dataDxfId="26">
  <autoFilter ref="A1:L7" xr:uid="{49FA67C6-51F8-F342-87F4-DD10F5ADCB6B}"/>
  <tableColumns count="12">
    <tableColumn id="1" xr3:uid="{31510521-DE32-3B4D-B619-FF2ED05955EC}" name="LSE" dataDxfId="25"/>
    <tableColumn id="2" xr3:uid="{03D9D98B-2872-7D48-90F5-28FF6854553C}" name="Type" dataDxfId="24"/>
    <tableColumn id="3" xr3:uid="{B8D8586E-F3BB-9245-B95A-AC600548C8A2}" name="Rate Name" dataDxfId="23"/>
    <tableColumn id="12" xr3:uid="{34D838A8-7EA8-DC43-9BE5-0177C2694E62}" name="Minimum Charges ($/month)" dataDxfId="22" dataCellStyle="Currency"/>
    <tableColumn id="4" xr3:uid="{03783912-A703-0348-BB6F-12145C905895}" name="Fixed Charge ($/month)" dataDxfId="21" dataCellStyle="Currency"/>
    <tableColumn id="5" xr3:uid="{C0DD89ED-48CF-834B-9BB5-6148F49FA863}" name="Low Peak" dataDxfId="20" dataCellStyle="Currency"/>
    <tableColumn id="6" xr3:uid="{646F9F98-8DDC-CD4E-8D6E-8FE5EFBC5216}" name="Mid Peak" dataDxfId="19" dataCellStyle="Currency"/>
    <tableColumn id="7" xr3:uid="{C37FFE21-3145-F84E-A1A8-394D11C5091F}" name="Peak" dataDxfId="18" dataCellStyle="Currency"/>
    <tableColumn id="8" xr3:uid="{2E823791-CF3C-114E-B67D-80EEA08D47ED}" name="Low Peak Hours" dataDxfId="17"/>
    <tableColumn id="9" xr3:uid="{0051F9D1-C23A-CD43-B61A-E0AAFA8AF1D6}" name="Mid Peak Hours" dataDxfId="16"/>
    <tableColumn id="10" xr3:uid="{1718EDE8-4368-3548-B154-711EB8BAC6A7}" name="Peak Hours" dataDxfId="15"/>
    <tableColumn id="11" xr3:uid="{F84DB3D6-90B8-EE42-8623-4037379BA7EE}" name="Baseline credit" dataDxfId="1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FCF372-FEAA-1341-90F1-F54CFE2E2B0B}" name="Table3" displayName="Table3" ref="A1:L7" totalsRowShown="0" headerRowDxfId="13" dataDxfId="12">
  <autoFilter ref="A1:L7" xr:uid="{34FCF372-FEAA-1341-90F1-F54CFE2E2B0B}"/>
  <tableColumns count="12">
    <tableColumn id="1" xr3:uid="{9C1B714A-42F7-4E4D-B344-DD609BAEA355}" name="LSE" dataDxfId="11"/>
    <tableColumn id="2" xr3:uid="{87DF0F2F-BDDC-7744-A5E7-23288E96BE2C}" name="Type" dataDxfId="10"/>
    <tableColumn id="3" xr3:uid="{45E06AEF-FA1B-7043-BAE4-198D776E8861}" name="Rate Name" dataDxfId="9"/>
    <tableColumn id="12" xr3:uid="{9AA32FAE-99C6-1D48-A547-084E37A57CDE}" name="Minimum Charge ($/month)" dataDxfId="8" dataCellStyle="Currency"/>
    <tableColumn id="4" xr3:uid="{91B0AC90-0EFF-B64A-A54A-184A83940984}" name="Fixed Charge ($/month)" dataDxfId="7" dataCellStyle="Currency"/>
    <tableColumn id="5" xr3:uid="{EF365C78-8E71-9F40-84A4-CE7C7943AAD5}" name="Low Peak" dataDxfId="6" dataCellStyle="Currency"/>
    <tableColumn id="6" xr3:uid="{6D4DC051-49EF-C149-9123-CB9F09236D8E}" name="Mid Peak" dataDxfId="5" dataCellStyle="Currency"/>
    <tableColumn id="7" xr3:uid="{05BBCACD-4DCF-7145-BFCB-A60C180C4477}" name="Peak" dataDxfId="4" dataCellStyle="Currency"/>
    <tableColumn id="8" xr3:uid="{290FFF60-FAD3-BD42-AB66-44CBDF1BE422}" name="Low Peak Hours" dataDxfId="3"/>
    <tableColumn id="9" xr3:uid="{7E8D7913-3D63-3A4B-B286-885D9A8F5C29}" name="Mid Peak Hours" dataDxfId="2"/>
    <tableColumn id="10" xr3:uid="{54084C43-EF71-5D4C-AE4F-F92FA99D885F}" name="Peak Hours" dataDxfId="1"/>
    <tableColumn id="11" xr3:uid="{7E485E16-F5F8-B742-BFDE-0DE08B5A22F3}" name="Note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mud.org/en/Rate-Information/Residential-rates/Fixed-Rat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ecleanenergy.org/wp-content/uploads/2023/12/MCE-Residential-Rates-12132023.pdf" TargetMode="External"/><Relationship Id="rId3" Type="http://schemas.openxmlformats.org/officeDocument/2006/relationships/hyperlink" Target="https://web.archive.org/web/20230601212158/https:/www.smud.org/en/Rate-Information/Residential-rates" TargetMode="External"/><Relationship Id="rId7" Type="http://schemas.openxmlformats.org/officeDocument/2006/relationships/hyperlink" Target="https://files.cleanpoweralliance.org/uploads/2023/04/Clean-Power-Alliance-Residential-Rates-Effective-April-1-2023.pdf" TargetMode="External"/><Relationship Id="rId2" Type="http://schemas.openxmlformats.org/officeDocument/2006/relationships/hyperlink" Target="https://www.sce.com/regulatory/tariff-books/historical-rates/historical-rate-schedules-for-2023" TargetMode="External"/><Relationship Id="rId1" Type="http://schemas.openxmlformats.org/officeDocument/2006/relationships/hyperlink" Target="https://www.pge.com/tariffs/Res_Inclu_TOU_230601-230630.xlsx" TargetMode="External"/><Relationship Id="rId6" Type="http://schemas.openxmlformats.org/officeDocument/2006/relationships/hyperlink" Target="https://www.ladwp.com/account/customer-service/understanding-your-rates/residential-electric-rates" TargetMode="External"/><Relationship Id="rId5" Type="http://schemas.openxmlformats.org/officeDocument/2006/relationships/hyperlink" Target="https://www.ladwp.com/account/customer-service/electric-rates/ev-nem-reo-rates" TargetMode="External"/><Relationship Id="rId4" Type="http://schemas.openxmlformats.org/officeDocument/2006/relationships/hyperlink" Target="https://www.ladwp.com/account/customer-service/electric-rates/residential-rates" TargetMode="External"/><Relationship Id="rId9" Type="http://schemas.openxmlformats.org/officeDocument/2006/relationships/hyperlink" Target="https://www.ladwp.com/sites/default/files/documents/Electric_Rate_Summary_effective_7_1_2019_with_factors_referenced_rev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4203-6C90-AB4F-BB1E-C85370C2CE9C}">
  <dimension ref="A1:Z19"/>
  <sheetViews>
    <sheetView zoomScale="110" workbookViewId="0">
      <selection activeCell="P15" sqref="P15"/>
    </sheetView>
  </sheetViews>
  <sheetFormatPr baseColWidth="10" defaultRowHeight="16"/>
  <cols>
    <col min="13" max="13" width="10.83203125" style="9"/>
    <col min="19" max="19" width="10.83203125" style="9"/>
  </cols>
  <sheetData>
    <row r="1" spans="1:26" ht="34">
      <c r="A1" s="2" t="s">
        <v>0</v>
      </c>
      <c r="B1" s="2" t="s">
        <v>1</v>
      </c>
      <c r="C1" s="2" t="s">
        <v>54</v>
      </c>
      <c r="D1" s="2" t="s">
        <v>47</v>
      </c>
      <c r="E1" s="2" t="s">
        <v>63</v>
      </c>
      <c r="F1" s="2" t="s">
        <v>62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7"/>
      <c r="N1" s="3" t="s">
        <v>47</v>
      </c>
      <c r="O1" s="3" t="s">
        <v>57</v>
      </c>
      <c r="P1" s="1" t="s">
        <v>43</v>
      </c>
      <c r="Q1" s="1" t="s">
        <v>44</v>
      </c>
      <c r="R1" s="1" t="s">
        <v>45</v>
      </c>
      <c r="S1" s="10"/>
      <c r="T1" s="1"/>
      <c r="U1" s="1" t="s">
        <v>51</v>
      </c>
      <c r="V1" s="1" t="s">
        <v>52</v>
      </c>
      <c r="W1" s="1" t="s">
        <v>53</v>
      </c>
      <c r="X1" s="3" t="s">
        <v>8</v>
      </c>
      <c r="Y1" s="1" t="s">
        <v>71</v>
      </c>
      <c r="Z1" s="1" t="s">
        <v>65</v>
      </c>
    </row>
    <row r="2" spans="1:26">
      <c r="A2" t="s">
        <v>39</v>
      </c>
      <c r="B2" t="s">
        <v>37</v>
      </c>
      <c r="C2" s="11" t="s">
        <v>56</v>
      </c>
      <c r="D2" t="s">
        <v>48</v>
      </c>
      <c r="G2" s="4">
        <v>0</v>
      </c>
      <c r="H2" s="4">
        <v>0</v>
      </c>
      <c r="I2" s="4">
        <v>0</v>
      </c>
      <c r="J2" s="5">
        <v>0.42</v>
      </c>
      <c r="K2" s="5">
        <v>0.53</v>
      </c>
      <c r="L2" s="5">
        <v>0.53</v>
      </c>
      <c r="M2" s="8"/>
      <c r="N2" t="s">
        <v>49</v>
      </c>
      <c r="O2" s="5">
        <v>0</v>
      </c>
      <c r="P2" s="5">
        <v>0.45</v>
      </c>
      <c r="R2" s="5">
        <v>0.59</v>
      </c>
      <c r="S2" s="8"/>
      <c r="T2" s="5" t="s">
        <v>50</v>
      </c>
      <c r="U2" s="5">
        <v>0.34</v>
      </c>
      <c r="V2" s="5">
        <v>0.55000000000000004</v>
      </c>
      <c r="W2" s="5">
        <v>0.66</v>
      </c>
      <c r="X2" t="s">
        <v>46</v>
      </c>
    </row>
    <row r="3" spans="1:26">
      <c r="A3" t="s">
        <v>40</v>
      </c>
      <c r="B3" t="s">
        <v>37</v>
      </c>
      <c r="G3" s="4">
        <v>0</v>
      </c>
      <c r="H3" s="4">
        <v>0</v>
      </c>
      <c r="I3" s="4">
        <v>0</v>
      </c>
      <c r="J3" s="5">
        <v>0.39295000000000002</v>
      </c>
      <c r="K3" s="5">
        <v>0.49476999999999999</v>
      </c>
      <c r="L3" s="5">
        <v>0.49476999999999999</v>
      </c>
      <c r="M3" s="8"/>
      <c r="X3" t="s">
        <v>41</v>
      </c>
    </row>
    <row r="4" spans="1:26">
      <c r="A4" t="s">
        <v>36</v>
      </c>
      <c r="B4" t="s">
        <v>37</v>
      </c>
      <c r="G4" s="4">
        <v>0.93</v>
      </c>
      <c r="H4" s="4">
        <v>0.93</v>
      </c>
      <c r="I4" s="4">
        <v>0.93</v>
      </c>
      <c r="J4" s="5">
        <v>0.3523</v>
      </c>
      <c r="K4" s="5">
        <v>0.44622000000000001</v>
      </c>
      <c r="L4" s="5">
        <v>0.44622000000000001</v>
      </c>
      <c r="M4" s="8"/>
      <c r="X4" t="s">
        <v>38</v>
      </c>
    </row>
    <row r="5" spans="1:26">
      <c r="A5" t="s">
        <v>42</v>
      </c>
      <c r="B5" t="s">
        <v>10</v>
      </c>
      <c r="G5" s="5">
        <v>0</v>
      </c>
      <c r="H5" s="5">
        <v>0</v>
      </c>
      <c r="I5" s="5">
        <v>0</v>
      </c>
      <c r="J5" s="5">
        <v>0.17521</v>
      </c>
      <c r="K5" s="5">
        <v>0.24665999999999999</v>
      </c>
      <c r="L5" s="5">
        <v>0.24665999999999999</v>
      </c>
      <c r="M5" s="8"/>
    </row>
    <row r="6" spans="1:26">
      <c r="A6" t="s">
        <v>20</v>
      </c>
      <c r="B6" t="s">
        <v>10</v>
      </c>
      <c r="C6" t="s">
        <v>55</v>
      </c>
      <c r="G6" s="4">
        <v>2.2999999999999998</v>
      </c>
      <c r="H6" s="4">
        <v>7.9</v>
      </c>
      <c r="I6" s="4">
        <v>22.7</v>
      </c>
      <c r="J6">
        <v>0.18956999999999999</v>
      </c>
      <c r="K6">
        <v>0.24815999999999999</v>
      </c>
      <c r="L6">
        <v>0.33517000000000002</v>
      </c>
      <c r="M6" s="8"/>
      <c r="N6" t="s">
        <v>58</v>
      </c>
      <c r="O6">
        <v>12</v>
      </c>
      <c r="P6">
        <v>0.19089</v>
      </c>
      <c r="Q6">
        <v>0.21833</v>
      </c>
      <c r="R6">
        <v>0.27672999999999998</v>
      </c>
      <c r="T6" t="s">
        <v>60</v>
      </c>
      <c r="U6">
        <f>P6-0.025-0.00147</f>
        <v>0.16442000000000001</v>
      </c>
      <c r="V6">
        <f>Q6</f>
        <v>0.21833</v>
      </c>
      <c r="W6">
        <f>R6</f>
        <v>0.27672999999999998</v>
      </c>
      <c r="X6" t="s">
        <v>59</v>
      </c>
      <c r="Y6" t="s">
        <v>61</v>
      </c>
      <c r="Z6" t="s">
        <v>69</v>
      </c>
    </row>
    <row r="7" spans="1:26">
      <c r="A7" t="s">
        <v>34</v>
      </c>
      <c r="B7" t="s">
        <v>10</v>
      </c>
      <c r="G7" s="4">
        <v>4.25</v>
      </c>
      <c r="H7" s="4">
        <v>4.25</v>
      </c>
      <c r="I7" s="4">
        <v>4.25</v>
      </c>
      <c r="J7" s="5">
        <f>(0.12997*1.0285)+0.0003</f>
        <v>0.13397414499999999</v>
      </c>
      <c r="K7" s="5">
        <f>0.1494*1.0285+0.0003</f>
        <v>0.15395790000000001</v>
      </c>
      <c r="L7" s="5">
        <f>0.1494*1.0285+0.0003</f>
        <v>0.15395790000000001</v>
      </c>
      <c r="M7" s="8"/>
      <c r="X7" t="s">
        <v>35</v>
      </c>
    </row>
    <row r="8" spans="1:26">
      <c r="A8" t="s">
        <v>32</v>
      </c>
      <c r="B8" t="s">
        <v>10</v>
      </c>
      <c r="G8" s="4">
        <v>5</v>
      </c>
      <c r="H8" s="4">
        <v>5</v>
      </c>
      <c r="I8" s="4">
        <v>5</v>
      </c>
      <c r="J8" s="5">
        <v>0.12</v>
      </c>
      <c r="K8" s="5">
        <v>0.19739999999999999</v>
      </c>
      <c r="L8" s="5">
        <v>0.19739999999999999</v>
      </c>
      <c r="M8" s="8"/>
      <c r="X8" t="s">
        <v>33</v>
      </c>
    </row>
    <row r="9" spans="1:26">
      <c r="A9" t="s">
        <v>30</v>
      </c>
      <c r="B9" t="s">
        <v>10</v>
      </c>
      <c r="G9" s="5">
        <v>5.42</v>
      </c>
      <c r="H9" s="5">
        <v>5.42</v>
      </c>
      <c r="I9" s="5">
        <v>5.42</v>
      </c>
      <c r="J9" s="5">
        <f>10.44/100</f>
        <v>0.10439999999999999</v>
      </c>
      <c r="K9" s="5">
        <f>10.44/100</f>
        <v>0.10439999999999999</v>
      </c>
      <c r="L9" s="5">
        <f>10.44/100</f>
        <v>0.10439999999999999</v>
      </c>
      <c r="M9" s="8"/>
      <c r="X9" t="s">
        <v>31</v>
      </c>
    </row>
    <row r="10" spans="1:26">
      <c r="A10" t="s">
        <v>29</v>
      </c>
      <c r="B10" t="s">
        <v>10</v>
      </c>
      <c r="G10" s="4">
        <v>9.6</v>
      </c>
      <c r="H10" s="4">
        <v>9.6</v>
      </c>
      <c r="I10" s="4">
        <v>9.6</v>
      </c>
      <c r="J10" s="5">
        <f>0.1169+0.0402</f>
        <v>0.15710000000000002</v>
      </c>
      <c r="K10" s="5">
        <f>0.1169+0.0402</f>
        <v>0.15710000000000002</v>
      </c>
      <c r="L10" s="5">
        <f>0.1169+0.0402</f>
        <v>0.15710000000000002</v>
      </c>
      <c r="M10" s="8"/>
    </row>
    <row r="11" spans="1:26">
      <c r="A11" t="s">
        <v>27</v>
      </c>
      <c r="B11" t="s">
        <v>10</v>
      </c>
      <c r="G11" s="5">
        <v>13.46</v>
      </c>
      <c r="H11" s="5">
        <v>13.46</v>
      </c>
      <c r="I11" s="5">
        <v>13.46</v>
      </c>
      <c r="J11" s="5">
        <f>17.951/100</f>
        <v>0.17951</v>
      </c>
      <c r="K11" s="5">
        <f>32.624/100</f>
        <v>0.32624000000000003</v>
      </c>
      <c r="L11" s="5">
        <f>43.33/100</f>
        <v>0.43329999999999996</v>
      </c>
      <c r="M11" s="8"/>
      <c r="X11" t="s">
        <v>28</v>
      </c>
    </row>
    <row r="12" spans="1:26">
      <c r="A12" t="s">
        <v>25</v>
      </c>
      <c r="B12" t="s">
        <v>10</v>
      </c>
      <c r="G12" s="4">
        <v>17</v>
      </c>
      <c r="H12" s="4">
        <v>17</v>
      </c>
      <c r="I12" s="4">
        <v>17</v>
      </c>
      <c r="J12" s="5">
        <f>1.0285*(0.107+0.005+0.0269+0.0003)</f>
        <v>0.14316719999999999</v>
      </c>
      <c r="K12" s="5">
        <f>1.0285*(0.1305+0.005+0.0269+0.0003)</f>
        <v>0.16733695000000001</v>
      </c>
      <c r="L12" s="5">
        <f>1.0285*(0.1436+0.005+0.0269+0.0003)</f>
        <v>0.18081030000000001</v>
      </c>
      <c r="M12" s="8"/>
      <c r="X12" t="s">
        <v>26</v>
      </c>
    </row>
    <row r="13" spans="1:26">
      <c r="A13" t="s">
        <v>23</v>
      </c>
      <c r="B13" t="s">
        <v>10</v>
      </c>
      <c r="G13" s="5">
        <v>19.2</v>
      </c>
      <c r="H13" s="5">
        <v>19.2</v>
      </c>
      <c r="I13" s="5">
        <v>19.2</v>
      </c>
      <c r="J13" s="5">
        <v>0.1661</v>
      </c>
      <c r="K13" s="5">
        <v>0.2059</v>
      </c>
      <c r="L13" s="5">
        <v>0.24590000000000001</v>
      </c>
      <c r="M13" s="8"/>
      <c r="X13" t="s">
        <v>24</v>
      </c>
    </row>
    <row r="14" spans="1:26">
      <c r="A14" t="s">
        <v>21</v>
      </c>
      <c r="B14" t="s">
        <v>10</v>
      </c>
      <c r="G14" s="5">
        <v>19.989999999999998</v>
      </c>
      <c r="H14" s="5">
        <v>19.989999999999998</v>
      </c>
      <c r="I14" s="5">
        <v>19.989999999999998</v>
      </c>
      <c r="J14" s="5">
        <v>0.12429999999999999</v>
      </c>
      <c r="K14" s="5">
        <v>0.19794</v>
      </c>
      <c r="L14" s="5">
        <v>0.29453000000000001</v>
      </c>
      <c r="M14" s="8"/>
      <c r="X14" t="s">
        <v>22</v>
      </c>
    </row>
    <row r="15" spans="1:26">
      <c r="A15" t="s">
        <v>18</v>
      </c>
      <c r="B15" t="s">
        <v>10</v>
      </c>
      <c r="C15" t="s">
        <v>67</v>
      </c>
      <c r="G15" s="4">
        <v>23.5</v>
      </c>
      <c r="H15" s="4">
        <v>23.5</v>
      </c>
      <c r="I15" s="4">
        <v>23.5</v>
      </c>
      <c r="J15" s="5">
        <v>0.20130000000000001</v>
      </c>
      <c r="K15" s="5">
        <v>0.20130000000000001</v>
      </c>
      <c r="L15" s="5">
        <v>0.20130000000000001</v>
      </c>
      <c r="M15" s="8"/>
      <c r="O15">
        <v>24.15</v>
      </c>
      <c r="P15">
        <v>0.14249999999999999</v>
      </c>
      <c r="Q15">
        <v>0.19670000000000001</v>
      </c>
      <c r="R15">
        <v>0.34620000000000001</v>
      </c>
      <c r="U15">
        <f>P15-0.015</f>
        <v>0.1275</v>
      </c>
      <c r="V15">
        <f>Q15</f>
        <v>0.19670000000000001</v>
      </c>
      <c r="W15">
        <f>R15</f>
        <v>0.34620000000000001</v>
      </c>
      <c r="X15" s="6" t="s">
        <v>19</v>
      </c>
      <c r="Y15" t="s">
        <v>70</v>
      </c>
      <c r="Z15" t="s">
        <v>72</v>
      </c>
    </row>
    <row r="16" spans="1:26">
      <c r="A16" t="s">
        <v>9</v>
      </c>
      <c r="B16" t="s">
        <v>10</v>
      </c>
      <c r="C16" t="s">
        <v>68</v>
      </c>
      <c r="E16">
        <v>750</v>
      </c>
      <c r="F16">
        <v>1500</v>
      </c>
      <c r="G16" s="4">
        <f>12.06+10+2.49</f>
        <v>24.550000000000004</v>
      </c>
      <c r="H16" s="4">
        <f>12.06+10+5.97</f>
        <v>28.03</v>
      </c>
      <c r="I16" s="4">
        <f>12.06+10+13.16</f>
        <v>35.22</v>
      </c>
      <c r="J16" s="5">
        <v>0.11020000000000001</v>
      </c>
      <c r="K16" s="5">
        <v>0.17530000000000001</v>
      </c>
      <c r="L16" s="5">
        <v>0.1988</v>
      </c>
      <c r="M16" s="8"/>
      <c r="X16" t="s">
        <v>11</v>
      </c>
      <c r="Z16" t="s">
        <v>66</v>
      </c>
    </row>
    <row r="17" spans="1:24">
      <c r="A17" t="s">
        <v>16</v>
      </c>
      <c r="B17" t="s">
        <v>10</v>
      </c>
      <c r="E17" t="s">
        <v>64</v>
      </c>
      <c r="G17" s="5">
        <v>25</v>
      </c>
      <c r="H17" s="5">
        <v>25</v>
      </c>
      <c r="I17" s="5">
        <v>25</v>
      </c>
      <c r="J17" s="5">
        <v>0.14879999999999999</v>
      </c>
      <c r="K17" s="5">
        <v>0.14879999999999999</v>
      </c>
      <c r="L17" s="5">
        <v>0.14879999999999999</v>
      </c>
      <c r="M17" s="8"/>
      <c r="N17" t="s">
        <v>64</v>
      </c>
      <c r="T17" t="s">
        <v>64</v>
      </c>
      <c r="X17" t="s">
        <v>17</v>
      </c>
    </row>
    <row r="18" spans="1:24">
      <c r="A18" t="s">
        <v>12</v>
      </c>
      <c r="B18" t="s">
        <v>10</v>
      </c>
      <c r="E18">
        <v>500</v>
      </c>
      <c r="G18" s="4">
        <v>30</v>
      </c>
      <c r="H18" s="4">
        <v>30</v>
      </c>
      <c r="I18" s="4">
        <v>30</v>
      </c>
      <c r="J18" s="5">
        <v>0.1449</v>
      </c>
      <c r="K18" s="5">
        <v>0.18079999999999999</v>
      </c>
      <c r="L18" s="5">
        <v>0.18079999999999999</v>
      </c>
      <c r="M18" s="8"/>
      <c r="N18" t="s">
        <v>64</v>
      </c>
      <c r="T18" t="s">
        <v>64</v>
      </c>
      <c r="X18" t="s">
        <v>13</v>
      </c>
    </row>
    <row r="19" spans="1:24">
      <c r="A19" t="s">
        <v>14</v>
      </c>
      <c r="B19" t="s">
        <v>10</v>
      </c>
      <c r="E19">
        <v>500</v>
      </c>
      <c r="G19" s="4">
        <v>30</v>
      </c>
      <c r="H19" s="4">
        <v>30</v>
      </c>
      <c r="I19" s="4">
        <v>30</v>
      </c>
      <c r="J19" s="5">
        <f>0.0989+0.0056+0.0002+0.00226+0.0003+0.01354</f>
        <v>0.12079999999999999</v>
      </c>
      <c r="K19" s="5">
        <f>0.1468+0.0056+0.0002+0.00226+0.0003+0.01354</f>
        <v>0.16870000000000002</v>
      </c>
      <c r="L19" s="5">
        <f>0.1468+0.0056+0.0002+0.00226+0.0003+0.01354</f>
        <v>0.16870000000000002</v>
      </c>
      <c r="M19" s="8"/>
      <c r="N19" t="s">
        <v>64</v>
      </c>
      <c r="T19" t="s">
        <v>64</v>
      </c>
      <c r="X19" t="s">
        <v>15</v>
      </c>
    </row>
  </sheetData>
  <autoFilter ref="A1:L19" xr:uid="{8E084203-6C90-AB4F-BB1E-C85370C2CE9C}">
    <sortState xmlns:xlrd2="http://schemas.microsoft.com/office/spreadsheetml/2017/richdata2" ref="A2:L19">
      <sortCondition ref="B1:B19"/>
    </sortState>
  </autoFilter>
  <hyperlinks>
    <hyperlink ref="X15" r:id="rId1" xr:uid="{0DB9DC41-A2BF-BB45-B477-B8B5AE2DAAA2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CACCF-8A90-B745-8CE0-1BF96EFFA42E}">
  <dimension ref="A1:M15"/>
  <sheetViews>
    <sheetView topLeftCell="B13" zoomScale="117" workbookViewId="0">
      <selection activeCell="L17" sqref="L17"/>
    </sheetView>
  </sheetViews>
  <sheetFormatPr baseColWidth="10" defaultRowHeight="16"/>
  <cols>
    <col min="1" max="12" width="12.83203125" customWidth="1"/>
  </cols>
  <sheetData>
    <row r="1" spans="1:13" ht="91" customHeight="1">
      <c r="A1" s="14" t="s">
        <v>0</v>
      </c>
      <c r="B1" s="14" t="s">
        <v>1</v>
      </c>
      <c r="C1" s="14" t="s">
        <v>47</v>
      </c>
      <c r="D1" s="24" t="s">
        <v>135</v>
      </c>
      <c r="E1" s="14" t="s">
        <v>138</v>
      </c>
      <c r="F1" s="14" t="s">
        <v>139</v>
      </c>
      <c r="G1" s="14" t="s">
        <v>140</v>
      </c>
      <c r="H1" s="17" t="s">
        <v>80</v>
      </c>
      <c r="I1" s="15" t="s">
        <v>79</v>
      </c>
      <c r="J1" s="15" t="s">
        <v>78</v>
      </c>
      <c r="K1" s="18" t="s">
        <v>81</v>
      </c>
      <c r="L1" s="18" t="s">
        <v>82</v>
      </c>
      <c r="M1" s="28" t="s">
        <v>129</v>
      </c>
    </row>
    <row r="2" spans="1:13" ht="20" customHeight="1">
      <c r="A2" s="13" t="s">
        <v>39</v>
      </c>
      <c r="B2" s="13" t="s">
        <v>37</v>
      </c>
      <c r="C2" s="13" t="s">
        <v>48</v>
      </c>
      <c r="D2" s="19">
        <f>0.37612*30</f>
        <v>11.2836</v>
      </c>
      <c r="E2" s="19">
        <v>0</v>
      </c>
      <c r="F2" s="19">
        <f>E2</f>
        <v>0</v>
      </c>
      <c r="G2" s="19">
        <f>F2</f>
        <v>0</v>
      </c>
      <c r="H2" s="29">
        <v>0.33376</v>
      </c>
      <c r="I2" s="29">
        <v>0.41697000000000001</v>
      </c>
      <c r="J2" s="20">
        <v>0.41697000000000001</v>
      </c>
      <c r="K2" s="21"/>
      <c r="L2" s="21">
        <f>4*K2</f>
        <v>0</v>
      </c>
      <c r="M2" s="19"/>
    </row>
    <row r="3" spans="1:13" ht="20" customHeight="1">
      <c r="A3" s="13" t="s">
        <v>36</v>
      </c>
      <c r="B3" s="13" t="s">
        <v>37</v>
      </c>
      <c r="C3" s="13" t="s">
        <v>97</v>
      </c>
      <c r="D3" s="19">
        <f>0.346*30</f>
        <v>10.379999999999999</v>
      </c>
      <c r="E3" s="19">
        <f>0.031*30</f>
        <v>0.92999999999999994</v>
      </c>
      <c r="F3" s="19">
        <f>E3</f>
        <v>0.92999999999999994</v>
      </c>
      <c r="G3" s="19">
        <f>F3</f>
        <v>0.92999999999999994</v>
      </c>
      <c r="H3" s="22">
        <f>0.16127+0.16503+0.0026</f>
        <v>0.32890000000000003</v>
      </c>
      <c r="I3" s="22">
        <f>0.25519+0.16503+0.0026</f>
        <v>0.42281999999999997</v>
      </c>
      <c r="J3" s="23">
        <f>I3</f>
        <v>0.42281999999999997</v>
      </c>
      <c r="K3" s="21"/>
      <c r="L3" s="21">
        <f>4*K3</f>
        <v>0</v>
      </c>
      <c r="M3" s="19"/>
    </row>
    <row r="4" spans="1:13" ht="20" customHeight="1">
      <c r="A4" s="13" t="s">
        <v>20</v>
      </c>
      <c r="B4" s="13" t="s">
        <v>10</v>
      </c>
      <c r="C4" s="13" t="s">
        <v>106</v>
      </c>
      <c r="D4" s="19">
        <v>0</v>
      </c>
      <c r="E4" s="19">
        <v>2.2999999999999998</v>
      </c>
      <c r="F4" s="19">
        <v>7.9</v>
      </c>
      <c r="G4" s="19">
        <v>22.7</v>
      </c>
      <c r="H4" s="19">
        <v>0.18956999999999999</v>
      </c>
      <c r="I4" s="19">
        <v>0.24815999999999999</v>
      </c>
      <c r="J4" s="19">
        <v>0.33517000000000002</v>
      </c>
      <c r="K4" s="21"/>
      <c r="L4" s="21"/>
      <c r="M4" s="19"/>
    </row>
    <row r="5" spans="1:13" ht="20" customHeight="1">
      <c r="A5" s="13" t="s">
        <v>18</v>
      </c>
      <c r="B5" s="13" t="s">
        <v>10</v>
      </c>
      <c r="C5" s="13" t="s">
        <v>113</v>
      </c>
      <c r="D5" s="19">
        <v>0</v>
      </c>
      <c r="E5" s="19">
        <v>23.5</v>
      </c>
      <c r="F5" s="19">
        <f>E5</f>
        <v>23.5</v>
      </c>
      <c r="G5" s="19">
        <f>F5</f>
        <v>23.5</v>
      </c>
      <c r="H5" s="19">
        <v>0.19070000000000001</v>
      </c>
      <c r="I5" s="19">
        <v>0.19070000000000001</v>
      </c>
      <c r="J5" s="19">
        <v>0.19070000000000001</v>
      </c>
      <c r="K5" s="21"/>
      <c r="L5" s="21"/>
      <c r="M5" s="19"/>
    </row>
    <row r="6" spans="1:13" ht="20" customHeight="1">
      <c r="A6" s="13" t="s">
        <v>74</v>
      </c>
      <c r="B6" s="13" t="s">
        <v>73</v>
      </c>
      <c r="C6" s="13" t="s">
        <v>48</v>
      </c>
      <c r="D6" s="19">
        <f>D2</f>
        <v>11.2836</v>
      </c>
      <c r="E6" s="19">
        <f>E2</f>
        <v>0</v>
      </c>
      <c r="F6" s="19">
        <f>Table1[[#This Row],[Fixed Charges Tier 1 ($/month)]]</f>
        <v>0</v>
      </c>
      <c r="G6" s="19">
        <f>Table1[[#This Row],[Fixed Charges Tier 2 ($/month)]]</f>
        <v>0</v>
      </c>
      <c r="H6" s="19">
        <f>0.149-0.03584+0.12203+0.05254+0.00059+0.00069+0.02554+0.00135+0.00346+0.00254+0.00798-0.00798-0.00071+0.0053+0.0003+0.00289</f>
        <v>0.32968000000000014</v>
      </c>
      <c r="I6" s="19">
        <f>0.149+0.04882+0.12203+0.05254+0.00059+0.00069+0.02554+0.00135+0.00346+0.00254+0.00798-0.00798-0.00071+0.0053+0.0003+0.00289</f>
        <v>0.4143400000000001</v>
      </c>
      <c r="J6" s="19">
        <f>Table1[[#This Row],[Tier 2 Rate ($/kWh)]]</f>
        <v>0.4143400000000001</v>
      </c>
      <c r="K6" s="21"/>
      <c r="L6" s="21"/>
      <c r="M6" s="19" t="s">
        <v>131</v>
      </c>
    </row>
    <row r="7" spans="1:13" ht="20" customHeight="1">
      <c r="A7" s="13" t="s">
        <v>75</v>
      </c>
      <c r="B7" s="13" t="s">
        <v>73</v>
      </c>
      <c r="C7" s="13" t="s">
        <v>97</v>
      </c>
      <c r="D7" s="19">
        <f>D3</f>
        <v>10.379999999999999</v>
      </c>
      <c r="E7" s="19">
        <f>E3</f>
        <v>0.92999999999999994</v>
      </c>
      <c r="F7" s="19">
        <f>E7</f>
        <v>0.92999999999999994</v>
      </c>
      <c r="G7" s="19">
        <f>F7</f>
        <v>0.92999999999999994</v>
      </c>
      <c r="H7" s="32">
        <f>0.16127+0.14207+0.0026-0.00003-0.0069</f>
        <v>0.29901</v>
      </c>
      <c r="I7" s="32">
        <f>0.25519+0.14207+0.0026-0.00003-0.0069</f>
        <v>0.39292999999999995</v>
      </c>
      <c r="J7" s="23">
        <f>I7</f>
        <v>0.39292999999999995</v>
      </c>
      <c r="K7" s="21"/>
      <c r="L7" s="21"/>
      <c r="M7" s="19" t="s">
        <v>130</v>
      </c>
    </row>
    <row r="8" spans="1:13">
      <c r="K8" s="12"/>
      <c r="L8" s="12"/>
    </row>
    <row r="10" spans="1:13">
      <c r="A10" s="1" t="s">
        <v>76</v>
      </c>
      <c r="B10" t="s">
        <v>77</v>
      </c>
    </row>
    <row r="11" spans="1:13">
      <c r="B11" t="s">
        <v>98</v>
      </c>
    </row>
    <row r="12" spans="1:13">
      <c r="B12" t="s">
        <v>99</v>
      </c>
    </row>
    <row r="13" spans="1:13">
      <c r="B13" t="s">
        <v>120</v>
      </c>
    </row>
    <row r="14" spans="1:13">
      <c r="B14" t="s">
        <v>122</v>
      </c>
    </row>
    <row r="15" spans="1:13">
      <c r="B15" t="s">
        <v>123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62AF4-BB93-C948-8E27-561D7A5B2471}">
  <dimension ref="A1:L10"/>
  <sheetViews>
    <sheetView tabSelected="1" topLeftCell="E1" zoomScale="125" zoomScaleNormal="100" workbookViewId="0">
      <selection activeCell="K11" sqref="K11"/>
    </sheetView>
  </sheetViews>
  <sheetFormatPr baseColWidth="10" defaultRowHeight="16"/>
  <cols>
    <col min="1" max="12" width="12.83203125" customWidth="1"/>
  </cols>
  <sheetData>
    <row r="1" spans="1:12" ht="61" customHeight="1">
      <c r="A1" s="24" t="s">
        <v>0</v>
      </c>
      <c r="B1" s="24" t="s">
        <v>1</v>
      </c>
      <c r="C1" s="24" t="s">
        <v>47</v>
      </c>
      <c r="D1" s="24" t="s">
        <v>135</v>
      </c>
      <c r="E1" s="24" t="s">
        <v>141</v>
      </c>
      <c r="F1" s="25" t="s">
        <v>83</v>
      </c>
      <c r="G1" s="25" t="s">
        <v>84</v>
      </c>
      <c r="H1" s="25" t="s">
        <v>85</v>
      </c>
      <c r="I1" s="25" t="s">
        <v>86</v>
      </c>
      <c r="J1" s="25" t="s">
        <v>87</v>
      </c>
      <c r="K1" s="25" t="s">
        <v>88</v>
      </c>
      <c r="L1" s="26" t="s">
        <v>100</v>
      </c>
    </row>
    <row r="2" spans="1:12" ht="20" customHeight="1">
      <c r="A2" s="13" t="s">
        <v>39</v>
      </c>
      <c r="B2" s="13" t="s">
        <v>37</v>
      </c>
      <c r="C2" s="13" t="s">
        <v>127</v>
      </c>
      <c r="D2" s="19">
        <f>0.37612*30</f>
        <v>11.2836</v>
      </c>
      <c r="E2" s="19">
        <v>0</v>
      </c>
      <c r="F2" s="33">
        <v>0.42593999999999999</v>
      </c>
      <c r="G2" s="34" t="s">
        <v>64</v>
      </c>
      <c r="H2" s="34">
        <v>0.50938000000000005</v>
      </c>
      <c r="I2" s="13" t="s">
        <v>95</v>
      </c>
      <c r="J2" s="13" t="s">
        <v>64</v>
      </c>
      <c r="K2" s="13" t="s">
        <v>94</v>
      </c>
      <c r="L2" s="13">
        <v>-8.3210000000000006E-2</v>
      </c>
    </row>
    <row r="3" spans="1:12" ht="20" customHeight="1">
      <c r="A3" s="13" t="s">
        <v>36</v>
      </c>
      <c r="B3" s="13" t="s">
        <v>37</v>
      </c>
      <c r="C3" s="13" t="s">
        <v>101</v>
      </c>
      <c r="D3" s="19">
        <f>0.346*30</f>
        <v>10.379999999999999</v>
      </c>
      <c r="E3" s="19">
        <f>Table1[[#This Row],[Fixed Charges Tier 1 ($/month)]]</f>
        <v>0.92999999999999994</v>
      </c>
      <c r="F3" s="19">
        <f>0.24598+0.12263 +0.0026</f>
        <v>0.37120999999999998</v>
      </c>
      <c r="G3" s="35">
        <f>0.28936+0.18942 +0.0026</f>
        <v>0.48137999999999997</v>
      </c>
      <c r="H3" s="35">
        <f>0.28936+0.30129+0.0026</f>
        <v>0.59325000000000006</v>
      </c>
      <c r="I3" s="13" t="s">
        <v>90</v>
      </c>
      <c r="J3" s="13" t="s">
        <v>104</v>
      </c>
      <c r="K3" s="13" t="s">
        <v>103</v>
      </c>
      <c r="L3" s="27">
        <v>-9.3909999999999993E-2</v>
      </c>
    </row>
    <row r="4" spans="1:12" ht="20" customHeight="1">
      <c r="A4" s="13" t="s">
        <v>20</v>
      </c>
      <c r="B4" s="13" t="s">
        <v>10</v>
      </c>
      <c r="C4" s="13" t="s">
        <v>105</v>
      </c>
      <c r="D4" s="19">
        <v>10</v>
      </c>
      <c r="E4" s="19">
        <v>12</v>
      </c>
      <c r="F4" s="19">
        <v>0.19089</v>
      </c>
      <c r="G4" s="19">
        <v>0.21833</v>
      </c>
      <c r="H4" s="19">
        <v>0.27672999999999998</v>
      </c>
      <c r="I4" s="13" t="s">
        <v>107</v>
      </c>
      <c r="J4" s="13" t="s">
        <v>108</v>
      </c>
      <c r="K4" s="13" t="s">
        <v>109</v>
      </c>
      <c r="L4" s="13"/>
    </row>
    <row r="5" spans="1:12" ht="20" customHeight="1">
      <c r="A5" s="13" t="s">
        <v>18</v>
      </c>
      <c r="B5" s="13" t="s">
        <v>10</v>
      </c>
      <c r="C5" s="13" t="s">
        <v>112</v>
      </c>
      <c r="D5" s="19">
        <v>0</v>
      </c>
      <c r="E5" s="19">
        <v>23.5</v>
      </c>
      <c r="F5" s="19">
        <v>0.13500000000000001</v>
      </c>
      <c r="G5" s="19">
        <v>0.18640000000000001</v>
      </c>
      <c r="H5" s="19">
        <v>0.32790000000000002</v>
      </c>
      <c r="I5" s="13" t="s">
        <v>116</v>
      </c>
      <c r="J5" s="13" t="s">
        <v>115</v>
      </c>
      <c r="K5" s="13" t="s">
        <v>114</v>
      </c>
      <c r="L5" s="13"/>
    </row>
    <row r="6" spans="1:12" ht="20" customHeight="1">
      <c r="A6" s="13" t="s">
        <v>74</v>
      </c>
      <c r="B6" s="13" t="s">
        <v>73</v>
      </c>
      <c r="C6" s="13" t="s">
        <v>127</v>
      </c>
      <c r="D6" s="19">
        <f>D2</f>
        <v>11.2836</v>
      </c>
      <c r="E6" s="19">
        <f>E2</f>
        <v>0</v>
      </c>
      <c r="F6" s="19">
        <f>0.144+0.05254+0.00059+0.00069+0.02554+0.00135+0.00346+0.00254+0.12646-0.00071+0.0053+0.0003+0.00289+0.06047</f>
        <v>0.42542000000000008</v>
      </c>
      <c r="G6" s="19" t="s">
        <v>64</v>
      </c>
      <c r="H6" s="19">
        <f>0.195+0.05254+0.00059+0.00069+0.02554+0.00135+0.00346+0.00254+0.14646-0.00071+0.0053+0.0003+0.00289+0.06047</f>
        <v>0.49642000000000014</v>
      </c>
      <c r="I6" s="13"/>
      <c r="J6" s="13"/>
      <c r="K6" s="13"/>
      <c r="L6" s="13">
        <v>-8.3210000000000006E-2</v>
      </c>
    </row>
    <row r="7" spans="1:12" ht="20" customHeight="1">
      <c r="A7" s="13" t="s">
        <v>75</v>
      </c>
      <c r="B7" s="13" t="s">
        <v>73</v>
      </c>
      <c r="C7" s="13" t="s">
        <v>121</v>
      </c>
      <c r="D7" s="19">
        <f>D3</f>
        <v>10.379999999999999</v>
      </c>
      <c r="E7" s="19">
        <f>E3</f>
        <v>0.92999999999999994</v>
      </c>
      <c r="F7" s="19">
        <f>0.24598+0.10845 +0.0026-0.00003-0.0069</f>
        <v>0.35010000000000002</v>
      </c>
      <c r="G7" s="35">
        <f>0.28936+0.14326 +0.0026-0.00003-0.0069</f>
        <v>0.42829</v>
      </c>
      <c r="H7" s="35">
        <f>0.28936+0.27122+0.0026-0.00003-0.0069</f>
        <v>0.55625000000000013</v>
      </c>
      <c r="I7" s="13" t="s">
        <v>90</v>
      </c>
      <c r="J7" s="13" t="s">
        <v>104</v>
      </c>
      <c r="K7" s="13" t="s">
        <v>103</v>
      </c>
      <c r="L7" s="27">
        <v>-9.3909999999999993E-2</v>
      </c>
    </row>
    <row r="10" spans="1:12">
      <c r="F10" s="3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05EA0-08D1-1640-B22C-5644B087CE35}">
  <dimension ref="A1:L7"/>
  <sheetViews>
    <sheetView zoomScale="125" workbookViewId="0">
      <selection activeCell="E2" sqref="E2"/>
    </sheetView>
  </sheetViews>
  <sheetFormatPr baseColWidth="10" defaultRowHeight="16"/>
  <cols>
    <col min="1" max="12" width="12.83203125" customWidth="1"/>
  </cols>
  <sheetData>
    <row r="1" spans="1:12" ht="53" customHeight="1">
      <c r="A1" s="14" t="s">
        <v>0</v>
      </c>
      <c r="B1" s="14" t="s">
        <v>1</v>
      </c>
      <c r="C1" s="14" t="s">
        <v>47</v>
      </c>
      <c r="D1" s="14" t="s">
        <v>134</v>
      </c>
      <c r="E1" s="14" t="s">
        <v>141</v>
      </c>
      <c r="F1" s="15" t="s">
        <v>83</v>
      </c>
      <c r="G1" s="15" t="s">
        <v>84</v>
      </c>
      <c r="H1" s="15" t="s">
        <v>85</v>
      </c>
      <c r="I1" s="15" t="s">
        <v>86</v>
      </c>
      <c r="J1" s="15" t="s">
        <v>87</v>
      </c>
      <c r="K1" s="15" t="s">
        <v>88</v>
      </c>
      <c r="L1" s="16" t="s">
        <v>65</v>
      </c>
    </row>
    <row r="2" spans="1:12" ht="20" customHeight="1">
      <c r="A2" s="13" t="s">
        <v>39</v>
      </c>
      <c r="B2" s="13" t="s">
        <v>37</v>
      </c>
      <c r="C2" s="13" t="s">
        <v>126</v>
      </c>
      <c r="D2" s="19">
        <f>0.37612*30</f>
        <v>11.2836</v>
      </c>
      <c r="E2" s="19">
        <v>0</v>
      </c>
      <c r="F2" s="33">
        <v>0.25106000000000001</v>
      </c>
      <c r="G2" s="33">
        <v>0.45306999999999997</v>
      </c>
      <c r="H2" s="34">
        <v>0.56355999999999995</v>
      </c>
      <c r="I2" s="13" t="s">
        <v>91</v>
      </c>
      <c r="J2" s="13" t="s">
        <v>92</v>
      </c>
      <c r="K2" s="13" t="s">
        <v>89</v>
      </c>
      <c r="L2" s="13"/>
    </row>
    <row r="3" spans="1:12" ht="20" customHeight="1">
      <c r="A3" s="13" t="s">
        <v>36</v>
      </c>
      <c r="B3" s="13" t="s">
        <v>37</v>
      </c>
      <c r="C3" s="13" t="s">
        <v>102</v>
      </c>
      <c r="D3" s="19">
        <v>0</v>
      </c>
      <c r="E3" s="19">
        <f>0.427*30</f>
        <v>12.81</v>
      </c>
      <c r="F3" s="19">
        <f>0.15191+0.10162+0.0026</f>
        <v>0.25612999999999997</v>
      </c>
      <c r="G3" s="35">
        <f>0.22789+0.15221+0.0026</f>
        <v>0.38269999999999998</v>
      </c>
      <c r="H3" s="19">
        <f>0.22789+0.42769+0.0026</f>
        <v>0.6581800000000001</v>
      </c>
      <c r="I3" s="13" t="s">
        <v>90</v>
      </c>
      <c r="J3" s="13" t="s">
        <v>104</v>
      </c>
      <c r="K3" s="13" t="s">
        <v>103</v>
      </c>
      <c r="L3" s="13" t="s">
        <v>137</v>
      </c>
    </row>
    <row r="4" spans="1:12" ht="20" customHeight="1">
      <c r="A4" s="13" t="s">
        <v>20</v>
      </c>
      <c r="B4" s="13" t="s">
        <v>10</v>
      </c>
      <c r="C4" s="13" t="s">
        <v>111</v>
      </c>
      <c r="D4" s="19">
        <v>10</v>
      </c>
      <c r="E4" s="19">
        <v>12</v>
      </c>
      <c r="F4" s="19">
        <f>Table2[[#This Row],[Low Peak]]-0.0025-0.00147</f>
        <v>0.18692</v>
      </c>
      <c r="G4" s="19">
        <f>Table2[[#This Row],[Mid Peak]]</f>
        <v>0.21833</v>
      </c>
      <c r="H4" s="19">
        <f>Table2[[#This Row],[Peak]]</f>
        <v>0.27672999999999998</v>
      </c>
      <c r="I4" s="13" t="s">
        <v>107</v>
      </c>
      <c r="J4" s="13" t="s">
        <v>108</v>
      </c>
      <c r="K4" s="13" t="s">
        <v>109</v>
      </c>
      <c r="L4" s="13" t="s">
        <v>69</v>
      </c>
    </row>
    <row r="5" spans="1:12" ht="20" customHeight="1">
      <c r="A5" s="13" t="s">
        <v>18</v>
      </c>
      <c r="B5" s="13" t="s">
        <v>10</v>
      </c>
      <c r="C5" s="13" t="s">
        <v>124</v>
      </c>
      <c r="D5" s="19">
        <v>0</v>
      </c>
      <c r="E5" s="19">
        <v>23.5</v>
      </c>
      <c r="F5" s="19">
        <v>0.1275</v>
      </c>
      <c r="G5" s="19">
        <v>0.19670000000000001</v>
      </c>
      <c r="H5" s="19">
        <v>0.34620000000000001</v>
      </c>
      <c r="I5" s="13" t="s">
        <v>117</v>
      </c>
      <c r="J5" s="13" t="s">
        <v>115</v>
      </c>
      <c r="K5" s="13" t="s">
        <v>114</v>
      </c>
      <c r="L5" s="13"/>
    </row>
    <row r="6" spans="1:12" ht="20" customHeight="1">
      <c r="A6" s="13" t="s">
        <v>74</v>
      </c>
      <c r="B6" s="13" t="s">
        <v>73</v>
      </c>
      <c r="C6" s="13" t="s">
        <v>126</v>
      </c>
      <c r="D6" s="19">
        <f>D2</f>
        <v>11.2836</v>
      </c>
      <c r="E6" s="19">
        <f>E2</f>
        <v>0</v>
      </c>
      <c r="F6" s="19">
        <v>0.128</v>
      </c>
      <c r="G6" s="19">
        <v>0.16700000000000001</v>
      </c>
      <c r="H6" s="19">
        <v>0.21</v>
      </c>
      <c r="I6" s="13" t="s">
        <v>91</v>
      </c>
      <c r="J6" s="13" t="s">
        <v>92</v>
      </c>
      <c r="K6" s="13" t="s">
        <v>89</v>
      </c>
      <c r="L6" s="13"/>
    </row>
    <row r="7" spans="1:12" ht="20" customHeight="1">
      <c r="A7" s="13" t="s">
        <v>75</v>
      </c>
      <c r="B7" s="13" t="s">
        <v>73</v>
      </c>
      <c r="C7" s="13" t="s">
        <v>102</v>
      </c>
      <c r="D7" s="19">
        <f>D3</f>
        <v>0</v>
      </c>
      <c r="E7" s="19">
        <f>E3</f>
        <v>12.81</v>
      </c>
      <c r="F7" s="19">
        <f>0.15191+0.08127 +0.0026-0.00003-0.0069</f>
        <v>0.22885</v>
      </c>
      <c r="G7" s="35">
        <f>0.22789+0.18029+0.0026-0.00003-0.0069</f>
        <v>0.40384999999999999</v>
      </c>
      <c r="H7" s="19">
        <f>0.22789+0.35835+0.0026-0.00003-0.0069</f>
        <v>0.58191000000000004</v>
      </c>
      <c r="I7" s="13" t="s">
        <v>90</v>
      </c>
      <c r="J7" s="13" t="s">
        <v>104</v>
      </c>
      <c r="K7" s="13" t="s">
        <v>103</v>
      </c>
      <c r="L7" s="1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C8D25-62FB-6F4D-A99F-47C650D0AC4D}">
  <dimension ref="A1"/>
  <sheetViews>
    <sheetView workbookViewId="0">
      <selection activeCell="I23" sqref="I23"/>
    </sheetView>
  </sheetViews>
  <sheetFormatPr baseColWidth="10" defaultRowHeight="16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AEDE0-E5EA-EC47-AA3E-9D4F2CB3BBF1}">
  <dimension ref="A2:E7"/>
  <sheetViews>
    <sheetView workbookViewId="0">
      <selection activeCell="C2" sqref="C2"/>
    </sheetView>
  </sheetViews>
  <sheetFormatPr baseColWidth="10" defaultRowHeight="16"/>
  <sheetData>
    <row r="2" spans="1:5">
      <c r="A2" s="1" t="s">
        <v>39</v>
      </c>
      <c r="B2" s="6" t="s">
        <v>93</v>
      </c>
      <c r="C2" s="6" t="s">
        <v>132</v>
      </c>
      <c r="D2" s="30" t="s">
        <v>133</v>
      </c>
    </row>
    <row r="3" spans="1:5">
      <c r="A3" s="1" t="s">
        <v>36</v>
      </c>
      <c r="B3" s="6" t="s">
        <v>96</v>
      </c>
    </row>
    <row r="4" spans="1:5">
      <c r="A4" t="s">
        <v>18</v>
      </c>
      <c r="B4" s="6" t="s">
        <v>125</v>
      </c>
    </row>
    <row r="5" spans="1:5">
      <c r="A5" t="s">
        <v>20</v>
      </c>
      <c r="B5" s="6" t="s">
        <v>59</v>
      </c>
      <c r="C5" s="6" t="s">
        <v>61</v>
      </c>
      <c r="D5" s="6" t="s">
        <v>110</v>
      </c>
      <c r="E5" s="6" t="s">
        <v>136</v>
      </c>
    </row>
    <row r="6" spans="1:5">
      <c r="A6" t="s">
        <v>74</v>
      </c>
      <c r="B6" s="6" t="s">
        <v>128</v>
      </c>
    </row>
    <row r="7" spans="1:5">
      <c r="A7" t="s">
        <v>118</v>
      </c>
      <c r="B7" s="6" t="s">
        <v>119</v>
      </c>
    </row>
  </sheetData>
  <hyperlinks>
    <hyperlink ref="B2" r:id="rId1" xr:uid="{20289A7E-5769-504A-A264-345EB9A6B94B}"/>
    <hyperlink ref="B3" r:id="rId2" xr:uid="{E526A839-8C10-F74F-93E9-60C2DAE92D94}"/>
    <hyperlink ref="B4" r:id="rId3" xr:uid="{FEB4458E-C953-D749-8348-FCFFCE40892F}"/>
    <hyperlink ref="B5" r:id="rId4" xr:uid="{7CE854F8-9DB4-BE48-9EDE-FCD50FB6F464}"/>
    <hyperlink ref="C5" r:id="rId5" xr:uid="{D2ED481F-1A68-8F44-86EF-D9997B075BE2}"/>
    <hyperlink ref="D5" r:id="rId6" xr:uid="{7BAB672E-28BC-0142-87D5-D6BCF0DCB22B}"/>
    <hyperlink ref="B7" r:id="rId7" xr:uid="{1396245A-D065-BE48-AA79-9DA080A9F788}"/>
    <hyperlink ref="B6" r:id="rId8" xr:uid="{4C3987A8-6742-944B-80E8-A97C5CEBD425}"/>
    <hyperlink ref="E5" r:id="rId9" xr:uid="{2FF15FDF-56AA-0448-B4A6-08E579438D0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Tiered</vt:lpstr>
      <vt:lpstr>New-Tiered</vt:lpstr>
      <vt:lpstr>TOU</vt:lpstr>
      <vt:lpstr>TOU-EV</vt:lpstr>
      <vt:lpstr>GRaphs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Rayan Sud</dc:creator>
  <cp:lastModifiedBy>Rayan Sud</cp:lastModifiedBy>
  <dcterms:created xsi:type="dcterms:W3CDTF">2024-02-18T07:40:31Z</dcterms:created>
  <dcterms:modified xsi:type="dcterms:W3CDTF">2024-03-01T09:16:47Z</dcterms:modified>
</cp:coreProperties>
</file>