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Fig6_ResRateTimeSeries/"/>
    </mc:Choice>
  </mc:AlternateContent>
  <xr:revisionPtr revIDLastSave="0" documentId="13_ncr:1_{5796E2B7-1313-9846-BF94-197A27B31066}" xr6:coauthVersionLast="47" xr6:coauthVersionMax="47" xr10:uidLastSave="{00000000-0000-0000-0000-000000000000}"/>
  <bookViews>
    <workbookView xWindow="0" yWindow="500" windowWidth="25600" windowHeight="14260" activeTab="2" xr2:uid="{2ED96552-DAFC-C646-85A2-7A03F356D192}"/>
  </bookViews>
  <sheets>
    <sheet name="residential" sheetId="1" r:id="rId1"/>
    <sheet name="commercial" sheetId="3" r:id="rId2"/>
    <sheet name="industrial" sheetId="4" r:id="rId3"/>
  </sheets>
  <definedNames>
    <definedName name="_xlnm._FilterDatabase" localSheetId="0" hidden="1">residential!$A$1:$I$136</definedName>
    <definedName name="_xlchart.v1.0" hidden="1">industrial!$B$32:$B$46</definedName>
    <definedName name="_xlchart.v1.1" hidden="1">industrial!$E$17:$E$31</definedName>
    <definedName name="_xlchart.v1.10" hidden="1">industrial!$E$47:$E$61</definedName>
    <definedName name="_xlchart.v1.11" hidden="1">industrial!$E$62:$E$76</definedName>
    <definedName name="_xlchart.v1.12" hidden="1">(industrial!$D$17:$D$26,industrial!$C$27:$C$31)</definedName>
    <definedName name="_xlchart.v1.13" hidden="1">(industrial!$D$32:$D$43,industrial!$C$44:$C$46)</definedName>
    <definedName name="_xlchart.v1.14" hidden="1">(industrial!$D$47:$D$57,industrial!$C$58:$C$61)</definedName>
    <definedName name="_xlchart.v1.15" hidden="1">industrial!$B$32:$B$46</definedName>
    <definedName name="_xlchart.v1.16" hidden="1">industrial!$C$2:$C$16</definedName>
    <definedName name="_xlchart.v1.17" hidden="1">industrial!$C$62:$C$76</definedName>
    <definedName name="_xlchart.v1.18" hidden="1">(industrial!$D$17:$D$26,industrial!$C$27:$C$31)</definedName>
    <definedName name="_xlchart.v1.19" hidden="1">(industrial!$D$32:$D$43,industrial!$C$44:$C$46)</definedName>
    <definedName name="_xlchart.v1.2" hidden="1">industrial!$E$2:$E$16</definedName>
    <definedName name="_xlchart.v1.20" hidden="1">(industrial!$D$47:$D$57,industrial!$C$58:$C$61)</definedName>
    <definedName name="_xlchart.v1.21" hidden="1">industrial!$B$32:$B$46</definedName>
    <definedName name="_xlchart.v1.22" hidden="1">industrial!$C$2:$C$16</definedName>
    <definedName name="_xlchart.v1.23" hidden="1">industrial!$C$62:$C$76</definedName>
    <definedName name="_xlchart.v1.24" hidden="1">(industrial!$D$17:$D$26,industrial!$C$27:$C$31)</definedName>
    <definedName name="_xlchart.v1.25" hidden="1">(industrial!$D$32:$D$43,industrial!$C$44:$C$46)</definedName>
    <definedName name="_xlchart.v1.26" hidden="1">(industrial!$D$47:$D$57,industrial!$C$58:$C$61)</definedName>
    <definedName name="_xlchart.v1.27" hidden="1">industrial!$B$32:$B$46</definedName>
    <definedName name="_xlchart.v1.28" hidden="1">industrial!$C$2:$C$16</definedName>
    <definedName name="_xlchart.v1.29" hidden="1">industrial!$C$62:$C$76</definedName>
    <definedName name="_xlchart.v1.3" hidden="1">industrial!$E$32:$E$46</definedName>
    <definedName name="_xlchart.v1.4" hidden="1">industrial!$E$47:$E$61</definedName>
    <definedName name="_xlchart.v1.5" hidden="1">industrial!$E$62:$E$76</definedName>
    <definedName name="_xlchart.v1.6" hidden="1">industrial!$B$32:$B$46</definedName>
    <definedName name="_xlchart.v1.7" hidden="1">industrial!$E$17:$E$31</definedName>
    <definedName name="_xlchart.v1.8" hidden="1">industrial!$E$2:$E$16</definedName>
    <definedName name="_xlchart.v1.9" hidden="1">industrial!$E$32:$E$46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4" i="4" l="1"/>
  <c r="E74" i="4" s="1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C75" i="4"/>
  <c r="D75" i="4"/>
  <c r="E75" i="4"/>
  <c r="D76" i="4"/>
  <c r="E76" i="4"/>
  <c r="C76" i="4"/>
  <c r="C16" i="4"/>
  <c r="D16" i="4"/>
  <c r="P15" i="4"/>
  <c r="D15" i="4" s="1"/>
  <c r="P16" i="4"/>
  <c r="E16" i="4" s="1"/>
  <c r="C15" i="4" l="1"/>
  <c r="E15" i="4"/>
  <c r="G136" i="1" l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D16" i="3"/>
  <c r="D102" i="1"/>
  <c r="D103" i="1"/>
  <c r="D104" i="1"/>
  <c r="D105" i="1"/>
  <c r="D106" i="1"/>
  <c r="D107" i="1"/>
  <c r="G61" i="1" l="1"/>
  <c r="G60" i="1"/>
  <c r="G59" i="1"/>
  <c r="G58" i="1"/>
  <c r="G57" i="1"/>
  <c r="G56" i="1"/>
  <c r="G55" i="1"/>
  <c r="G54" i="1"/>
  <c r="G53" i="1"/>
  <c r="G52" i="1"/>
  <c r="G51" i="1"/>
  <c r="G50" i="1"/>
  <c r="F60" i="1"/>
  <c r="F59" i="1"/>
  <c r="F58" i="1"/>
  <c r="F57" i="1"/>
  <c r="F56" i="1"/>
  <c r="F55" i="1"/>
  <c r="F54" i="1"/>
  <c r="F53" i="1"/>
  <c r="F52" i="1"/>
  <c r="F51" i="1"/>
  <c r="F50" i="1"/>
  <c r="D50" i="1"/>
  <c r="D51" i="1"/>
  <c r="D52" i="1"/>
  <c r="D53" i="1"/>
  <c r="D54" i="1"/>
  <c r="D55" i="1"/>
  <c r="D56" i="1"/>
  <c r="D57" i="1"/>
  <c r="D58" i="1"/>
  <c r="D59" i="1"/>
  <c r="D60" i="1"/>
  <c r="G15" i="1"/>
  <c r="G14" i="1"/>
  <c r="G13" i="1"/>
  <c r="G12" i="1"/>
  <c r="G11" i="1"/>
  <c r="G10" i="1"/>
  <c r="G9" i="1"/>
  <c r="G8" i="1"/>
  <c r="G7" i="1"/>
  <c r="F61" i="1"/>
  <c r="D61" i="1"/>
  <c r="G16" i="1"/>
  <c r="G17" i="1"/>
  <c r="G18" i="1"/>
  <c r="G19" i="1"/>
  <c r="G20" i="1"/>
  <c r="G21" i="1"/>
  <c r="F46" i="4"/>
  <c r="F45" i="4"/>
  <c r="F44" i="4"/>
  <c r="F40" i="4"/>
  <c r="F36" i="4"/>
  <c r="F32" i="4"/>
  <c r="F33" i="4"/>
  <c r="F34" i="4"/>
  <c r="F35" i="4"/>
  <c r="F37" i="4"/>
  <c r="F38" i="4"/>
  <c r="F39" i="4"/>
  <c r="F41" i="4"/>
  <c r="F43" i="4"/>
  <c r="F42" i="4"/>
  <c r="E26" i="4"/>
  <c r="D26" i="4"/>
  <c r="E25" i="4"/>
  <c r="D25" i="4"/>
  <c r="D24" i="4"/>
  <c r="E24" i="4"/>
  <c r="E23" i="4"/>
  <c r="D23" i="4"/>
  <c r="E22" i="4"/>
  <c r="D22" i="4"/>
  <c r="E21" i="4"/>
  <c r="D21" i="4"/>
  <c r="E20" i="4"/>
  <c r="D20" i="4"/>
  <c r="E27" i="4"/>
  <c r="D27" i="4"/>
  <c r="C27" i="4"/>
  <c r="D28" i="4"/>
  <c r="C28" i="4"/>
  <c r="E29" i="4"/>
  <c r="D29" i="4"/>
  <c r="C29" i="4"/>
  <c r="E30" i="4"/>
  <c r="D30" i="4"/>
  <c r="C30" i="4"/>
  <c r="E31" i="4"/>
  <c r="D31" i="4"/>
  <c r="C31" i="4"/>
  <c r="D31" i="3" l="1"/>
  <c r="D30" i="3"/>
  <c r="D29" i="3"/>
  <c r="D28" i="3"/>
  <c r="D27" i="3"/>
  <c r="D26" i="3"/>
  <c r="D25" i="3"/>
  <c r="D24" i="3"/>
  <c r="D23" i="3"/>
  <c r="D22" i="3"/>
  <c r="D21" i="3"/>
  <c r="D20" i="3"/>
  <c r="C20" i="3" l="1"/>
  <c r="C21" i="3"/>
  <c r="C22" i="3"/>
  <c r="C23" i="3"/>
  <c r="C24" i="3"/>
  <c r="C25" i="3"/>
  <c r="C26" i="3"/>
  <c r="C27" i="3"/>
  <c r="C28" i="3"/>
  <c r="C29" i="3"/>
  <c r="C30" i="3"/>
  <c r="C31" i="3"/>
  <c r="D32" i="1" l="1"/>
  <c r="E61" i="1"/>
  <c r="D81" i="1" s="1"/>
  <c r="E60" i="1"/>
  <c r="E59" i="1"/>
  <c r="E58" i="1"/>
  <c r="D78" i="1" s="1"/>
  <c r="E57" i="1"/>
  <c r="D77" i="1" s="1"/>
  <c r="E56" i="1"/>
  <c r="E19" i="1"/>
  <c r="D39" i="1" s="1"/>
  <c r="E20" i="1"/>
  <c r="D40" i="1" s="1"/>
  <c r="E18" i="1"/>
  <c r="D38" i="1" s="1"/>
  <c r="E21" i="1"/>
  <c r="D41" i="1" s="1"/>
  <c r="E17" i="1"/>
  <c r="E16" i="1"/>
  <c r="D101" i="1"/>
  <c r="D100" i="1"/>
  <c r="D76" i="1" l="1"/>
  <c r="D80" i="1"/>
  <c r="D79" i="1"/>
</calcChain>
</file>

<file path=xl/sharedStrings.xml><?xml version="1.0" encoding="utf-8"?>
<sst xmlns="http://schemas.openxmlformats.org/spreadsheetml/2006/main" count="996" uniqueCount="91">
  <si>
    <t>Utility</t>
  </si>
  <si>
    <t>PG&amp;E</t>
  </si>
  <si>
    <t>MCE</t>
  </si>
  <si>
    <t>SCE</t>
  </si>
  <si>
    <t>LADWP</t>
  </si>
  <si>
    <t>SMUD</t>
  </si>
  <si>
    <t>SDG&amp;E</t>
  </si>
  <si>
    <t>NA</t>
  </si>
  <si>
    <t>CPA-SC</t>
  </si>
  <si>
    <t>https://www.smud.org/-/media/Documents/Corporate/About-Us/Company-Information/Reports-and-Documents/GM-Reports/2015-GM-Rate-Report-Vol-1.ashx</t>
  </si>
  <si>
    <t>https://www.smud.org/-/media/Documents/Corporate/About-Us/Company-Information/Reports-and-Documents/GM-Reports/2017-GM-Rate-Report-Vol-2.ashx</t>
  </si>
  <si>
    <t>Email from SMUD</t>
  </si>
  <si>
    <t>PDFs</t>
  </si>
  <si>
    <t>PDFs (note: for Feb, not Jan)</t>
  </si>
  <si>
    <t>Source</t>
  </si>
  <si>
    <t>Baseline Delivery Service Rate + 2017 PCIA ($/kWh) [included for convenience only, when calculating CCA rate totals]</t>
  </si>
  <si>
    <t>PDFs (note leanpower)</t>
  </si>
  <si>
    <t>Type</t>
  </si>
  <si>
    <t>IOU</t>
  </si>
  <si>
    <t>CCA</t>
  </si>
  <si>
    <t>POU</t>
  </si>
  <si>
    <t>Rate Name</t>
  </si>
  <si>
    <t>A1</t>
  </si>
  <si>
    <t>TOU-A</t>
  </si>
  <si>
    <t>Power Rate Master file, emailed</t>
  </si>
  <si>
    <t>Power rate master file, emailed</t>
  </si>
  <si>
    <t>GS-1</t>
  </si>
  <si>
    <t>A1-A</t>
  </si>
  <si>
    <t>TOU-8</t>
  </si>
  <si>
    <t>Note: below 2kV, Option D/D-CPP</t>
  </si>
  <si>
    <t>Note: below 2kV, Option CPP</t>
  </si>
  <si>
    <t>High Peak  ($/kWh)</t>
  </si>
  <si>
    <t>Facilities Demand Charge ($/kW)</t>
  </si>
  <si>
    <t>E-19</t>
  </si>
  <si>
    <t>Note</t>
  </si>
  <si>
    <t>Fixed Monthly ($/mo)</t>
  </si>
  <si>
    <t>B-19</t>
  </si>
  <si>
    <t>Note: Mandatory, secondary service. PDP pricing ignore</t>
  </si>
  <si>
    <t>Note: Mandatory, secondary service. PDP pricing ignored. Switching from E-19 to B-19 from March 1, 2021, due to new TOU times.</t>
  </si>
  <si>
    <t>Year</t>
  </si>
  <si>
    <t>Mid Peak  ($/kWh)</t>
  </si>
  <si>
    <t>Low Peak   ($/kWh)</t>
  </si>
  <si>
    <t>Fixed Charge ($/mo)</t>
  </si>
  <si>
    <t>Flat/Tier1 Energy Charge  ($/kWh)</t>
  </si>
  <si>
    <t>General Notes</t>
  </si>
  <si>
    <t>Rates as of January 1</t>
  </si>
  <si>
    <t>Tier 1 Rate ($/kWh)</t>
  </si>
  <si>
    <t>LEGEND</t>
  </si>
  <si>
    <t>TODO</t>
  </si>
  <si>
    <t>Data not available</t>
  </si>
  <si>
    <t>Rate chosen for &lt;20 kW peak demand</t>
  </si>
  <si>
    <t>Rate chosen for &gt;500 kW demand</t>
  </si>
  <si>
    <t>Monthly Minimum ($/mo)</t>
  </si>
  <si>
    <t>Not including climate credit</t>
  </si>
  <si>
    <t>Single family home, where option available</t>
  </si>
  <si>
    <t>GSN_T</t>
  </si>
  <si>
    <t>GUS_M</t>
  </si>
  <si>
    <t>Note: solar, hydro surcharges not included</t>
  </si>
  <si>
    <t>CITS-3</t>
  </si>
  <si>
    <t>https://www.smud.org/-/media/Documents/Corporate/About-Us/Company-Information/Reports-and-Documents/GM-Reports/2023-GM-Rate-Report-Vol-1.ashx</t>
  </si>
  <si>
    <t>Single-phase</t>
  </si>
  <si>
    <t>March 2022: https://www.smud.org/-/media/Documents/Rate-Information/2021-Rate-Action/GM-Report-Volume-1.ashx</t>
  </si>
  <si>
    <t>https://www.smud.org/-/media/Documents/Corporate/About-Us/Company-Information/Reports-and-Documents/GM-Reports/GM-Report-Volume-2.ashx</t>
  </si>
  <si>
    <t>Fixed rate chosen where tiered rate not available</t>
  </si>
  <si>
    <t>DR</t>
  </si>
  <si>
    <t>AL-TOU</t>
  </si>
  <si>
    <t>Secondary; maximum on-peak demand charge</t>
  </si>
  <si>
    <t xml:space="preserve">CITS-0 </t>
  </si>
  <si>
    <t>Note: solar, hydro surcharges not included. GSN_T rate no longer available - CITS-0 sucessor rate used. It is a TOD rate so Off-Peak used.</t>
  </si>
  <si>
    <t>Secondary; Feb 2021;  maximum on-peak demand charge</t>
  </si>
  <si>
    <t>Note: switching from GUS_M to CITS-3 since GUS_M closed</t>
  </si>
  <si>
    <t>E-1</t>
  </si>
  <si>
    <t>D</t>
  </si>
  <si>
    <t>R-1A</t>
  </si>
  <si>
    <t>Residential Fixed (RF01)</t>
  </si>
  <si>
    <t>A2-A</t>
  </si>
  <si>
    <t>Medium commercial rate, at 4.8 kV rather than 2 kV</t>
  </si>
  <si>
    <t>UDC High Peak  ($/kWh)</t>
  </si>
  <si>
    <t>UDC Mid Peak  ($/kWh)</t>
  </si>
  <si>
    <t>UDC Low Peak   ($/kWh)</t>
  </si>
  <si>
    <t>Commodity High Peak  ($/kWh)</t>
  </si>
  <si>
    <t>Commodity Mid Peak  ($/kWh)</t>
  </si>
  <si>
    <t>Commodity Low Peak   ($/kWh)</t>
  </si>
  <si>
    <t>Adjustment Factors</t>
  </si>
  <si>
    <t>Sum of kWh adjustment factors from https://www.ladwp.com/account/customer-service/electric-rates/commercial-adjustment-billing-factors</t>
  </si>
  <si>
    <t>Secondary; maximum on-peak demand chargel March 2024</t>
  </si>
  <si>
    <t xml:space="preserve">Schedule EECC-CPP-D; adjustments are WF-NBC + DWR-BC </t>
  </si>
  <si>
    <t xml:space="preserve">Feb 2021; Schedule EECC-CPP-D; adjustments are WF-NBC + DWR-BC </t>
  </si>
  <si>
    <t xml:space="preserve">Schedule EECC-CPP-D; adjustment is DWR-BC </t>
  </si>
  <si>
    <t xml:space="preserve">Schedule EECC-CPP-D adjustment is DWR-BC </t>
  </si>
  <si>
    <t>Schedule EECC-CPP-D; adjustments are WF-NBC + DWR-BC; refund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</si>
</sst>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  <numFmt numFmtId="165" formatCode="_(&quot;$&quot;* #,##0.0000_);_(&quot;$&quot;* \(#,##0.0000\);_(&quot;$&quot;* &quot;-&quot;??_);_(@_)"/>
    <numFmt numFmtId="166" formatCode="_(&quot;$&quot;* #,##0.000000_);_(&quot;$&quot;* \(#,##0.000000\);_(&quot;$&quot;* &quot;-&quot;??_);_(@_)"/>
  </numFmts>
  <fonts count="1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Arial"/>
      <family val="2"/>
    </font>
    <font>
      <sz val="8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rgb="FF072D3D"/>
      <name val="Arial"/>
      <family val="2"/>
    </font>
    <font>
      <sz val="10"/>
      <color rgb="FF0B2430"/>
      <name val="Arial"/>
      <family val="2"/>
    </font>
    <font>
      <u/>
      <sz val="12"/>
      <color theme="10"/>
      <name val="Aptos Narrow"/>
      <family val="2"/>
      <scheme val="minor"/>
    </font>
    <font>
      <sz val="8"/>
      <color rgb="FF000000"/>
      <name val="Times New Roman"/>
      <family val="1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44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/>
  </cellStyleXfs>
  <cellXfs count="5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2" xfId="0" applyBorder="1"/>
    <xf numFmtId="164" fontId="4" fillId="0" borderId="2" xfId="2" applyNumberFormat="1" applyFont="1" applyBorder="1"/>
    <xf numFmtId="0" fontId="0" fillId="2" borderId="2" xfId="0" applyFill="1" applyBorder="1"/>
    <xf numFmtId="165" fontId="4" fillId="0" borderId="2" xfId="2" applyNumberFormat="1" applyFont="1" applyBorder="1"/>
    <xf numFmtId="164" fontId="4" fillId="0" borderId="2" xfId="2" applyNumberFormat="1" applyFont="1" applyBorder="1" applyAlignment="1">
      <alignment horizontal="center" vertical="center" wrapText="1"/>
    </xf>
    <xf numFmtId="164" fontId="8" fillId="0" borderId="2" xfId="2" applyNumberFormat="1" applyFont="1" applyBorder="1"/>
    <xf numFmtId="164" fontId="8" fillId="2" borderId="2" xfId="2" applyNumberFormat="1" applyFont="1" applyFill="1" applyBorder="1"/>
    <xf numFmtId="164" fontId="9" fillId="0" borderId="2" xfId="2" applyNumberFormat="1" applyFont="1" applyBorder="1"/>
    <xf numFmtId="164" fontId="8" fillId="5" borderId="2" xfId="2" applyNumberFormat="1" applyFont="1" applyFill="1" applyBorder="1" applyAlignment="1">
      <alignment horizontal="center" vertical="center" wrapText="1"/>
    </xf>
    <xf numFmtId="164" fontId="8" fillId="0" borderId="2" xfId="2" applyNumberFormat="1" applyFont="1" applyBorder="1" applyAlignment="1">
      <alignment horizontal="center" vertical="center" wrapText="1"/>
    </xf>
    <xf numFmtId="164" fontId="8" fillId="0" borderId="2" xfId="2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8" fillId="0" borderId="2" xfId="0" applyFont="1" applyBorder="1"/>
    <xf numFmtId="165" fontId="2" fillId="0" borderId="2" xfId="2" applyNumberFormat="1" applyFont="1" applyBorder="1"/>
    <xf numFmtId="165" fontId="8" fillId="0" borderId="2" xfId="2" applyNumberFormat="1" applyFont="1" applyBorder="1"/>
    <xf numFmtId="165" fontId="4" fillId="4" borderId="2" xfId="2" applyNumberFormat="1" applyFont="1" applyFill="1" applyBorder="1" applyAlignment="1">
      <alignment horizontal="center" vertical="center" wrapText="1"/>
    </xf>
    <xf numFmtId="165" fontId="8" fillId="2" borderId="2" xfId="2" applyNumberFormat="1" applyFont="1" applyFill="1" applyBorder="1"/>
    <xf numFmtId="165" fontId="9" fillId="0" borderId="2" xfId="2" applyNumberFormat="1" applyFont="1" applyBorder="1"/>
    <xf numFmtId="0" fontId="8" fillId="2" borderId="2" xfId="0" applyFont="1" applyFill="1" applyBorder="1"/>
    <xf numFmtId="0" fontId="11" fillId="3" borderId="2" xfId="0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2" borderId="2" xfId="0" applyFont="1" applyFill="1" applyBorder="1"/>
    <xf numFmtId="166" fontId="9" fillId="0" borderId="2" xfId="2" applyNumberFormat="1" applyFont="1" applyBorder="1"/>
    <xf numFmtId="166" fontId="2" fillId="0" borderId="2" xfId="2" applyNumberFormat="1" applyFont="1" applyBorder="1"/>
    <xf numFmtId="166" fontId="9" fillId="2" borderId="2" xfId="2" applyNumberFormat="1" applyFont="1" applyFill="1" applyBorder="1"/>
    <xf numFmtId="166" fontId="12" fillId="0" borderId="2" xfId="2" applyNumberFormat="1" applyFont="1" applyBorder="1"/>
    <xf numFmtId="166" fontId="13" fillId="0" borderId="2" xfId="2" applyNumberFormat="1" applyFont="1" applyBorder="1"/>
    <xf numFmtId="166" fontId="4" fillId="0" borderId="2" xfId="2" applyNumberFormat="1" applyFont="1" applyBorder="1" applyAlignment="1">
      <alignment horizontal="right"/>
    </xf>
    <xf numFmtId="0" fontId="9" fillId="2" borderId="2" xfId="2" applyNumberFormat="1" applyFont="1" applyFill="1" applyBorder="1"/>
    <xf numFmtId="166" fontId="9" fillId="0" borderId="2" xfId="2" applyNumberFormat="1" applyFont="1" applyFill="1" applyBorder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6" borderId="0" xfId="0" applyFill="1"/>
    <xf numFmtId="0" fontId="9" fillId="0" borderId="3" xfId="0" applyFont="1" applyBorder="1"/>
    <xf numFmtId="166" fontId="9" fillId="0" borderId="0" xfId="2" applyNumberFormat="1" applyFont="1" applyBorder="1"/>
    <xf numFmtId="166" fontId="9" fillId="0" borderId="0" xfId="2" applyNumberFormat="1" applyFont="1" applyFill="1" applyBorder="1"/>
    <xf numFmtId="0" fontId="9" fillId="0" borderId="0" xfId="0" applyFont="1"/>
    <xf numFmtId="0" fontId="14" fillId="0" borderId="0" xfId="3" applyFill="1" applyBorder="1"/>
    <xf numFmtId="0" fontId="0" fillId="0" borderId="4" xfId="0" applyBorder="1"/>
    <xf numFmtId="166" fontId="9" fillId="0" borderId="4" xfId="2" applyNumberFormat="1" applyFont="1" applyBorder="1"/>
    <xf numFmtId="166" fontId="9" fillId="0" borderId="4" xfId="2" applyNumberFormat="1" applyFont="1" applyFill="1" applyBorder="1"/>
    <xf numFmtId="0" fontId="9" fillId="0" borderId="4" xfId="0" applyFont="1" applyBorder="1"/>
    <xf numFmtId="0" fontId="0" fillId="0" borderId="6" xfId="0" applyBorder="1"/>
    <xf numFmtId="0" fontId="0" fillId="0" borderId="5" xfId="0" applyBorder="1"/>
    <xf numFmtId="0" fontId="15" fillId="0" borderId="0" xfId="0" applyFont="1"/>
    <xf numFmtId="8" fontId="15" fillId="0" borderId="0" xfId="0" applyNumberFormat="1" applyFont="1"/>
    <xf numFmtId="164" fontId="8" fillId="0" borderId="2" xfId="2" applyNumberFormat="1" applyFont="1" applyFill="1" applyBorder="1"/>
    <xf numFmtId="0" fontId="0" fillId="0" borderId="2" xfId="0" applyFill="1" applyBorder="1"/>
    <xf numFmtId="44" fontId="0" fillId="0" borderId="0" xfId="0" applyNumberFormat="1"/>
    <xf numFmtId="0" fontId="5" fillId="3" borderId="7" xfId="0" applyFont="1" applyFill="1" applyBorder="1" applyAlignment="1">
      <alignment horizontal="center" vertical="center" wrapText="1"/>
    </xf>
  </cellXfs>
  <cellStyles count="5">
    <cellStyle name="Currency" xfId="2" builtinId="4"/>
    <cellStyle name="Hyperlink" xfId="3" builtinId="8"/>
    <cellStyle name="Normal" xfId="0" builtinId="0"/>
    <cellStyle name="Normal 10" xfId="4" xr:uid="{4CF21679-1190-7145-B275-20A994AF3406}"/>
    <cellStyle name="Normal 3 2" xfId="1" xr:uid="{625D5E96-9CED-1C41-B113-74E4B3F15C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California</a:t>
            </a:r>
            <a:r>
              <a:rPr lang="en-US" b="1" baseline="0"/>
              <a:t> Major LSEs - </a:t>
            </a:r>
            <a:r>
              <a:rPr lang="en-US" b="1"/>
              <a:t>Residential Tiered Rate </a:t>
            </a:r>
            <a:br>
              <a:rPr lang="en-US" b="1"/>
            </a:br>
            <a:r>
              <a:rPr lang="en-US" sz="1050"/>
              <a:t>(Baseline Quantity Rate, $/kWh)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PG&amp;E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residential!$C$47:$C$61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residential!$D$7:$D$21</c:f>
              <c:numCache>
                <c:formatCode>_("$"* #,##0.000000_);_("$"* \(#,##0.000000\);_("$"* "-"??_);_(@_)</c:formatCode>
                <c:ptCount val="15"/>
                <c:pt idx="0">
                  <c:v>0.11877</c:v>
                </c:pt>
                <c:pt idx="1">
                  <c:v>0.12232999999999999</c:v>
                </c:pt>
                <c:pt idx="2">
                  <c:v>0.12845000000000001</c:v>
                </c:pt>
                <c:pt idx="3">
                  <c:v>0.1323</c:v>
                </c:pt>
                <c:pt idx="4">
                  <c:v>0.1323</c:v>
                </c:pt>
                <c:pt idx="5">
                  <c:v>0.16170000000000001</c:v>
                </c:pt>
                <c:pt idx="6">
                  <c:v>0.18151</c:v>
                </c:pt>
                <c:pt idx="7">
                  <c:v>0.18276000000000001</c:v>
                </c:pt>
                <c:pt idx="8">
                  <c:v>0.20077999999999999</c:v>
                </c:pt>
                <c:pt idx="9">
                  <c:v>0.21182999999999999</c:v>
                </c:pt>
                <c:pt idx="10">
                  <c:v>0.23580999999999999</c:v>
                </c:pt>
                <c:pt idx="11">
                  <c:v>0.24986</c:v>
                </c:pt>
                <c:pt idx="12">
                  <c:v>0.28239999999999998</c:v>
                </c:pt>
                <c:pt idx="13">
                  <c:v>0.32549</c:v>
                </c:pt>
                <c:pt idx="14">
                  <c:v>0.42009000000000002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C-0247-868D-900579522489}"/>
            </c:ext>
          </c:extLst>
        </c:ser>
        <c:ser>
          <c:idx val="1"/>
          <c:order val="1"/>
          <c:tx>
            <c:v>SCE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residential!$C$47:$C$61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residential!$D$47:$D$61</c:f>
              <c:numCache>
                <c:formatCode>_("$"* #,##0.000000_);_("$"* \(#,##0.000000\);_("$"* "-"??_);_(@_)</c:formatCode>
                <c:ptCount val="15"/>
                <c:pt idx="3">
                  <c:v>0.12848999999999999</c:v>
                </c:pt>
                <c:pt idx="4">
                  <c:v>0.13232999999999998</c:v>
                </c:pt>
                <c:pt idx="5">
                  <c:v>0.14849999999999999</c:v>
                </c:pt>
                <c:pt idx="6">
                  <c:v>0.15107999999999999</c:v>
                </c:pt>
                <c:pt idx="7">
                  <c:v>0.16317000000000001</c:v>
                </c:pt>
                <c:pt idx="8">
                  <c:v>0.17463999999999999</c:v>
                </c:pt>
                <c:pt idx="9">
                  <c:v>0.17924000000000001</c:v>
                </c:pt>
                <c:pt idx="10">
                  <c:v>0.19269</c:v>
                </c:pt>
                <c:pt idx="11">
                  <c:v>0.23220000000000002</c:v>
                </c:pt>
                <c:pt idx="12">
                  <c:v>0.26380000000000003</c:v>
                </c:pt>
                <c:pt idx="13">
                  <c:v>0.31227000000000005</c:v>
                </c:pt>
                <c:pt idx="14">
                  <c:v>0.33745999999999998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C-0247-868D-900579522489}"/>
            </c:ext>
          </c:extLst>
        </c:ser>
        <c:ser>
          <c:idx val="2"/>
          <c:order val="2"/>
          <c:tx>
            <c:v>LADWP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residential!$C$47:$C$61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residential!$D$82:$D$96</c:f>
              <c:numCache>
                <c:formatCode>_("$"* #,##0.000000_);_("$"* \(#,##0.000000\);_("$"* "-"??_);_(@_)</c:formatCode>
                <c:ptCount val="15"/>
                <c:pt idx="0">
                  <c:v>0.12557000000000001</c:v>
                </c:pt>
                <c:pt idx="1">
                  <c:v>0.13156999999999999</c:v>
                </c:pt>
                <c:pt idx="2">
                  <c:v>0.13156999999999999</c:v>
                </c:pt>
                <c:pt idx="3">
                  <c:v>0.13561999999999999</c:v>
                </c:pt>
                <c:pt idx="4">
                  <c:v>0.13919999999999999</c:v>
                </c:pt>
                <c:pt idx="5">
                  <c:v>0.14577999999999999</c:v>
                </c:pt>
                <c:pt idx="6">
                  <c:v>0.14273999999999998</c:v>
                </c:pt>
                <c:pt idx="7">
                  <c:v>0.14872000000000002</c:v>
                </c:pt>
                <c:pt idx="8">
                  <c:v>0.15498000000000001</c:v>
                </c:pt>
                <c:pt idx="9">
                  <c:v>0.16825999999999999</c:v>
                </c:pt>
                <c:pt idx="10">
                  <c:v>0.17352000000000001</c:v>
                </c:pt>
                <c:pt idx="11">
                  <c:v>0.17649999999999999</c:v>
                </c:pt>
                <c:pt idx="12">
                  <c:v>0.19488</c:v>
                </c:pt>
                <c:pt idx="13">
                  <c:v>0.18856999999999999</c:v>
                </c:pt>
                <c:pt idx="14">
                  <c:v>0.20041999999999999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C-0247-868D-900579522489}"/>
            </c:ext>
          </c:extLst>
        </c:ser>
        <c:ser>
          <c:idx val="3"/>
          <c:order val="3"/>
          <c:tx>
            <c:v>SMUD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residential!$D$102:$D$116</c:f>
              <c:numCache>
                <c:formatCode>_("$"* #,##0.000000_);_("$"* \(#,##0.000000\);_("$"* "-"??_);_(@_)</c:formatCode>
                <c:ptCount val="15"/>
                <c:pt idx="0">
                  <c:v>9.6600000000000005E-2</c:v>
                </c:pt>
                <c:pt idx="1">
                  <c:v>9.7599999999999992E-2</c:v>
                </c:pt>
                <c:pt idx="2">
                  <c:v>9.4699999999999993E-2</c:v>
                </c:pt>
                <c:pt idx="3">
                  <c:v>9.2399999999999996E-2</c:v>
                </c:pt>
                <c:pt idx="4">
                  <c:v>9.6799999999999997E-2</c:v>
                </c:pt>
                <c:pt idx="5">
                  <c:v>0.1013</c:v>
                </c:pt>
                <c:pt idx="6">
                  <c:v>0.10680000000000001</c:v>
                </c:pt>
                <c:pt idx="7">
                  <c:v>0.1128</c:v>
                </c:pt>
                <c:pt idx="8">
                  <c:v>0.1032</c:v>
                </c:pt>
                <c:pt idx="9">
                  <c:v>0.1032</c:v>
                </c:pt>
                <c:pt idx="10">
                  <c:v>0.1081</c:v>
                </c:pt>
                <c:pt idx="11">
                  <c:v>0.113</c:v>
                </c:pt>
                <c:pt idx="12">
                  <c:v>0.11700000000000001</c:v>
                </c:pt>
                <c:pt idx="13">
                  <c:v>0.11940000000000001</c:v>
                </c:pt>
                <c:pt idx="14">
                  <c:v>0.1227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C-0247-868D-900579522489}"/>
            </c:ext>
          </c:extLst>
        </c:ser>
        <c:ser>
          <c:idx val="4"/>
          <c:order val="4"/>
          <c:tx>
            <c:v>SDG&amp;E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residential!$D$122:$D$136</c:f>
              <c:numCache>
                <c:formatCode>_("$"* #,##0.000000_);_("$"* \(#,##0.000000\);_("$"* "-"??_);_(@_)</c:formatCode>
                <c:ptCount val="15"/>
                <c:pt idx="0">
                  <c:v>6.0260000000000001E-2</c:v>
                </c:pt>
                <c:pt idx="1">
                  <c:v>7.3870000000000005E-2</c:v>
                </c:pt>
                <c:pt idx="2">
                  <c:v>8.0329999999999999E-2</c:v>
                </c:pt>
                <c:pt idx="3">
                  <c:v>7.4569999999999997E-2</c:v>
                </c:pt>
                <c:pt idx="4">
                  <c:v>8.1089999999999995E-2</c:v>
                </c:pt>
                <c:pt idx="5">
                  <c:v>0.16844999999999999</c:v>
                </c:pt>
                <c:pt idx="6">
                  <c:v>0.17541999999999999</c:v>
                </c:pt>
                <c:pt idx="7">
                  <c:v>0.18867</c:v>
                </c:pt>
                <c:pt idx="8">
                  <c:v>0.2303</c:v>
                </c:pt>
                <c:pt idx="9">
                  <c:v>0.22378999999999999</c:v>
                </c:pt>
                <c:pt idx="10">
                  <c:v>0.27472999999999997</c:v>
                </c:pt>
                <c:pt idx="11">
                  <c:v>0.28237000000000001</c:v>
                </c:pt>
                <c:pt idx="12">
                  <c:v>0.39206000000000002</c:v>
                </c:pt>
                <c:pt idx="13">
                  <c:v>0.45245000000000002</c:v>
                </c:pt>
                <c:pt idx="14">
                  <c:v>0.38385000000000002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4C-0247-868D-90057952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541615"/>
        <c:axId val="1430543327"/>
      </c:lineChart>
      <c:catAx>
        <c:axId val="14305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3327"/>
        <c:crosses val="autoZero"/>
        <c:auto val="1"/>
        <c:lblAlgn val="ctr"/>
        <c:lblOffset val="100"/>
        <c:noMultiLvlLbl val="0"/>
      </c:catAx>
      <c:valAx>
        <c:axId val="14305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00_);_(&quot;$&quot;* \(#,##0.00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California</a:t>
            </a:r>
            <a:r>
              <a:rPr lang="en-US" b="1" baseline="0"/>
              <a:t> Major LSEs - Small </a:t>
            </a:r>
            <a:r>
              <a:rPr lang="en-US" b="1"/>
              <a:t>Commercial</a:t>
            </a:r>
            <a:r>
              <a:rPr lang="en-US" b="1" baseline="0"/>
              <a:t> Rate</a:t>
            </a:r>
            <a:br>
              <a:rPr lang="en-US" b="1"/>
            </a:br>
            <a:r>
              <a:rPr lang="en-US" sz="1050"/>
              <a:t>(&lt;20 kW, Baseline Quantity or TOD Off-Peak Rate, $/kWh)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PG&amp;E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commercial!$B$2:$B$16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commercial!$C$2:$C$16</c:f>
              <c:numCache>
                <c:formatCode>_("$"* #,##0.0000_);_("$"* \(#,##0.0000\);_("$"* "-"??_);_(@_)</c:formatCode>
                <c:ptCount val="15"/>
                <c:pt idx="0">
                  <c:v>0.14543</c:v>
                </c:pt>
                <c:pt idx="1">
                  <c:v>0.14574000000000001</c:v>
                </c:pt>
                <c:pt idx="2">
                  <c:v>0.14430000000000001</c:v>
                </c:pt>
                <c:pt idx="3">
                  <c:v>0.14671000000000001</c:v>
                </c:pt>
                <c:pt idx="4">
                  <c:v>0.15014</c:v>
                </c:pt>
                <c:pt idx="5">
                  <c:v>0.16327</c:v>
                </c:pt>
                <c:pt idx="6">
                  <c:v>0.18335000000000001</c:v>
                </c:pt>
                <c:pt idx="7">
                  <c:v>0.18915000000000001</c:v>
                </c:pt>
                <c:pt idx="8">
                  <c:v>0.19353000000000001</c:v>
                </c:pt>
                <c:pt idx="9">
                  <c:v>0.19725000000000001</c:v>
                </c:pt>
                <c:pt idx="10">
                  <c:v>0.21471000000000001</c:v>
                </c:pt>
                <c:pt idx="11">
                  <c:v>0.21679000000000001</c:v>
                </c:pt>
                <c:pt idx="12">
                  <c:v>0.24979999999999999</c:v>
                </c:pt>
                <c:pt idx="13">
                  <c:v>0.29307</c:v>
                </c:pt>
                <c:pt idx="14">
                  <c:v>0.40447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C-0641-BC75-7863EDC94CDB}"/>
            </c:ext>
          </c:extLst>
        </c:ser>
        <c:ser>
          <c:idx val="1"/>
          <c:order val="1"/>
          <c:tx>
            <c:v>SCE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commercial!$B$2:$B$16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commercial!$C$17:$C$31</c:f>
              <c:numCache>
                <c:formatCode>_("$"* #,##0.0000_);_("$"* \(#,##0.0000\);_("$"* "-"??_);_(@_)</c:formatCode>
                <c:ptCount val="15"/>
                <c:pt idx="3">
                  <c:v>0.14147000000000001</c:v>
                </c:pt>
                <c:pt idx="4">
                  <c:v>0.13981999999999997</c:v>
                </c:pt>
                <c:pt idx="5">
                  <c:v>0.15570000000000001</c:v>
                </c:pt>
                <c:pt idx="6">
                  <c:v>0.13388</c:v>
                </c:pt>
                <c:pt idx="7">
                  <c:v>0.14229</c:v>
                </c:pt>
                <c:pt idx="8">
                  <c:v>0.14623999999999998</c:v>
                </c:pt>
                <c:pt idx="9">
                  <c:v>0.14441999999999999</c:v>
                </c:pt>
                <c:pt idx="10">
                  <c:v>0.15906999999999999</c:v>
                </c:pt>
                <c:pt idx="11">
                  <c:v>0.18801000000000001</c:v>
                </c:pt>
                <c:pt idx="12">
                  <c:v>0.20973000000000003</c:v>
                </c:pt>
                <c:pt idx="13">
                  <c:v>0.24931</c:v>
                </c:pt>
                <c:pt idx="14">
                  <c:v>0.26272999999999996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C-0641-BC75-7863EDC94CDB}"/>
            </c:ext>
          </c:extLst>
        </c:ser>
        <c:ser>
          <c:idx val="2"/>
          <c:order val="2"/>
          <c:tx>
            <c:v>LADWP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commercial!$B$2:$B$16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commercial!$C$32:$C$46</c:f>
              <c:numCache>
                <c:formatCode>_("$"* #,##0.0000_);_("$"* \(#,##0.0000\);_("$"* "-"??_);_(@_)</c:formatCode>
                <c:ptCount val="15"/>
                <c:pt idx="0">
                  <c:v>9.3579999999999997E-2</c:v>
                </c:pt>
                <c:pt idx="1">
                  <c:v>9.9580000000000002E-2</c:v>
                </c:pt>
                <c:pt idx="2">
                  <c:v>9.9580000000000002E-2</c:v>
                </c:pt>
                <c:pt idx="3">
                  <c:v>0.10433000000000001</c:v>
                </c:pt>
                <c:pt idx="4">
                  <c:v>0.11063000000000001</c:v>
                </c:pt>
                <c:pt idx="5">
                  <c:v>0.11720999999999999</c:v>
                </c:pt>
                <c:pt idx="6">
                  <c:v>0.11416999999999999</c:v>
                </c:pt>
                <c:pt idx="7">
                  <c:v>0.12095999999999998</c:v>
                </c:pt>
                <c:pt idx="8">
                  <c:v>0.12634000000000001</c:v>
                </c:pt>
                <c:pt idx="9">
                  <c:v>0.13680999999999999</c:v>
                </c:pt>
                <c:pt idx="10">
                  <c:v>0.14172000000000001</c:v>
                </c:pt>
                <c:pt idx="11">
                  <c:v>0.14429</c:v>
                </c:pt>
                <c:pt idx="12">
                  <c:v>0.16064000000000001</c:v>
                </c:pt>
                <c:pt idx="13">
                  <c:v>0.16152</c:v>
                </c:pt>
                <c:pt idx="14">
                  <c:v>0.1691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C-0641-BC75-7863EDC94CDB}"/>
            </c:ext>
          </c:extLst>
        </c:ser>
        <c:ser>
          <c:idx val="3"/>
          <c:order val="3"/>
          <c:tx>
            <c:v>SMUD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commercial!$B$2:$B$16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commercial!$C$47:$C$61</c:f>
              <c:numCache>
                <c:formatCode>_("$"* #,##0.0000_);_("$"* \(#,##0.0000\);_("$"* "-"??_);_(@_)</c:formatCode>
                <c:ptCount val="15"/>
                <c:pt idx="0">
                  <c:v>0.1203</c:v>
                </c:pt>
                <c:pt idx="1">
                  <c:v>0.123</c:v>
                </c:pt>
                <c:pt idx="2">
                  <c:v>0.124</c:v>
                </c:pt>
                <c:pt idx="3">
                  <c:v>0.124</c:v>
                </c:pt>
                <c:pt idx="4">
                  <c:v>0.12520000000000001</c:v>
                </c:pt>
                <c:pt idx="5">
                  <c:v>0.12659999999999999</c:v>
                </c:pt>
                <c:pt idx="6">
                  <c:v>0.1278</c:v>
                </c:pt>
                <c:pt idx="7">
                  <c:v>0.129</c:v>
                </c:pt>
                <c:pt idx="8">
                  <c:v>0.1303</c:v>
                </c:pt>
                <c:pt idx="9">
                  <c:v>0.13159999999999999</c:v>
                </c:pt>
                <c:pt idx="10">
                  <c:v>0.13789999999999999</c:v>
                </c:pt>
                <c:pt idx="11">
                  <c:v>0.14399999999999999</c:v>
                </c:pt>
                <c:pt idx="12">
                  <c:v>0.13930000000000001</c:v>
                </c:pt>
                <c:pt idx="13">
                  <c:v>0.13639999999999999</c:v>
                </c:pt>
                <c:pt idx="14">
                  <c:v>0.13350000000000001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C-0641-BC75-7863EDC94CDB}"/>
            </c:ext>
          </c:extLst>
        </c:ser>
        <c:ser>
          <c:idx val="4"/>
          <c:order val="4"/>
          <c:tx>
            <c:v>SDG&amp;E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commercial!$B$2:$B$16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commercial!$C$62:$C$76</c:f>
              <c:numCache>
                <c:formatCode>_("$"* #,##0.0000_);_("$"* \(#,##0.0000\);_("$"* "-"??_);_(@_)</c:formatCode>
                <c:ptCount val="15"/>
                <c:pt idx="4">
                  <c:v>0.12504999999999999</c:v>
                </c:pt>
                <c:pt idx="5">
                  <c:v>0.13059000000000001</c:v>
                </c:pt>
                <c:pt idx="6">
                  <c:v>0.12285</c:v>
                </c:pt>
                <c:pt idx="7">
                  <c:v>0.12105</c:v>
                </c:pt>
                <c:pt idx="8">
                  <c:v>0.13736000000000001</c:v>
                </c:pt>
                <c:pt idx="9">
                  <c:v>0.1371</c:v>
                </c:pt>
                <c:pt idx="10">
                  <c:v>0.15695999999999999</c:v>
                </c:pt>
                <c:pt idx="11">
                  <c:v>0.16156000000000001</c:v>
                </c:pt>
                <c:pt idx="12">
                  <c:v>0.18790999999999999</c:v>
                </c:pt>
                <c:pt idx="13">
                  <c:v>0.22145999999999999</c:v>
                </c:pt>
                <c:pt idx="14">
                  <c:v>0.21618000000000001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C-0641-BC75-7863EDC9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541615"/>
        <c:axId val="1430543327"/>
      </c:lineChart>
      <c:catAx>
        <c:axId val="14305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3327"/>
        <c:crosses val="autoZero"/>
        <c:auto val="1"/>
        <c:lblAlgn val="ctr"/>
        <c:lblOffset val="100"/>
        <c:noMultiLvlLbl val="0"/>
      </c:catAx>
      <c:valAx>
        <c:axId val="14305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_);_(&quot;$&quot;* \(#,##0.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California</a:t>
            </a:r>
            <a:r>
              <a:rPr lang="en-US" b="1" baseline="0"/>
              <a:t> Major LSEs - Industrial Rate</a:t>
            </a:r>
            <a:br>
              <a:rPr lang="en-US" b="1"/>
            </a:br>
            <a:r>
              <a:rPr lang="en-US" sz="1050"/>
              <a:t>(&gt;500 kW, TOD Off-Peak Rate, $/kWh)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PG&amp;E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industrial!$E$32:$E$46</c:f>
              <c:numCache>
                <c:formatCode>_("$"* #,##0.00000_);_("$"* \(#,##0.00000\);_("$"* "-"??_);_(@_)</c:formatCode>
                <c:ptCount val="15"/>
                <c:pt idx="0">
                  <c:v>8.48E-2</c:v>
                </c:pt>
                <c:pt idx="1">
                  <c:v>8.2390000000000005E-2</c:v>
                </c:pt>
                <c:pt idx="2">
                  <c:v>7.2569999999999996E-2</c:v>
                </c:pt>
                <c:pt idx="3">
                  <c:v>7.3050000000000004E-2</c:v>
                </c:pt>
                <c:pt idx="4">
                  <c:v>7.6810000000000003E-2</c:v>
                </c:pt>
                <c:pt idx="5">
                  <c:v>8.097E-2</c:v>
                </c:pt>
                <c:pt idx="6">
                  <c:v>8.6739999999999998E-2</c:v>
                </c:pt>
                <c:pt idx="7">
                  <c:v>9.3170000000000003E-2</c:v>
                </c:pt>
                <c:pt idx="8">
                  <c:v>9.178E-2</c:v>
                </c:pt>
                <c:pt idx="9">
                  <c:v>9.3549999999999994E-2</c:v>
                </c:pt>
                <c:pt idx="10">
                  <c:v>9.9419999999999994E-2</c:v>
                </c:pt>
                <c:pt idx="11">
                  <c:v>9.917999999999999E-2</c:v>
                </c:pt>
                <c:pt idx="12">
                  <c:v>7.0650000000000004E-2</c:v>
                </c:pt>
                <c:pt idx="13">
                  <c:v>7.8399999999999997E-2</c:v>
                </c:pt>
                <c:pt idx="14">
                  <c:v>8.3900000000000002E-2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C-9849-A20F-30C439C5809F}"/>
            </c:ext>
          </c:extLst>
        </c:ser>
        <c:ser>
          <c:idx val="1"/>
          <c:order val="1"/>
          <c:tx>
            <c:v>SCE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industrial!$E$17:$E$31</c:f>
              <c:numCache>
                <c:formatCode>_("$"* #,##0.00000_);_("$"* \(#,##0.00000\);_("$"* "-"??_);_(@_)</c:formatCode>
                <c:ptCount val="15"/>
                <c:pt idx="3">
                  <c:v>5.6059999999999999E-2</c:v>
                </c:pt>
                <c:pt idx="4">
                  <c:v>6.1449999999999998E-2</c:v>
                </c:pt>
                <c:pt idx="5">
                  <c:v>6.8379999999999996E-2</c:v>
                </c:pt>
                <c:pt idx="6">
                  <c:v>5.2940000000000001E-2</c:v>
                </c:pt>
                <c:pt idx="7">
                  <c:v>6.2969999999999998E-2</c:v>
                </c:pt>
                <c:pt idx="8">
                  <c:v>6.2859999999999999E-2</c:v>
                </c:pt>
                <c:pt idx="9">
                  <c:v>6.2909999999999994E-2</c:v>
                </c:pt>
                <c:pt idx="10">
                  <c:v>5.7929999999999995E-2</c:v>
                </c:pt>
                <c:pt idx="11">
                  <c:v>3.8730000000000001E-2</c:v>
                </c:pt>
                <c:pt idx="12">
                  <c:v>7.6100000000000001E-2</c:v>
                </c:pt>
                <c:pt idx="13">
                  <c:v>9.0740000000000001E-2</c:v>
                </c:pt>
                <c:pt idx="14">
                  <c:v>8.548E-2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C-9849-A20F-30C439C5809F}"/>
            </c:ext>
          </c:extLst>
        </c:ser>
        <c:ser>
          <c:idx val="2"/>
          <c:order val="2"/>
          <c:tx>
            <c:v>LADWP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industrial!$E$2:$E$16</c:f>
              <c:numCache>
                <c:formatCode>_("$"* #,##0.00000_);_("$"* \(#,##0.00000\);_("$"* "-"??_);_(@_)</c:formatCode>
                <c:ptCount val="15"/>
                <c:pt idx="0">
                  <c:v>7.3419999999999999E-2</c:v>
                </c:pt>
                <c:pt idx="1">
                  <c:v>7.9419999999999991E-2</c:v>
                </c:pt>
                <c:pt idx="2">
                  <c:v>7.9419999999999991E-2</c:v>
                </c:pt>
                <c:pt idx="3">
                  <c:v>8.3169999999999994E-2</c:v>
                </c:pt>
                <c:pt idx="4">
                  <c:v>8.8139999999999996E-2</c:v>
                </c:pt>
                <c:pt idx="5">
                  <c:v>9.4719999999999999E-2</c:v>
                </c:pt>
                <c:pt idx="6">
                  <c:v>9.1679999999999998E-2</c:v>
                </c:pt>
                <c:pt idx="7">
                  <c:v>9.9729999999999985E-2</c:v>
                </c:pt>
                <c:pt idx="8">
                  <c:v>0.10708999999999999</c:v>
                </c:pt>
                <c:pt idx="9">
                  <c:v>0.11935999999999999</c:v>
                </c:pt>
                <c:pt idx="10">
                  <c:v>0.12583</c:v>
                </c:pt>
                <c:pt idx="13" formatCode="_(&quot;$&quot;* #,##0.00_);_(&quot;$&quot;* \(#,##0.00\);_(&quot;$&quot;* &quot;-&quot;??_);_(@_)">
                  <c:v>0.14562999999999998</c:v>
                </c:pt>
                <c:pt idx="14" formatCode="_(&quot;$&quot;* #,##0.00_);_(&quot;$&quot;* \(#,##0.00\);_(&quot;$&quot;* &quot;-&quot;??_);_(@_)">
                  <c:v>0.15321000000000001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C-9849-A20F-30C439C5809F}"/>
            </c:ext>
          </c:extLst>
        </c:ser>
        <c:ser>
          <c:idx val="3"/>
          <c:order val="3"/>
          <c:tx>
            <c:v>SMUD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industrial!$E$47:$E$61</c:f>
              <c:numCache>
                <c:formatCode>_("$"* #,##0.00000_);_("$"* \(#,##0.00000\);_("$"* "-"??_);_(@_)</c:formatCode>
                <c:ptCount val="15"/>
                <c:pt idx="0">
                  <c:v>7.1199999999999999E-2</c:v>
                </c:pt>
                <c:pt idx="1">
                  <c:v>7.2800000000000004E-2</c:v>
                </c:pt>
                <c:pt idx="2">
                  <c:v>7.2800000000000004E-2</c:v>
                </c:pt>
                <c:pt idx="3">
                  <c:v>7.2800000000000004E-2</c:v>
                </c:pt>
                <c:pt idx="4">
                  <c:v>7.4700000000000003E-2</c:v>
                </c:pt>
                <c:pt idx="5">
                  <c:v>7.6600000000000001E-2</c:v>
                </c:pt>
                <c:pt idx="6">
                  <c:v>7.8600000000000003E-2</c:v>
                </c:pt>
                <c:pt idx="7">
                  <c:v>8.0600000000000005E-2</c:v>
                </c:pt>
                <c:pt idx="8">
                  <c:v>8.14E-2</c:v>
                </c:pt>
                <c:pt idx="9">
                  <c:v>8.2199999999999995E-2</c:v>
                </c:pt>
                <c:pt idx="10">
                  <c:v>8.6099999999999996E-2</c:v>
                </c:pt>
                <c:pt idx="11">
                  <c:v>0.09</c:v>
                </c:pt>
                <c:pt idx="12">
                  <c:v>9.1899999999999996E-2</c:v>
                </c:pt>
                <c:pt idx="13">
                  <c:v>9.06E-2</c:v>
                </c:pt>
                <c:pt idx="14">
                  <c:v>8.1100000000000005E-2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EC-9849-A20F-30C439C5809F}"/>
            </c:ext>
          </c:extLst>
        </c:ser>
        <c:ser>
          <c:idx val="4"/>
          <c:order val="4"/>
          <c:tx>
            <c:v>SDG&amp;E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industrial!$E$62:$E$76</c:f>
              <c:numCache>
                <c:formatCode>_("$"* #,##0.00_);_("$"* \(#,##0.00\);_("$"* "-"??_);_(@_)</c:formatCode>
                <c:ptCount val="15"/>
                <c:pt idx="0">
                  <c:v>8.8849999999999998E-2</c:v>
                </c:pt>
                <c:pt idx="1">
                  <c:v>6.6810000000000008E-2</c:v>
                </c:pt>
                <c:pt idx="2">
                  <c:v>6.3960000000000003E-2</c:v>
                </c:pt>
                <c:pt idx="3">
                  <c:v>6.2469999999999998E-2</c:v>
                </c:pt>
                <c:pt idx="4">
                  <c:v>6.4869999999999997E-2</c:v>
                </c:pt>
                <c:pt idx="5">
                  <c:v>8.0110000000000001E-2</c:v>
                </c:pt>
                <c:pt idx="6">
                  <c:v>7.6990000000000003E-2</c:v>
                </c:pt>
                <c:pt idx="7">
                  <c:v>7.492E-2</c:v>
                </c:pt>
                <c:pt idx="8">
                  <c:v>8.9819999999999997E-2</c:v>
                </c:pt>
                <c:pt idx="9">
                  <c:v>9.9620000000000014E-2</c:v>
                </c:pt>
                <c:pt idx="10">
                  <c:v>9.2439999999999994E-2</c:v>
                </c:pt>
                <c:pt idx="11">
                  <c:v>9.7240000000000007E-2</c:v>
                </c:pt>
                <c:pt idx="12">
                  <c:v>0.10489</c:v>
                </c:pt>
                <c:pt idx="13">
                  <c:v>0.15513000000000002</c:v>
                </c:pt>
                <c:pt idx="14">
                  <c:v>0.11958000000000001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EC-9849-A20F-30C439C58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541615"/>
        <c:axId val="1430543327"/>
      </c:lineChart>
      <c:catAx>
        <c:axId val="14305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3327"/>
        <c:crosses val="autoZero"/>
        <c:auto val="1"/>
        <c:lblAlgn val="ctr"/>
        <c:lblOffset val="100"/>
        <c:noMultiLvlLbl val="0"/>
      </c:catAx>
      <c:valAx>
        <c:axId val="14305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0_);_(&quot;$&quot;* \(#,##0.0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California</a:t>
            </a:r>
            <a:r>
              <a:rPr lang="en-US" b="1" baseline="0"/>
              <a:t> Major LSEs - Industrial Rate</a:t>
            </a:r>
            <a:br>
              <a:rPr lang="en-US" b="1"/>
            </a:br>
            <a:r>
              <a:rPr lang="en-US" sz="1050"/>
              <a:t>(&gt;500 kW, TOD Peak Rate, $/kWh)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PG&amp;E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(industrial!$D$32:$D$43,industrial!$C$44:$C$46)</c:f>
              <c:numCache>
                <c:formatCode>_("$"* #,##0.00000_);_("$"* \(#,##0.00000\);_("$"* "-"??_);_(@_)</c:formatCode>
                <c:ptCount val="15"/>
                <c:pt idx="0">
                  <c:v>9.5769999999999994E-2</c:v>
                </c:pt>
                <c:pt idx="1">
                  <c:v>9.2160000000000006E-2</c:v>
                </c:pt>
                <c:pt idx="2">
                  <c:v>0.09</c:v>
                </c:pt>
                <c:pt idx="3">
                  <c:v>9.3030000000000002E-2</c:v>
                </c:pt>
                <c:pt idx="4">
                  <c:v>9.8239999999999994E-2</c:v>
                </c:pt>
                <c:pt idx="5">
                  <c:v>0.10485</c:v>
                </c:pt>
                <c:pt idx="6">
                  <c:v>0.10122</c:v>
                </c:pt>
                <c:pt idx="7">
                  <c:v>0.10779</c:v>
                </c:pt>
                <c:pt idx="8">
                  <c:v>0.10639999999999999</c:v>
                </c:pt>
                <c:pt idx="9">
                  <c:v>0.10958</c:v>
                </c:pt>
                <c:pt idx="10">
                  <c:v>0.11663999999999999</c:v>
                </c:pt>
                <c:pt idx="11">
                  <c:v>0.11560000000000001</c:v>
                </c:pt>
                <c:pt idx="12">
                  <c:v>0.14338999999999999</c:v>
                </c:pt>
                <c:pt idx="13">
                  <c:v>0.1852</c:v>
                </c:pt>
                <c:pt idx="14">
                  <c:v>0.21119000000000002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3-B343-901A-455CAFC77DF0}"/>
            </c:ext>
          </c:extLst>
        </c:ser>
        <c:ser>
          <c:idx val="1"/>
          <c:order val="1"/>
          <c:tx>
            <c:v>SCE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(industrial!$D$17:$D$26,industrial!$C$27:$C$31)</c:f>
              <c:numCache>
                <c:formatCode>_("$"* #,##0.00000_);_("$"* \(#,##0.00000\);_("$"* "-"??_);_(@_)</c:formatCode>
                <c:ptCount val="15"/>
                <c:pt idx="3">
                  <c:v>8.2979999999999998E-2</c:v>
                </c:pt>
                <c:pt idx="4">
                  <c:v>8.0869999999999997E-2</c:v>
                </c:pt>
                <c:pt idx="5">
                  <c:v>8.9630000000000001E-2</c:v>
                </c:pt>
                <c:pt idx="6">
                  <c:v>6.7820000000000005E-2</c:v>
                </c:pt>
                <c:pt idx="7">
                  <c:v>7.2499999999999995E-2</c:v>
                </c:pt>
                <c:pt idx="8">
                  <c:v>7.3810000000000001E-2</c:v>
                </c:pt>
                <c:pt idx="9">
                  <c:v>7.3709999999999998E-2</c:v>
                </c:pt>
                <c:pt idx="10">
                  <c:v>8.6719999999999992E-2</c:v>
                </c:pt>
                <c:pt idx="11">
                  <c:v>9.9909999999999999E-2</c:v>
                </c:pt>
                <c:pt idx="12">
                  <c:v>0.10428999999999999</c:v>
                </c:pt>
                <c:pt idx="13">
                  <c:v>0.13552</c:v>
                </c:pt>
                <c:pt idx="14">
                  <c:v>0.13161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3-B343-901A-455CAFC77DF0}"/>
            </c:ext>
          </c:extLst>
        </c:ser>
        <c:ser>
          <c:idx val="2"/>
          <c:order val="2"/>
          <c:tx>
            <c:v>LADWP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industrial!$C$2:$C$16</c:f>
              <c:numCache>
                <c:formatCode>_("$"* #,##0.00000_);_("$"* \(#,##0.00000\);_("$"* "-"??_);_(@_)</c:formatCode>
                <c:ptCount val="15"/>
                <c:pt idx="0">
                  <c:v>9.1350000000000001E-2</c:v>
                </c:pt>
                <c:pt idx="1">
                  <c:v>9.7349999999999992E-2</c:v>
                </c:pt>
                <c:pt idx="2">
                  <c:v>9.7349999999999992E-2</c:v>
                </c:pt>
                <c:pt idx="3">
                  <c:v>0.1011</c:v>
                </c:pt>
                <c:pt idx="4">
                  <c:v>0.10607</c:v>
                </c:pt>
                <c:pt idx="5">
                  <c:v>0.11265</c:v>
                </c:pt>
                <c:pt idx="6">
                  <c:v>0.10960999999999999</c:v>
                </c:pt>
                <c:pt idx="7">
                  <c:v>0.11765999999999999</c:v>
                </c:pt>
                <c:pt idx="8">
                  <c:v>0.12501999999999999</c:v>
                </c:pt>
                <c:pt idx="9">
                  <c:v>0.13729</c:v>
                </c:pt>
                <c:pt idx="10">
                  <c:v>0.14376</c:v>
                </c:pt>
                <c:pt idx="13" formatCode="_(&quot;$&quot;* #,##0.00_);_(&quot;$&quot;* \(#,##0.00\);_(&quot;$&quot;* &quot;-&quot;??_);_(@_)">
                  <c:v>0.16355999999999998</c:v>
                </c:pt>
                <c:pt idx="14" formatCode="_(&quot;$&quot;* #,##0.00_);_(&quot;$&quot;* \(#,##0.00\);_(&quot;$&quot;* &quot;-&quot;??_);_(@_)">
                  <c:v>0.17114000000000001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3-B343-901A-455CAFC77DF0}"/>
            </c:ext>
          </c:extLst>
        </c:ser>
        <c:ser>
          <c:idx val="3"/>
          <c:order val="3"/>
          <c:tx>
            <c:v>SMUD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(industrial!$D$47:$D$57,industrial!$C$58:$C$61)</c:f>
              <c:numCache>
                <c:formatCode>_("$"* #,##0.00000_);_("$"* \(#,##0.00000\);_("$"* "-"??_);_(@_)</c:formatCode>
                <c:ptCount val="15"/>
                <c:pt idx="0">
                  <c:v>8.9899999999999994E-2</c:v>
                </c:pt>
                <c:pt idx="1">
                  <c:v>9.1899999999999996E-2</c:v>
                </c:pt>
                <c:pt idx="2">
                  <c:v>9.1899999999999996E-2</c:v>
                </c:pt>
                <c:pt idx="3">
                  <c:v>9.1899999999999996E-2</c:v>
                </c:pt>
                <c:pt idx="4">
                  <c:v>9.4200000000000006E-2</c:v>
                </c:pt>
                <c:pt idx="5">
                  <c:v>9.6699999999999994E-2</c:v>
                </c:pt>
                <c:pt idx="6">
                  <c:v>9.9199999999999997E-2</c:v>
                </c:pt>
                <c:pt idx="7">
                  <c:v>0.1017</c:v>
                </c:pt>
                <c:pt idx="8">
                  <c:v>0.1028</c:v>
                </c:pt>
                <c:pt idx="9">
                  <c:v>0.10390000000000001</c:v>
                </c:pt>
                <c:pt idx="10">
                  <c:v>0.10879999999999999</c:v>
                </c:pt>
                <c:pt idx="11">
                  <c:v>0.1159</c:v>
                </c:pt>
                <c:pt idx="12">
                  <c:v>0.1183</c:v>
                </c:pt>
                <c:pt idx="13">
                  <c:v>0.1225</c:v>
                </c:pt>
                <c:pt idx="14">
                  <c:v>0.1275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3-B343-901A-455CAFC77DF0}"/>
            </c:ext>
          </c:extLst>
        </c:ser>
        <c:ser>
          <c:idx val="4"/>
          <c:order val="4"/>
          <c:tx>
            <c:v>SDG&amp;E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industrial!$C$62:$C$76</c:f>
              <c:numCache>
                <c:formatCode>_("$"* #,##0.00_);_("$"* \(#,##0.00\);_("$"* "-"??_);_(@_)</c:formatCode>
                <c:ptCount val="15"/>
                <c:pt idx="0">
                  <c:v>0.12744</c:v>
                </c:pt>
                <c:pt idx="1">
                  <c:v>9.5860000000000001E-2</c:v>
                </c:pt>
                <c:pt idx="2">
                  <c:v>9.2399999999999996E-2</c:v>
                </c:pt>
                <c:pt idx="3">
                  <c:v>9.4750000000000001E-2</c:v>
                </c:pt>
                <c:pt idx="4">
                  <c:v>9.6950000000000008E-2</c:v>
                </c:pt>
                <c:pt idx="5">
                  <c:v>0.11744</c:v>
                </c:pt>
                <c:pt idx="6">
                  <c:v>0.11104</c:v>
                </c:pt>
                <c:pt idx="7">
                  <c:v>0.11085</c:v>
                </c:pt>
                <c:pt idx="8">
                  <c:v>0.11620999999999999</c:v>
                </c:pt>
                <c:pt idx="9">
                  <c:v>0.12589</c:v>
                </c:pt>
                <c:pt idx="10">
                  <c:v>0.11774999999999999</c:v>
                </c:pt>
                <c:pt idx="11">
                  <c:v>0.12399</c:v>
                </c:pt>
                <c:pt idx="12">
                  <c:v>0.22836999999999999</c:v>
                </c:pt>
                <c:pt idx="13">
                  <c:v>0.32091000000000003</c:v>
                </c:pt>
                <c:pt idx="14">
                  <c:v>0.24451999999999999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3-B343-901A-455CAFC77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541615"/>
        <c:axId val="1430543327"/>
      </c:lineChart>
      <c:catAx>
        <c:axId val="14305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3327"/>
        <c:crosses val="autoZero"/>
        <c:auto val="1"/>
        <c:lblAlgn val="ctr"/>
        <c:lblOffset val="100"/>
        <c:noMultiLvlLbl val="0"/>
      </c:catAx>
      <c:valAx>
        <c:axId val="14305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0_);_(&quot;$&quot;* \(#,##0.0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301796</xdr:colOff>
      <xdr:row>71</xdr:row>
      <xdr:rowOff>14475</xdr:rowOff>
    </xdr:from>
    <xdr:to>
      <xdr:col>14</xdr:col>
      <xdr:colOff>381001</xdr:colOff>
      <xdr:row>84</xdr:row>
      <xdr:rowOff>94772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74C4C-7904-5DD8-0EF5-EFDF8E410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13</xdr:col>
      <xdr:colOff>502539</xdr:colOff>
      <xdr:row>15</xdr:row>
      <xdr:rowOff>80297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7B69C-2EFC-1B4A-9672-5DCD609B9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301337</xdr:colOff>
      <xdr:row>2</xdr:row>
      <xdr:rowOff>111221</xdr:rowOff>
    </xdr:from>
    <xdr:to>
      <xdr:col>23</xdr:col>
      <xdr:colOff>794811</xdr:colOff>
      <xdr:row>15</xdr:row>
      <xdr:rowOff>184492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17BA9-497F-E34A-91ED-192F1A80D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216670</xdr:colOff>
      <xdr:row>16</xdr:row>
      <xdr:rowOff>68888</xdr:rowOff>
    </xdr:from>
    <xdr:to>
      <xdr:col>23</xdr:col>
      <xdr:colOff>710144</xdr:colOff>
      <xdr:row>29</xdr:row>
      <xdr:rowOff>142159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2BCEF-000C-944B-A5BB-31F8B11B0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326C-66C9-9B4E-AA2F-2EFB2434479E}">
  <dimension ref="A1:R142"/>
  <sheetViews>
    <sheetView topLeftCell="A109" zoomScale="114" zoomScaleNormal="100" workbookViewId="0">
      <selection activeCell="G115" sqref="G115"/>
    </sheetView>
  </sheetViews>
  <sheetFormatPr baseColWidth="10" defaultRowHeight="16" x14ac:dyDescent="0.2"/>
  <cols>
    <col min="2" max="2" width="8.1640625" customWidth="1"/>
    <col min="3" max="3" width="15.6640625" customWidth="1"/>
    <col min="4" max="4" width="21.1640625" customWidth="1"/>
    <col min="5" max="5" width="13.1640625" hidden="1" customWidth="1"/>
    <col min="6" max="8" width="12" customWidth="1"/>
    <col min="9" max="9" width="31.1640625" customWidth="1"/>
    <col min="10" max="10" width="16" customWidth="1"/>
  </cols>
  <sheetData>
    <row r="1" spans="1:9" s="2" customFormat="1" ht="63" customHeight="1" x14ac:dyDescent="0.2">
      <c r="A1" s="26" t="s">
        <v>0</v>
      </c>
      <c r="B1" s="26" t="s">
        <v>17</v>
      </c>
      <c r="C1" s="26" t="s">
        <v>39</v>
      </c>
      <c r="D1" s="26" t="s">
        <v>46</v>
      </c>
      <c r="E1" s="26" t="s">
        <v>15</v>
      </c>
      <c r="F1" s="26" t="s">
        <v>35</v>
      </c>
      <c r="G1" s="26" t="s">
        <v>52</v>
      </c>
      <c r="H1" s="26" t="s">
        <v>21</v>
      </c>
      <c r="I1" s="26" t="s">
        <v>14</v>
      </c>
    </row>
    <row r="2" spans="1:9" x14ac:dyDescent="0.2">
      <c r="A2" s="27" t="s">
        <v>1</v>
      </c>
      <c r="B2" s="27" t="s">
        <v>18</v>
      </c>
      <c r="C2" s="27">
        <v>2005</v>
      </c>
      <c r="D2" s="29">
        <v>0.1143</v>
      </c>
      <c r="E2" s="29"/>
      <c r="F2" s="29"/>
      <c r="G2" s="29"/>
      <c r="H2" s="29" t="s">
        <v>71</v>
      </c>
      <c r="I2" s="27" t="s">
        <v>12</v>
      </c>
    </row>
    <row r="3" spans="1:9" x14ac:dyDescent="0.2">
      <c r="A3" s="27" t="s">
        <v>1</v>
      </c>
      <c r="B3" s="27" t="s">
        <v>18</v>
      </c>
      <c r="C3" s="27">
        <v>2006</v>
      </c>
      <c r="D3" s="29">
        <v>0.1143</v>
      </c>
      <c r="E3" s="29"/>
      <c r="F3" s="29"/>
      <c r="G3" s="29"/>
      <c r="H3" s="29" t="s">
        <v>71</v>
      </c>
      <c r="I3" s="27" t="s">
        <v>12</v>
      </c>
    </row>
    <row r="4" spans="1:9" x14ac:dyDescent="0.2">
      <c r="A4" s="27" t="s">
        <v>1</v>
      </c>
      <c r="B4" s="27" t="s">
        <v>18</v>
      </c>
      <c r="C4" s="27">
        <v>2007</v>
      </c>
      <c r="D4" s="29">
        <v>0.1143</v>
      </c>
      <c r="E4" s="29"/>
      <c r="F4" s="29"/>
      <c r="G4" s="29"/>
      <c r="H4" s="29" t="s">
        <v>71</v>
      </c>
      <c r="I4" s="27" t="s">
        <v>12</v>
      </c>
    </row>
    <row r="5" spans="1:9" x14ac:dyDescent="0.2">
      <c r="A5" s="27" t="s">
        <v>1</v>
      </c>
      <c r="B5" s="27" t="s">
        <v>18</v>
      </c>
      <c r="C5" s="27">
        <v>2008</v>
      </c>
      <c r="D5" s="30">
        <v>0.11559999999999999</v>
      </c>
      <c r="E5" s="29"/>
      <c r="F5" s="29"/>
      <c r="G5" s="29"/>
      <c r="H5" s="29" t="s">
        <v>71</v>
      </c>
      <c r="I5" s="27" t="s">
        <v>12</v>
      </c>
    </row>
    <row r="6" spans="1:9" x14ac:dyDescent="0.2">
      <c r="A6" s="27" t="s">
        <v>1</v>
      </c>
      <c r="B6" s="27" t="s">
        <v>18</v>
      </c>
      <c r="C6" s="27">
        <v>2009</v>
      </c>
      <c r="D6" s="30">
        <v>0.11536</v>
      </c>
      <c r="E6" s="29"/>
      <c r="F6" s="29"/>
      <c r="G6" s="29"/>
      <c r="H6" s="29" t="s">
        <v>71</v>
      </c>
      <c r="I6" s="27" t="s">
        <v>12</v>
      </c>
    </row>
    <row r="7" spans="1:9" x14ac:dyDescent="0.2">
      <c r="A7" s="27" t="s">
        <v>1</v>
      </c>
      <c r="B7" s="27" t="s">
        <v>18</v>
      </c>
      <c r="C7" s="27">
        <v>2010</v>
      </c>
      <c r="D7" s="30">
        <v>0.11877</v>
      </c>
      <c r="E7" s="29"/>
      <c r="F7" s="36">
        <v>0</v>
      </c>
      <c r="G7" s="36">
        <f t="shared" ref="G7:G12" si="0">30*0.14784</f>
        <v>4.4352</v>
      </c>
      <c r="H7" s="29" t="s">
        <v>71</v>
      </c>
      <c r="I7" s="27" t="s">
        <v>12</v>
      </c>
    </row>
    <row r="8" spans="1:9" x14ac:dyDescent="0.2">
      <c r="A8" s="27" t="s">
        <v>1</v>
      </c>
      <c r="B8" s="27" t="s">
        <v>18</v>
      </c>
      <c r="C8" s="27">
        <v>2011</v>
      </c>
      <c r="D8" s="30">
        <v>0.12232999999999999</v>
      </c>
      <c r="E8" s="29"/>
      <c r="F8" s="36">
        <v>0</v>
      </c>
      <c r="G8" s="36">
        <f t="shared" si="0"/>
        <v>4.4352</v>
      </c>
      <c r="H8" s="29" t="s">
        <v>71</v>
      </c>
      <c r="I8" s="27" t="s">
        <v>12</v>
      </c>
    </row>
    <row r="9" spans="1:9" x14ac:dyDescent="0.2">
      <c r="A9" s="27" t="s">
        <v>1</v>
      </c>
      <c r="B9" s="27" t="s">
        <v>18</v>
      </c>
      <c r="C9" s="27">
        <v>2012</v>
      </c>
      <c r="D9" s="30">
        <v>0.12845000000000001</v>
      </c>
      <c r="E9" s="29"/>
      <c r="F9" s="36">
        <v>0</v>
      </c>
      <c r="G9" s="36">
        <f t="shared" si="0"/>
        <v>4.4352</v>
      </c>
      <c r="H9" s="29" t="s">
        <v>71</v>
      </c>
      <c r="I9" s="27" t="s">
        <v>12</v>
      </c>
    </row>
    <row r="10" spans="1:9" x14ac:dyDescent="0.2">
      <c r="A10" s="27" t="s">
        <v>1</v>
      </c>
      <c r="B10" s="27" t="s">
        <v>18</v>
      </c>
      <c r="C10" s="27">
        <v>2013</v>
      </c>
      <c r="D10" s="30">
        <v>0.1323</v>
      </c>
      <c r="E10" s="29"/>
      <c r="F10" s="36">
        <v>0</v>
      </c>
      <c r="G10" s="36">
        <f t="shared" si="0"/>
        <v>4.4352</v>
      </c>
      <c r="H10" s="29" t="s">
        <v>71</v>
      </c>
      <c r="I10" s="27" t="s">
        <v>12</v>
      </c>
    </row>
    <row r="11" spans="1:9" x14ac:dyDescent="0.2">
      <c r="A11" s="27" t="s">
        <v>1</v>
      </c>
      <c r="B11" s="27" t="s">
        <v>18</v>
      </c>
      <c r="C11" s="27">
        <v>2014</v>
      </c>
      <c r="D11" s="30">
        <v>0.1323</v>
      </c>
      <c r="E11" s="29"/>
      <c r="F11" s="36">
        <v>0</v>
      </c>
      <c r="G11" s="36">
        <f t="shared" si="0"/>
        <v>4.4352</v>
      </c>
      <c r="H11" s="29" t="s">
        <v>71</v>
      </c>
      <c r="I11" s="27" t="s">
        <v>12</v>
      </c>
    </row>
    <row r="12" spans="1:9" x14ac:dyDescent="0.2">
      <c r="A12" s="27" t="s">
        <v>1</v>
      </c>
      <c r="B12" s="27" t="s">
        <v>18</v>
      </c>
      <c r="C12" s="27">
        <v>2015</v>
      </c>
      <c r="D12" s="30">
        <v>0.16170000000000001</v>
      </c>
      <c r="E12" s="29"/>
      <c r="F12" s="36">
        <v>0</v>
      </c>
      <c r="G12" s="36">
        <f t="shared" si="0"/>
        <v>4.4352</v>
      </c>
      <c r="H12" s="29" t="s">
        <v>71</v>
      </c>
      <c r="I12" s="27" t="s">
        <v>12</v>
      </c>
    </row>
    <row r="13" spans="1:9" x14ac:dyDescent="0.2">
      <c r="A13" s="27" t="s">
        <v>1</v>
      </c>
      <c r="B13" s="27" t="s">
        <v>18</v>
      </c>
      <c r="C13" s="27">
        <v>2016</v>
      </c>
      <c r="D13" s="30">
        <v>0.18151</v>
      </c>
      <c r="E13" s="29"/>
      <c r="F13" s="36">
        <v>0</v>
      </c>
      <c r="G13" s="36">
        <f t="shared" ref="G13:G18" si="1">30*0.32854</f>
        <v>9.8561999999999994</v>
      </c>
      <c r="H13" s="29" t="s">
        <v>71</v>
      </c>
      <c r="I13" s="27" t="s">
        <v>12</v>
      </c>
    </row>
    <row r="14" spans="1:9" x14ac:dyDescent="0.2">
      <c r="A14" s="27" t="s">
        <v>1</v>
      </c>
      <c r="B14" s="27" t="s">
        <v>18</v>
      </c>
      <c r="C14" s="27">
        <v>2017</v>
      </c>
      <c r="D14" s="30">
        <v>0.18276000000000001</v>
      </c>
      <c r="E14" s="29"/>
      <c r="F14" s="36">
        <v>0</v>
      </c>
      <c r="G14" s="36">
        <f t="shared" si="1"/>
        <v>9.8561999999999994</v>
      </c>
      <c r="H14" s="29" t="s">
        <v>71</v>
      </c>
      <c r="I14" s="27" t="s">
        <v>12</v>
      </c>
    </row>
    <row r="15" spans="1:9" x14ac:dyDescent="0.2">
      <c r="A15" s="27" t="s">
        <v>1</v>
      </c>
      <c r="B15" s="27" t="s">
        <v>18</v>
      </c>
      <c r="C15" s="27">
        <v>2018</v>
      </c>
      <c r="D15" s="30">
        <v>0.20077999999999999</v>
      </c>
      <c r="E15" s="36"/>
      <c r="F15" s="36">
        <v>0</v>
      </c>
      <c r="G15" s="36">
        <f t="shared" si="1"/>
        <v>9.8561999999999994</v>
      </c>
      <c r="H15" s="29" t="s">
        <v>71</v>
      </c>
      <c r="I15" s="27" t="s">
        <v>12</v>
      </c>
    </row>
    <row r="16" spans="1:9" x14ac:dyDescent="0.2">
      <c r="A16" s="27" t="s">
        <v>1</v>
      </c>
      <c r="B16" s="27" t="s">
        <v>18</v>
      </c>
      <c r="C16" s="27">
        <v>2019</v>
      </c>
      <c r="D16" s="30">
        <v>0.21182999999999999</v>
      </c>
      <c r="E16" s="36">
        <f>0.03346+0.21183-0.1078</f>
        <v>0.13748999999999997</v>
      </c>
      <c r="F16" s="36">
        <v>0</v>
      </c>
      <c r="G16" s="36">
        <f t="shared" si="1"/>
        <v>9.8561999999999994</v>
      </c>
      <c r="H16" s="29" t="s">
        <v>71</v>
      </c>
      <c r="I16" s="27" t="s">
        <v>12</v>
      </c>
    </row>
    <row r="17" spans="1:9" x14ac:dyDescent="0.2">
      <c r="A17" s="27" t="s">
        <v>1</v>
      </c>
      <c r="B17" s="27" t="s">
        <v>18</v>
      </c>
      <c r="C17" s="27">
        <v>2020</v>
      </c>
      <c r="D17" s="30">
        <v>0.23580999999999999</v>
      </c>
      <c r="E17" s="36">
        <f>0.23581-0.11778+0.02701</f>
        <v>0.14504</v>
      </c>
      <c r="F17" s="36">
        <v>0</v>
      </c>
      <c r="G17" s="36">
        <f t="shared" si="1"/>
        <v>9.8561999999999994</v>
      </c>
      <c r="H17" s="29" t="s">
        <v>71</v>
      </c>
      <c r="I17" s="27" t="s">
        <v>12</v>
      </c>
    </row>
    <row r="18" spans="1:9" x14ac:dyDescent="0.2">
      <c r="A18" s="27" t="s">
        <v>1</v>
      </c>
      <c r="B18" s="27" t="s">
        <v>18</v>
      </c>
      <c r="C18" s="27">
        <v>2021</v>
      </c>
      <c r="D18" s="30">
        <v>0.24986</v>
      </c>
      <c r="E18" s="36">
        <f>D18-0.11209+0.04407</f>
        <v>0.18184</v>
      </c>
      <c r="F18" s="36">
        <v>0</v>
      </c>
      <c r="G18" s="36">
        <f t="shared" si="1"/>
        <v>9.8561999999999994</v>
      </c>
      <c r="H18" s="29" t="s">
        <v>71</v>
      </c>
      <c r="I18" s="27" t="s">
        <v>12</v>
      </c>
    </row>
    <row r="19" spans="1:9" x14ac:dyDescent="0.2">
      <c r="A19" s="27" t="s">
        <v>1</v>
      </c>
      <c r="B19" s="27" t="s">
        <v>18</v>
      </c>
      <c r="C19" s="27">
        <v>2022</v>
      </c>
      <c r="D19" s="30">
        <v>0.28239999999999998</v>
      </c>
      <c r="E19" s="36">
        <f>0.12188-0.03258+0.04787-0.00166+0.00012+0.02024+0.00004-0.00013+0.00009+0.00652+0.00442+0.00141+0.0476</f>
        <v>0.21582000000000007</v>
      </c>
      <c r="F19" s="36">
        <v>0</v>
      </c>
      <c r="G19" s="36">
        <f>0.3326*30</f>
        <v>9.9779999999999998</v>
      </c>
      <c r="H19" s="29" t="s">
        <v>71</v>
      </c>
      <c r="I19" s="27" t="s">
        <v>12</v>
      </c>
    </row>
    <row r="20" spans="1:9" x14ac:dyDescent="0.2">
      <c r="A20" s="27" t="s">
        <v>1</v>
      </c>
      <c r="B20" s="27" t="s">
        <v>18</v>
      </c>
      <c r="C20" s="27">
        <v>2023</v>
      </c>
      <c r="D20" s="30">
        <v>0.32549</v>
      </c>
      <c r="E20" s="36">
        <f>0.11659-0.03562+0.05254-0.0015+0.00069+0.02529+0.00135+0.0003+0.0034-0.00071+0.00346+0.00356+0.00289</f>
        <v>0.17224</v>
      </c>
      <c r="F20" s="36">
        <v>0</v>
      </c>
      <c r="G20" s="36">
        <f>0.3481*30</f>
        <v>10.443000000000001</v>
      </c>
      <c r="H20" s="29" t="s">
        <v>71</v>
      </c>
      <c r="I20" s="27" t="s">
        <v>12</v>
      </c>
    </row>
    <row r="21" spans="1:9" x14ac:dyDescent="0.2">
      <c r="A21" s="27" t="s">
        <v>1</v>
      </c>
      <c r="B21" s="27" t="s">
        <v>18</v>
      </c>
      <c r="C21" s="27">
        <v>2024</v>
      </c>
      <c r="D21" s="30">
        <v>0.42009000000000002</v>
      </c>
      <c r="E21" s="36">
        <f>0.19466-0.04014+0.04785-0.00016+0.00012+0.02727-0.00259+0.00101-0.00003+0.00561+0.00757+0.00254+0.01057</f>
        <v>0.25428000000000001</v>
      </c>
      <c r="F21" s="36">
        <v>0</v>
      </c>
      <c r="G21" s="36">
        <f>30*0.37612</f>
        <v>11.2836</v>
      </c>
      <c r="H21" s="29" t="s">
        <v>71</v>
      </c>
      <c r="I21" s="27" t="s">
        <v>12</v>
      </c>
    </row>
    <row r="22" spans="1:9" s="1" customFormat="1" x14ac:dyDescent="0.2">
      <c r="A22" s="27" t="s">
        <v>2</v>
      </c>
      <c r="B22" s="27" t="s">
        <v>19</v>
      </c>
      <c r="C22" s="27">
        <v>2005</v>
      </c>
      <c r="D22" s="29" t="s">
        <v>7</v>
      </c>
      <c r="E22" s="29"/>
      <c r="F22" s="29"/>
      <c r="G22" s="29"/>
      <c r="H22" s="29" t="s">
        <v>71</v>
      </c>
      <c r="I22" s="27"/>
    </row>
    <row r="23" spans="1:9" x14ac:dyDescent="0.2">
      <c r="A23" s="27" t="s">
        <v>2</v>
      </c>
      <c r="B23" s="27" t="s">
        <v>19</v>
      </c>
      <c r="C23" s="27">
        <v>2006</v>
      </c>
      <c r="D23" s="29" t="s">
        <v>7</v>
      </c>
      <c r="E23" s="29"/>
      <c r="F23" s="29"/>
      <c r="G23" s="29"/>
      <c r="H23" s="29" t="s">
        <v>71</v>
      </c>
      <c r="I23" s="27"/>
    </row>
    <row r="24" spans="1:9" x14ac:dyDescent="0.2">
      <c r="A24" s="27" t="s">
        <v>2</v>
      </c>
      <c r="B24" s="27" t="s">
        <v>19</v>
      </c>
      <c r="C24" s="27">
        <v>2007</v>
      </c>
      <c r="D24" s="29" t="s">
        <v>7</v>
      </c>
      <c r="E24" s="29"/>
      <c r="F24" s="29"/>
      <c r="G24" s="29"/>
      <c r="H24" s="29" t="s">
        <v>71</v>
      </c>
      <c r="I24" s="27"/>
    </row>
    <row r="25" spans="1:9" x14ac:dyDescent="0.2">
      <c r="A25" s="27" t="s">
        <v>2</v>
      </c>
      <c r="B25" s="27" t="s">
        <v>19</v>
      </c>
      <c r="C25" s="27">
        <v>2008</v>
      </c>
      <c r="D25" s="29" t="s">
        <v>7</v>
      </c>
      <c r="E25" s="29"/>
      <c r="F25" s="29"/>
      <c r="G25" s="29"/>
      <c r="H25" s="29" t="s">
        <v>71</v>
      </c>
      <c r="I25" s="27"/>
    </row>
    <row r="26" spans="1:9" x14ac:dyDescent="0.2">
      <c r="A26" s="27" t="s">
        <v>2</v>
      </c>
      <c r="B26" s="27" t="s">
        <v>19</v>
      </c>
      <c r="C26" s="27">
        <v>2009</v>
      </c>
      <c r="D26" s="29" t="s">
        <v>7</v>
      </c>
      <c r="E26" s="29"/>
      <c r="F26" s="29"/>
      <c r="G26" s="29"/>
      <c r="H26" s="29" t="s">
        <v>71</v>
      </c>
      <c r="I26" s="27"/>
    </row>
    <row r="27" spans="1:9" x14ac:dyDescent="0.2">
      <c r="A27" s="27" t="s">
        <v>2</v>
      </c>
      <c r="B27" s="27" t="s">
        <v>19</v>
      </c>
      <c r="C27" s="27">
        <v>2010</v>
      </c>
      <c r="D27" s="29" t="s">
        <v>7</v>
      </c>
      <c r="E27" s="29"/>
      <c r="F27" s="29"/>
      <c r="G27" s="29"/>
      <c r="H27" s="29" t="s">
        <v>71</v>
      </c>
      <c r="I27" s="27"/>
    </row>
    <row r="28" spans="1:9" x14ac:dyDescent="0.2">
      <c r="A28" s="27" t="s">
        <v>2</v>
      </c>
      <c r="B28" s="27" t="s">
        <v>19</v>
      </c>
      <c r="C28" s="27">
        <v>2011</v>
      </c>
      <c r="D28" s="29" t="s">
        <v>7</v>
      </c>
      <c r="E28" s="29"/>
      <c r="F28" s="29"/>
      <c r="G28" s="29"/>
      <c r="H28" s="29" t="s">
        <v>71</v>
      </c>
      <c r="I28" s="27"/>
    </row>
    <row r="29" spans="1:9" x14ac:dyDescent="0.2">
      <c r="A29" s="27" t="s">
        <v>2</v>
      </c>
      <c r="B29" s="27" t="s">
        <v>19</v>
      </c>
      <c r="C29" s="27">
        <v>2012</v>
      </c>
      <c r="D29" s="29" t="s">
        <v>7</v>
      </c>
      <c r="E29" s="29"/>
      <c r="F29" s="29"/>
      <c r="G29" s="29"/>
      <c r="H29" s="29" t="s">
        <v>71</v>
      </c>
      <c r="I29" s="27"/>
    </row>
    <row r="30" spans="1:9" x14ac:dyDescent="0.2">
      <c r="A30" s="27" t="s">
        <v>2</v>
      </c>
      <c r="B30" s="27" t="s">
        <v>19</v>
      </c>
      <c r="C30" s="27">
        <v>2013</v>
      </c>
      <c r="D30" s="29" t="s">
        <v>7</v>
      </c>
      <c r="E30" s="29"/>
      <c r="F30" s="29"/>
      <c r="G30" s="29"/>
      <c r="H30" s="29" t="s">
        <v>71</v>
      </c>
      <c r="I30" s="27"/>
    </row>
    <row r="31" spans="1:9" x14ac:dyDescent="0.2">
      <c r="A31" s="27" t="s">
        <v>2</v>
      </c>
      <c r="B31" s="27" t="s">
        <v>19</v>
      </c>
      <c r="C31" s="27">
        <v>2014</v>
      </c>
      <c r="D31" s="29" t="s">
        <v>7</v>
      </c>
      <c r="E31" s="29"/>
      <c r="F31" s="29"/>
      <c r="G31" s="29"/>
      <c r="H31" s="29" t="s">
        <v>71</v>
      </c>
      <c r="I31" s="27"/>
    </row>
    <row r="32" spans="1:9" x14ac:dyDescent="0.2">
      <c r="A32" s="27" t="s">
        <v>2</v>
      </c>
      <c r="B32" s="27" t="s">
        <v>19</v>
      </c>
      <c r="C32" s="27">
        <v>2015</v>
      </c>
      <c r="D32" s="36">
        <f t="shared" ref="D32" si="2">E32+E12</f>
        <v>8.2000000000000003E-2</v>
      </c>
      <c r="E32" s="29">
        <v>8.2000000000000003E-2</v>
      </c>
      <c r="F32" s="29"/>
      <c r="G32" s="29"/>
      <c r="H32" s="29" t="s">
        <v>71</v>
      </c>
      <c r="I32" s="27"/>
    </row>
    <row r="33" spans="1:9" x14ac:dyDescent="0.2">
      <c r="A33" s="28" t="s">
        <v>2</v>
      </c>
      <c r="B33" s="28" t="s">
        <v>19</v>
      </c>
      <c r="C33" s="28">
        <v>2016</v>
      </c>
      <c r="D33" s="35"/>
      <c r="E33" s="31"/>
      <c r="F33" s="31"/>
      <c r="G33" s="31"/>
      <c r="H33" s="29" t="s">
        <v>71</v>
      </c>
      <c r="I33" s="28"/>
    </row>
    <row r="34" spans="1:9" x14ac:dyDescent="0.2">
      <c r="A34" s="28" t="s">
        <v>2</v>
      </c>
      <c r="B34" s="28" t="s">
        <v>19</v>
      </c>
      <c r="C34" s="28">
        <v>2017</v>
      </c>
      <c r="D34" s="31"/>
      <c r="E34" s="31"/>
      <c r="F34" s="31"/>
      <c r="G34" s="31"/>
      <c r="H34" s="29" t="s">
        <v>71</v>
      </c>
      <c r="I34" s="28"/>
    </row>
    <row r="35" spans="1:9" x14ac:dyDescent="0.2">
      <c r="A35" s="28" t="s">
        <v>2</v>
      </c>
      <c r="B35" s="28" t="s">
        <v>19</v>
      </c>
      <c r="C35" s="28">
        <v>2018</v>
      </c>
      <c r="D35" s="31"/>
      <c r="E35" s="31"/>
      <c r="F35" s="31"/>
      <c r="G35" s="31"/>
      <c r="H35" s="29" t="s">
        <v>71</v>
      </c>
      <c r="I35" s="28"/>
    </row>
    <row r="36" spans="1:9" x14ac:dyDescent="0.2">
      <c r="A36" s="28" t="s">
        <v>2</v>
      </c>
      <c r="B36" s="28" t="s">
        <v>19</v>
      </c>
      <c r="C36" s="28">
        <v>2019</v>
      </c>
      <c r="D36" s="31"/>
      <c r="E36" s="31"/>
      <c r="F36" s="31"/>
      <c r="G36" s="31"/>
      <c r="H36" s="29" t="s">
        <v>71</v>
      </c>
      <c r="I36" s="28"/>
    </row>
    <row r="37" spans="1:9" x14ac:dyDescent="0.2">
      <c r="A37" s="28" t="s">
        <v>2</v>
      </c>
      <c r="B37" s="28" t="s">
        <v>19</v>
      </c>
      <c r="C37" s="28">
        <v>2020</v>
      </c>
      <c r="D37" s="31"/>
      <c r="E37" s="31"/>
      <c r="F37" s="31"/>
      <c r="G37" s="31"/>
      <c r="H37" s="29" t="s">
        <v>71</v>
      </c>
      <c r="I37" s="28"/>
    </row>
    <row r="38" spans="1:9" x14ac:dyDescent="0.2">
      <c r="A38" s="27" t="s">
        <v>2</v>
      </c>
      <c r="B38" s="27" t="s">
        <v>19</v>
      </c>
      <c r="C38" s="27">
        <v>2021</v>
      </c>
      <c r="D38" s="36">
        <f>E38+E18</f>
        <v>0.26883999999999997</v>
      </c>
      <c r="E38" s="29">
        <v>8.6999999999999994E-2</v>
      </c>
      <c r="F38" s="29"/>
      <c r="G38" s="29"/>
      <c r="H38" s="29" t="s">
        <v>71</v>
      </c>
      <c r="I38" s="27"/>
    </row>
    <row r="39" spans="1:9" x14ac:dyDescent="0.2">
      <c r="A39" s="27" t="s">
        <v>2</v>
      </c>
      <c r="B39" s="27" t="s">
        <v>19</v>
      </c>
      <c r="C39" s="27">
        <v>2022</v>
      </c>
      <c r="D39" s="36">
        <f>E39+E19</f>
        <v>0.30582000000000009</v>
      </c>
      <c r="E39" s="29">
        <v>0.09</v>
      </c>
      <c r="F39" s="29"/>
      <c r="G39" s="29"/>
      <c r="H39" s="29" t="s">
        <v>71</v>
      </c>
      <c r="I39" s="27"/>
    </row>
    <row r="40" spans="1:9" x14ac:dyDescent="0.2">
      <c r="A40" s="27" t="s">
        <v>2</v>
      </c>
      <c r="B40" s="27" t="s">
        <v>19</v>
      </c>
      <c r="C40" s="27">
        <v>2023</v>
      </c>
      <c r="D40" s="36">
        <f>E40+E20</f>
        <v>0.32123999999999997</v>
      </c>
      <c r="E40" s="29">
        <v>0.14899999999999999</v>
      </c>
      <c r="F40" s="29"/>
      <c r="G40" s="29"/>
      <c r="H40" s="29" t="s">
        <v>71</v>
      </c>
      <c r="I40" s="27"/>
    </row>
    <row r="41" spans="1:9" x14ac:dyDescent="0.2">
      <c r="A41" s="27" t="s">
        <v>2</v>
      </c>
      <c r="B41" s="27" t="s">
        <v>19</v>
      </c>
      <c r="C41" s="27">
        <v>2024</v>
      </c>
      <c r="D41" s="36">
        <f>E41+E21</f>
        <v>0.40327999999999997</v>
      </c>
      <c r="E41" s="29">
        <v>0.14899999999999999</v>
      </c>
      <c r="F41" s="29"/>
      <c r="G41" s="29"/>
      <c r="H41" s="29" t="s">
        <v>71</v>
      </c>
      <c r="I41" s="27"/>
    </row>
    <row r="42" spans="1:9" s="1" customFormat="1" x14ac:dyDescent="0.2">
      <c r="A42" s="27" t="s">
        <v>3</v>
      </c>
      <c r="B42" s="27" t="s">
        <v>18</v>
      </c>
      <c r="C42" s="27">
        <v>2005</v>
      </c>
      <c r="D42" s="36"/>
      <c r="E42" s="36"/>
      <c r="F42" s="36"/>
      <c r="G42" s="36"/>
      <c r="H42" s="36" t="s">
        <v>72</v>
      </c>
      <c r="I42" s="27"/>
    </row>
    <row r="43" spans="1:9" x14ac:dyDescent="0.2">
      <c r="A43" s="27" t="s">
        <v>3</v>
      </c>
      <c r="B43" s="27" t="s">
        <v>18</v>
      </c>
      <c r="C43" s="27">
        <v>2006</v>
      </c>
      <c r="D43" s="36"/>
      <c r="E43" s="36"/>
      <c r="F43" s="36"/>
      <c r="G43" s="36"/>
      <c r="H43" s="36" t="s">
        <v>72</v>
      </c>
      <c r="I43" s="27"/>
    </row>
    <row r="44" spans="1:9" x14ac:dyDescent="0.2">
      <c r="A44" s="27" t="s">
        <v>3</v>
      </c>
      <c r="B44" s="27" t="s">
        <v>18</v>
      </c>
      <c r="C44" s="27">
        <v>2007</v>
      </c>
      <c r="D44" s="36"/>
      <c r="E44" s="36"/>
      <c r="F44" s="36"/>
      <c r="G44" s="36"/>
      <c r="H44" s="36" t="s">
        <v>72</v>
      </c>
      <c r="I44" s="27"/>
    </row>
    <row r="45" spans="1:9" x14ac:dyDescent="0.2">
      <c r="A45" s="27" t="s">
        <v>3</v>
      </c>
      <c r="B45" s="27" t="s">
        <v>18</v>
      </c>
      <c r="C45" s="27">
        <v>2008</v>
      </c>
      <c r="D45" s="36"/>
      <c r="E45" s="36"/>
      <c r="F45" s="36"/>
      <c r="G45" s="36"/>
      <c r="H45" s="36" t="s">
        <v>72</v>
      </c>
      <c r="I45" s="27"/>
    </row>
    <row r="46" spans="1:9" x14ac:dyDescent="0.2">
      <c r="A46" s="27" t="s">
        <v>3</v>
      </c>
      <c r="B46" s="27" t="s">
        <v>18</v>
      </c>
      <c r="C46" s="27">
        <v>2009</v>
      </c>
      <c r="D46" s="36"/>
      <c r="E46" s="36"/>
      <c r="F46" s="36"/>
      <c r="G46" s="36"/>
      <c r="H46" s="36" t="s">
        <v>72</v>
      </c>
      <c r="I46" s="27"/>
    </row>
    <row r="47" spans="1:9" x14ac:dyDescent="0.2">
      <c r="A47" s="28" t="s">
        <v>3</v>
      </c>
      <c r="B47" s="28" t="s">
        <v>18</v>
      </c>
      <c r="C47" s="28">
        <v>2010</v>
      </c>
      <c r="D47" s="31"/>
      <c r="E47" s="31"/>
      <c r="F47" s="31"/>
      <c r="G47" s="31"/>
      <c r="H47" s="36" t="s">
        <v>72</v>
      </c>
      <c r="I47" s="28"/>
    </row>
    <row r="48" spans="1:9" x14ac:dyDescent="0.2">
      <c r="A48" s="28" t="s">
        <v>3</v>
      </c>
      <c r="B48" s="28" t="s">
        <v>18</v>
      </c>
      <c r="C48" s="28">
        <v>2011</v>
      </c>
      <c r="D48" s="31"/>
      <c r="E48" s="31"/>
      <c r="F48" s="31"/>
      <c r="G48" s="31"/>
      <c r="H48" s="36" t="s">
        <v>72</v>
      </c>
      <c r="I48" s="28"/>
    </row>
    <row r="49" spans="1:9" x14ac:dyDescent="0.2">
      <c r="A49" s="28" t="s">
        <v>3</v>
      </c>
      <c r="B49" s="28" t="s">
        <v>18</v>
      </c>
      <c r="C49" s="28">
        <v>2012</v>
      </c>
      <c r="D49" s="31"/>
      <c r="E49" s="31"/>
      <c r="F49" s="31"/>
      <c r="G49" s="31"/>
      <c r="H49" s="36" t="s">
        <v>72</v>
      </c>
      <c r="I49" s="28"/>
    </row>
    <row r="50" spans="1:9" x14ac:dyDescent="0.2">
      <c r="A50" s="27" t="s">
        <v>3</v>
      </c>
      <c r="B50" s="27" t="s">
        <v>18</v>
      </c>
      <c r="C50" s="27">
        <v>2013</v>
      </c>
      <c r="D50" s="29">
        <f>0.04275+0.08671-0.00097</f>
        <v>0.12848999999999999</v>
      </c>
      <c r="E50" s="29">
        <v>4.2750000000000003E-2</v>
      </c>
      <c r="F50" s="29">
        <f>30*0.03</f>
        <v>0.89999999999999991</v>
      </c>
      <c r="G50" s="29">
        <f>30*0.059</f>
        <v>1.77</v>
      </c>
      <c r="H50" s="36" t="s">
        <v>72</v>
      </c>
      <c r="I50" s="27" t="s">
        <v>12</v>
      </c>
    </row>
    <row r="51" spans="1:9" x14ac:dyDescent="0.2">
      <c r="A51" s="27" t="s">
        <v>3</v>
      </c>
      <c r="B51" s="27" t="s">
        <v>18</v>
      </c>
      <c r="C51" s="27">
        <v>2014</v>
      </c>
      <c r="D51" s="29">
        <f>0.04678+0.08592-0.00037</f>
        <v>0.13232999999999998</v>
      </c>
      <c r="E51" s="29">
        <v>4.6780000000000002E-2</v>
      </c>
      <c r="F51" s="29">
        <f t="shared" ref="F51:F61" si="3">30*0.031</f>
        <v>0.92999999999999994</v>
      </c>
      <c r="G51" s="29">
        <f>30*0.059</f>
        <v>1.77</v>
      </c>
      <c r="H51" s="36" t="s">
        <v>72</v>
      </c>
      <c r="I51" s="27" t="s">
        <v>12</v>
      </c>
    </row>
    <row r="52" spans="1:9" x14ac:dyDescent="0.2">
      <c r="A52" s="27" t="s">
        <v>3</v>
      </c>
      <c r="B52" s="27" t="s">
        <v>18</v>
      </c>
      <c r="C52" s="27">
        <v>2015</v>
      </c>
      <c r="D52" s="29">
        <f>0.0586+0.09162-0.00172</f>
        <v>0.14849999999999999</v>
      </c>
      <c r="E52" s="29">
        <v>5.8599999999999999E-2</v>
      </c>
      <c r="F52" s="29">
        <f t="shared" si="3"/>
        <v>0.92999999999999994</v>
      </c>
      <c r="G52" s="29">
        <f>30*0.059</f>
        <v>1.77</v>
      </c>
      <c r="H52" s="36" t="s">
        <v>72</v>
      </c>
      <c r="I52" s="27" t="s">
        <v>12</v>
      </c>
    </row>
    <row r="53" spans="1:9" x14ac:dyDescent="0.2">
      <c r="A53" s="27" t="s">
        <v>3</v>
      </c>
      <c r="B53" s="27" t="s">
        <v>18</v>
      </c>
      <c r="C53" s="27">
        <v>2016</v>
      </c>
      <c r="D53" s="29">
        <f>0.08221+0.06909-0.00022</f>
        <v>0.15107999999999999</v>
      </c>
      <c r="E53" s="29">
        <v>8.2210000000000005E-2</v>
      </c>
      <c r="F53" s="29">
        <f t="shared" si="3"/>
        <v>0.92999999999999994</v>
      </c>
      <c r="G53" s="29">
        <f>30*0.329</f>
        <v>9.870000000000001</v>
      </c>
      <c r="H53" s="36" t="s">
        <v>72</v>
      </c>
      <c r="I53" s="27" t="s">
        <v>12</v>
      </c>
    </row>
    <row r="54" spans="1:9" x14ac:dyDescent="0.2">
      <c r="A54" s="27" t="s">
        <v>3</v>
      </c>
      <c r="B54" s="27" t="s">
        <v>18</v>
      </c>
      <c r="C54" s="27">
        <v>2017</v>
      </c>
      <c r="D54" s="29">
        <f>0.0884+0.07477</f>
        <v>0.16317000000000001</v>
      </c>
      <c r="E54" s="29">
        <v>8.8400000000000006E-2</v>
      </c>
      <c r="F54" s="29">
        <f t="shared" si="3"/>
        <v>0.92999999999999994</v>
      </c>
      <c r="G54" s="29">
        <f>30*0.329</f>
        <v>9.870000000000001</v>
      </c>
      <c r="H54" s="36" t="s">
        <v>72</v>
      </c>
      <c r="I54" s="27" t="s">
        <v>12</v>
      </c>
    </row>
    <row r="55" spans="1:9" x14ac:dyDescent="0.2">
      <c r="A55" s="27" t="s">
        <v>3</v>
      </c>
      <c r="B55" s="27" t="s">
        <v>18</v>
      </c>
      <c r="C55" s="27">
        <v>2018</v>
      </c>
      <c r="D55" s="29">
        <f>0.08875+0.08589</f>
        <v>0.17463999999999999</v>
      </c>
      <c r="E55" s="29">
        <v>8.8749999999999996E-2</v>
      </c>
      <c r="F55" s="29">
        <f t="shared" si="3"/>
        <v>0.92999999999999994</v>
      </c>
      <c r="G55" s="29">
        <f>30*0.338</f>
        <v>10.14</v>
      </c>
      <c r="H55" s="36" t="s">
        <v>72</v>
      </c>
      <c r="I55" s="27" t="s">
        <v>12</v>
      </c>
    </row>
    <row r="56" spans="1:9" x14ac:dyDescent="0.2">
      <c r="A56" s="27" t="s">
        <v>3</v>
      </c>
      <c r="B56" s="27" t="s">
        <v>18</v>
      </c>
      <c r="C56" s="27">
        <v>2019</v>
      </c>
      <c r="D56" s="29">
        <f>0.09461+0.0847-0.00007</f>
        <v>0.17924000000000001</v>
      </c>
      <c r="E56" s="29">
        <f>0.09461+0.01491</f>
        <v>0.10952000000000001</v>
      </c>
      <c r="F56" s="29">
        <f t="shared" si="3"/>
        <v>0.92999999999999994</v>
      </c>
      <c r="G56" s="29">
        <f t="shared" ref="G56:G61" si="4">30*0.346</f>
        <v>10.379999999999999</v>
      </c>
      <c r="H56" s="36" t="s">
        <v>72</v>
      </c>
      <c r="I56" s="27" t="s">
        <v>12</v>
      </c>
    </row>
    <row r="57" spans="1:9" x14ac:dyDescent="0.2">
      <c r="A57" s="27" t="s">
        <v>3</v>
      </c>
      <c r="B57" s="27" t="s">
        <v>18</v>
      </c>
      <c r="C57" s="27">
        <v>2020</v>
      </c>
      <c r="D57" s="29">
        <f>0.09513+0.09756</f>
        <v>0.19269</v>
      </c>
      <c r="E57" s="29">
        <f>0.09513+0.01159</f>
        <v>0.10672000000000001</v>
      </c>
      <c r="F57" s="29">
        <f t="shared" si="3"/>
        <v>0.92999999999999994</v>
      </c>
      <c r="G57" s="29">
        <f t="shared" si="4"/>
        <v>10.379999999999999</v>
      </c>
      <c r="H57" s="36" t="s">
        <v>72</v>
      </c>
      <c r="I57" s="27" t="s">
        <v>12</v>
      </c>
    </row>
    <row r="58" spans="1:9" x14ac:dyDescent="0.2">
      <c r="A58" s="27" t="s">
        <v>3</v>
      </c>
      <c r="B58" s="27" t="s">
        <v>18</v>
      </c>
      <c r="C58" s="27">
        <v>2021</v>
      </c>
      <c r="D58" s="29">
        <f>0.13675+0.09545</f>
        <v>0.23220000000000002</v>
      </c>
      <c r="E58" s="29">
        <f>0.13675+0.02929</f>
        <v>0.16604000000000002</v>
      </c>
      <c r="F58" s="29">
        <f t="shared" si="3"/>
        <v>0.92999999999999994</v>
      </c>
      <c r="G58" s="29">
        <f t="shared" si="4"/>
        <v>10.379999999999999</v>
      </c>
      <c r="H58" s="36" t="s">
        <v>72</v>
      </c>
      <c r="I58" s="27" t="s">
        <v>13</v>
      </c>
    </row>
    <row r="59" spans="1:9" x14ac:dyDescent="0.2">
      <c r="A59" s="27" t="s">
        <v>3</v>
      </c>
      <c r="B59" s="27" t="s">
        <v>18</v>
      </c>
      <c r="C59" s="27">
        <v>2022</v>
      </c>
      <c r="D59" s="29">
        <f>0.16853+0.09527</f>
        <v>0.26380000000000003</v>
      </c>
      <c r="E59" s="29">
        <f>0.16853+0.02933</f>
        <v>0.19786000000000001</v>
      </c>
      <c r="F59" s="29">
        <f t="shared" si="3"/>
        <v>0.92999999999999994</v>
      </c>
      <c r="G59" s="29">
        <f t="shared" si="4"/>
        <v>10.379999999999999</v>
      </c>
      <c r="H59" s="36" t="s">
        <v>72</v>
      </c>
      <c r="I59" s="27" t="s">
        <v>12</v>
      </c>
    </row>
    <row r="60" spans="1:9" x14ac:dyDescent="0.2">
      <c r="A60" s="27" t="s">
        <v>3</v>
      </c>
      <c r="B60" s="27" t="s">
        <v>18</v>
      </c>
      <c r="C60" s="27">
        <v>2023</v>
      </c>
      <c r="D60" s="29">
        <f>0.15697+0.1544+0.0009</f>
        <v>0.31227000000000005</v>
      </c>
      <c r="E60" s="29">
        <f>0.15697-0.00681</f>
        <v>0.15015999999999999</v>
      </c>
      <c r="F60" s="29">
        <f t="shared" si="3"/>
        <v>0.92999999999999994</v>
      </c>
      <c r="G60" s="29">
        <f t="shared" si="4"/>
        <v>10.379999999999999</v>
      </c>
      <c r="H60" s="36" t="s">
        <v>72</v>
      </c>
      <c r="I60" s="27" t="s">
        <v>12</v>
      </c>
    </row>
    <row r="61" spans="1:9" x14ac:dyDescent="0.2">
      <c r="A61" s="27" t="s">
        <v>3</v>
      </c>
      <c r="B61" s="27" t="s">
        <v>18</v>
      </c>
      <c r="C61" s="27">
        <v>2024</v>
      </c>
      <c r="D61" s="29">
        <f>0.18657+0.14901+0.00188</f>
        <v>0.33745999999999998</v>
      </c>
      <c r="E61" s="29">
        <f>0.18657-0.01332</f>
        <v>0.17325000000000002</v>
      </c>
      <c r="F61" s="29">
        <f t="shared" si="3"/>
        <v>0.92999999999999994</v>
      </c>
      <c r="G61" s="29">
        <f t="shared" si="4"/>
        <v>10.379999999999999</v>
      </c>
      <c r="H61" s="36" t="s">
        <v>72</v>
      </c>
      <c r="I61" s="27" t="s">
        <v>12</v>
      </c>
    </row>
    <row r="62" spans="1:9" s="1" customFormat="1" x14ac:dyDescent="0.2">
      <c r="A62" s="27" t="s">
        <v>8</v>
      </c>
      <c r="B62" s="27" t="s">
        <v>19</v>
      </c>
      <c r="C62" s="27">
        <v>2005</v>
      </c>
      <c r="D62" s="29" t="s">
        <v>7</v>
      </c>
      <c r="E62" s="29"/>
      <c r="F62" s="29"/>
      <c r="G62" s="29"/>
      <c r="H62" s="36" t="s">
        <v>72</v>
      </c>
      <c r="I62" s="27"/>
    </row>
    <row r="63" spans="1:9" x14ac:dyDescent="0.2">
      <c r="A63" s="27" t="s">
        <v>8</v>
      </c>
      <c r="B63" s="27" t="s">
        <v>19</v>
      </c>
      <c r="C63" s="27">
        <v>2006</v>
      </c>
      <c r="D63" s="29" t="s">
        <v>7</v>
      </c>
      <c r="E63" s="29"/>
      <c r="F63" s="29"/>
      <c r="G63" s="29"/>
      <c r="H63" s="36" t="s">
        <v>72</v>
      </c>
      <c r="I63" s="27"/>
    </row>
    <row r="64" spans="1:9" x14ac:dyDescent="0.2">
      <c r="A64" s="27" t="s">
        <v>8</v>
      </c>
      <c r="B64" s="27" t="s">
        <v>19</v>
      </c>
      <c r="C64" s="27">
        <v>2007</v>
      </c>
      <c r="D64" s="29" t="s">
        <v>7</v>
      </c>
      <c r="E64" s="29"/>
      <c r="F64" s="29"/>
      <c r="G64" s="29"/>
      <c r="H64" s="36" t="s">
        <v>72</v>
      </c>
      <c r="I64" s="27"/>
    </row>
    <row r="65" spans="1:9" x14ac:dyDescent="0.2">
      <c r="A65" s="27" t="s">
        <v>8</v>
      </c>
      <c r="B65" s="27" t="s">
        <v>19</v>
      </c>
      <c r="C65" s="27">
        <v>2008</v>
      </c>
      <c r="D65" s="29" t="s">
        <v>7</v>
      </c>
      <c r="E65" s="29"/>
      <c r="F65" s="29"/>
      <c r="G65" s="29"/>
      <c r="H65" s="36" t="s">
        <v>72</v>
      </c>
      <c r="I65" s="27"/>
    </row>
    <row r="66" spans="1:9" x14ac:dyDescent="0.2">
      <c r="A66" s="27" t="s">
        <v>8</v>
      </c>
      <c r="B66" s="27" t="s">
        <v>19</v>
      </c>
      <c r="C66" s="27">
        <v>2009</v>
      </c>
      <c r="D66" s="29" t="s">
        <v>7</v>
      </c>
      <c r="E66" s="29"/>
      <c r="F66" s="29"/>
      <c r="G66" s="29"/>
      <c r="H66" s="36" t="s">
        <v>72</v>
      </c>
      <c r="I66" s="27"/>
    </row>
    <row r="67" spans="1:9" x14ac:dyDescent="0.2">
      <c r="A67" s="27" t="s">
        <v>8</v>
      </c>
      <c r="B67" s="27" t="s">
        <v>19</v>
      </c>
      <c r="C67" s="27">
        <v>2010</v>
      </c>
      <c r="D67" s="29" t="s">
        <v>7</v>
      </c>
      <c r="E67" s="29"/>
      <c r="F67" s="29"/>
      <c r="G67" s="29"/>
      <c r="H67" s="36" t="s">
        <v>72</v>
      </c>
      <c r="I67" s="27"/>
    </row>
    <row r="68" spans="1:9" x14ac:dyDescent="0.2">
      <c r="A68" s="27" t="s">
        <v>8</v>
      </c>
      <c r="B68" s="27" t="s">
        <v>19</v>
      </c>
      <c r="C68" s="27">
        <v>2011</v>
      </c>
      <c r="D68" s="29" t="s">
        <v>7</v>
      </c>
      <c r="E68" s="29"/>
      <c r="F68" s="29"/>
      <c r="G68" s="29"/>
      <c r="H68" s="36" t="s">
        <v>72</v>
      </c>
      <c r="I68" s="27"/>
    </row>
    <row r="69" spans="1:9" x14ac:dyDescent="0.2">
      <c r="A69" s="27" t="s">
        <v>8</v>
      </c>
      <c r="B69" s="27" t="s">
        <v>19</v>
      </c>
      <c r="C69" s="27">
        <v>2012</v>
      </c>
      <c r="D69" s="29" t="s">
        <v>7</v>
      </c>
      <c r="E69" s="29"/>
      <c r="F69" s="29"/>
      <c r="G69" s="29"/>
      <c r="H69" s="36" t="s">
        <v>72</v>
      </c>
      <c r="I69" s="27"/>
    </row>
    <row r="70" spans="1:9" x14ac:dyDescent="0.2">
      <c r="A70" s="27" t="s">
        <v>8</v>
      </c>
      <c r="B70" s="27" t="s">
        <v>19</v>
      </c>
      <c r="C70" s="27">
        <v>2013</v>
      </c>
      <c r="D70" s="29" t="s">
        <v>7</v>
      </c>
      <c r="E70" s="29"/>
      <c r="F70" s="29"/>
      <c r="G70" s="29"/>
      <c r="H70" s="36" t="s">
        <v>72</v>
      </c>
      <c r="I70" s="27"/>
    </row>
    <row r="71" spans="1:9" x14ac:dyDescent="0.2">
      <c r="A71" s="27" t="s">
        <v>8</v>
      </c>
      <c r="B71" s="27" t="s">
        <v>19</v>
      </c>
      <c r="C71" s="27">
        <v>2014</v>
      </c>
      <c r="D71" s="29" t="s">
        <v>7</v>
      </c>
      <c r="E71" s="29"/>
      <c r="F71" s="29"/>
      <c r="G71" s="29"/>
      <c r="H71" s="36" t="s">
        <v>72</v>
      </c>
      <c r="I71" s="27"/>
    </row>
    <row r="72" spans="1:9" x14ac:dyDescent="0.2">
      <c r="A72" s="27" t="s">
        <v>8</v>
      </c>
      <c r="B72" s="27" t="s">
        <v>19</v>
      </c>
      <c r="C72" s="27">
        <v>2015</v>
      </c>
      <c r="D72" s="29" t="s">
        <v>7</v>
      </c>
      <c r="E72" s="29"/>
      <c r="F72" s="29"/>
      <c r="G72" s="29"/>
      <c r="H72" s="36" t="s">
        <v>72</v>
      </c>
      <c r="I72" s="27"/>
    </row>
    <row r="73" spans="1:9" x14ac:dyDescent="0.2">
      <c r="A73" s="27" t="s">
        <v>8</v>
      </c>
      <c r="B73" s="27" t="s">
        <v>19</v>
      </c>
      <c r="C73" s="27">
        <v>2016</v>
      </c>
      <c r="D73" s="29" t="s">
        <v>7</v>
      </c>
      <c r="E73" s="29"/>
      <c r="F73" s="29"/>
      <c r="G73" s="29"/>
      <c r="H73" s="36" t="s">
        <v>72</v>
      </c>
      <c r="I73" s="27"/>
    </row>
    <row r="74" spans="1:9" x14ac:dyDescent="0.2">
      <c r="A74" s="27" t="s">
        <v>8</v>
      </c>
      <c r="B74" s="27" t="s">
        <v>19</v>
      </c>
      <c r="C74" s="27">
        <v>2017</v>
      </c>
      <c r="D74" s="29" t="s">
        <v>7</v>
      </c>
      <c r="E74" s="29"/>
      <c r="F74" s="29"/>
      <c r="G74" s="29"/>
      <c r="H74" s="36" t="s">
        <v>72</v>
      </c>
      <c r="I74" s="27"/>
    </row>
    <row r="75" spans="1:9" x14ac:dyDescent="0.2">
      <c r="A75" s="27" t="s">
        <v>8</v>
      </c>
      <c r="B75" s="27" t="s">
        <v>19</v>
      </c>
      <c r="C75" s="27">
        <v>2018</v>
      </c>
      <c r="D75" s="29" t="s">
        <v>7</v>
      </c>
      <c r="E75" s="29"/>
      <c r="F75" s="29"/>
      <c r="G75" s="29"/>
      <c r="H75" s="36" t="s">
        <v>72</v>
      </c>
      <c r="I75" s="27"/>
    </row>
    <row r="76" spans="1:9" x14ac:dyDescent="0.2">
      <c r="A76" s="27" t="s">
        <v>8</v>
      </c>
      <c r="B76" s="27" t="s">
        <v>19</v>
      </c>
      <c r="C76" s="27">
        <v>2019</v>
      </c>
      <c r="D76" s="36">
        <f>E76+E56</f>
        <v>0.17603000000000002</v>
      </c>
      <c r="E76" s="29">
        <v>6.651E-2</v>
      </c>
      <c r="F76" s="29"/>
      <c r="G76" s="29"/>
      <c r="H76" s="36" t="s">
        <v>72</v>
      </c>
      <c r="I76" s="27" t="s">
        <v>16</v>
      </c>
    </row>
    <row r="77" spans="1:9" x14ac:dyDescent="0.2">
      <c r="A77" s="27" t="s">
        <v>8</v>
      </c>
      <c r="B77" s="27" t="s">
        <v>19</v>
      </c>
      <c r="C77" s="27">
        <v>2020</v>
      </c>
      <c r="D77" s="36">
        <f t="shared" ref="D77:D81" si="5">E77+E57</f>
        <v>0.17361000000000001</v>
      </c>
      <c r="E77" s="29">
        <v>6.6890000000000005E-2</v>
      </c>
      <c r="F77" s="29"/>
      <c r="G77" s="29"/>
      <c r="H77" s="36" t="s">
        <v>72</v>
      </c>
      <c r="I77" s="27" t="s">
        <v>16</v>
      </c>
    </row>
    <row r="78" spans="1:9" x14ac:dyDescent="0.2">
      <c r="A78" s="27" t="s">
        <v>8</v>
      </c>
      <c r="B78" s="27" t="s">
        <v>19</v>
      </c>
      <c r="C78" s="27">
        <v>2021</v>
      </c>
      <c r="D78" s="36">
        <f t="shared" si="5"/>
        <v>0.23596</v>
      </c>
      <c r="E78" s="32">
        <v>6.9919999999999996E-2</v>
      </c>
      <c r="F78" s="32"/>
      <c r="G78" s="32"/>
      <c r="H78" s="36" t="s">
        <v>72</v>
      </c>
      <c r="I78" s="27" t="s">
        <v>16</v>
      </c>
    </row>
    <row r="79" spans="1:9" x14ac:dyDescent="0.2">
      <c r="A79" s="27" t="s">
        <v>8</v>
      </c>
      <c r="B79" s="27" t="s">
        <v>19</v>
      </c>
      <c r="C79" s="27">
        <v>2022</v>
      </c>
      <c r="D79" s="36">
        <f t="shared" si="5"/>
        <v>0.2802</v>
      </c>
      <c r="E79" s="33">
        <v>8.2339999999999997E-2</v>
      </c>
      <c r="F79" s="33"/>
      <c r="G79" s="33"/>
      <c r="H79" s="36" t="s">
        <v>72</v>
      </c>
      <c r="I79" s="27" t="s">
        <v>16</v>
      </c>
    </row>
    <row r="80" spans="1:9" x14ac:dyDescent="0.2">
      <c r="A80" s="27" t="s">
        <v>8</v>
      </c>
      <c r="B80" s="27" t="s">
        <v>19</v>
      </c>
      <c r="C80" s="27">
        <v>2023</v>
      </c>
      <c r="D80" s="36">
        <f t="shared" si="5"/>
        <v>0.25512000000000001</v>
      </c>
      <c r="E80" s="30">
        <v>0.10496</v>
      </c>
      <c r="F80" s="30"/>
      <c r="G80" s="30"/>
      <c r="H80" s="36" t="s">
        <v>72</v>
      </c>
      <c r="I80" s="27" t="s">
        <v>16</v>
      </c>
    </row>
    <row r="81" spans="1:9" x14ac:dyDescent="0.2">
      <c r="A81" s="27" t="s">
        <v>8</v>
      </c>
      <c r="B81" s="27" t="s">
        <v>19</v>
      </c>
      <c r="C81" s="27">
        <v>2024</v>
      </c>
      <c r="D81" s="36">
        <f t="shared" si="5"/>
        <v>0.32418000000000002</v>
      </c>
      <c r="E81" s="29">
        <v>0.15093000000000001</v>
      </c>
      <c r="F81" s="29"/>
      <c r="G81" s="29"/>
      <c r="H81" s="36" t="s">
        <v>72</v>
      </c>
      <c r="I81" s="27" t="s">
        <v>16</v>
      </c>
    </row>
    <row r="82" spans="1:9" x14ac:dyDescent="0.2">
      <c r="A82" s="27" t="s">
        <v>4</v>
      </c>
      <c r="B82" s="27" t="s">
        <v>20</v>
      </c>
      <c r="C82" s="27">
        <v>2010</v>
      </c>
      <c r="D82" s="34">
        <v>0.12557000000000001</v>
      </c>
      <c r="E82" s="29"/>
      <c r="F82" s="31"/>
      <c r="G82" s="34">
        <v>10</v>
      </c>
      <c r="H82" s="34" t="s">
        <v>73</v>
      </c>
      <c r="I82" s="27" t="s">
        <v>24</v>
      </c>
    </row>
    <row r="83" spans="1:9" x14ac:dyDescent="0.2">
      <c r="A83" s="27" t="s">
        <v>4</v>
      </c>
      <c r="B83" s="27" t="s">
        <v>20</v>
      </c>
      <c r="C83" s="27">
        <v>2011</v>
      </c>
      <c r="D83" s="34">
        <v>0.13156999999999999</v>
      </c>
      <c r="E83" s="29"/>
      <c r="F83" s="31"/>
      <c r="G83" s="34">
        <v>10</v>
      </c>
      <c r="H83" s="34" t="s">
        <v>73</v>
      </c>
      <c r="I83" s="27" t="s">
        <v>24</v>
      </c>
    </row>
    <row r="84" spans="1:9" x14ac:dyDescent="0.2">
      <c r="A84" s="27" t="s">
        <v>4</v>
      </c>
      <c r="B84" s="27" t="s">
        <v>20</v>
      </c>
      <c r="C84" s="27">
        <v>2012</v>
      </c>
      <c r="D84" s="34">
        <v>0.13156999999999999</v>
      </c>
      <c r="E84" s="29"/>
      <c r="F84" s="31"/>
      <c r="G84" s="34">
        <v>10</v>
      </c>
      <c r="H84" s="34" t="s">
        <v>73</v>
      </c>
      <c r="I84" s="27" t="s">
        <v>24</v>
      </c>
    </row>
    <row r="85" spans="1:9" x14ac:dyDescent="0.2">
      <c r="A85" s="27" t="s">
        <v>4</v>
      </c>
      <c r="B85" s="27" t="s">
        <v>20</v>
      </c>
      <c r="C85" s="27">
        <v>2013</v>
      </c>
      <c r="D85" s="34">
        <v>0.13561999999999999</v>
      </c>
      <c r="E85" s="29"/>
      <c r="F85" s="31"/>
      <c r="G85" s="34">
        <v>10</v>
      </c>
      <c r="H85" s="34" t="s">
        <v>73</v>
      </c>
      <c r="I85" s="27" t="s">
        <v>24</v>
      </c>
    </row>
    <row r="86" spans="1:9" x14ac:dyDescent="0.2">
      <c r="A86" s="27" t="s">
        <v>4</v>
      </c>
      <c r="B86" s="27" t="s">
        <v>20</v>
      </c>
      <c r="C86" s="27">
        <v>2014</v>
      </c>
      <c r="D86" s="34">
        <v>0.13919999999999999</v>
      </c>
      <c r="E86" s="29"/>
      <c r="F86" s="31"/>
      <c r="G86" s="34">
        <v>10</v>
      </c>
      <c r="H86" s="34" t="s">
        <v>73</v>
      </c>
      <c r="I86" s="27" t="s">
        <v>24</v>
      </c>
    </row>
    <row r="87" spans="1:9" x14ac:dyDescent="0.2">
      <c r="A87" s="27" t="s">
        <v>4</v>
      </c>
      <c r="B87" s="27" t="s">
        <v>20</v>
      </c>
      <c r="C87" s="27">
        <v>2015</v>
      </c>
      <c r="D87" s="34">
        <v>0.14577999999999999</v>
      </c>
      <c r="E87" s="29"/>
      <c r="F87" s="31"/>
      <c r="G87" s="34">
        <v>10</v>
      </c>
      <c r="H87" s="34" t="s">
        <v>73</v>
      </c>
      <c r="I87" s="27" t="s">
        <v>24</v>
      </c>
    </row>
    <row r="88" spans="1:9" x14ac:dyDescent="0.2">
      <c r="A88" s="27" t="s">
        <v>4</v>
      </c>
      <c r="B88" s="27" t="s">
        <v>20</v>
      </c>
      <c r="C88" s="27">
        <v>2016</v>
      </c>
      <c r="D88" s="34">
        <v>0.14273999999999998</v>
      </c>
      <c r="E88" s="29"/>
      <c r="F88" s="31"/>
      <c r="G88" s="34">
        <v>10</v>
      </c>
      <c r="H88" s="34" t="s">
        <v>73</v>
      </c>
      <c r="I88" s="27" t="s">
        <v>24</v>
      </c>
    </row>
    <row r="89" spans="1:9" x14ac:dyDescent="0.2">
      <c r="A89" s="27" t="s">
        <v>4</v>
      </c>
      <c r="B89" s="27" t="s">
        <v>20</v>
      </c>
      <c r="C89" s="27">
        <v>2017</v>
      </c>
      <c r="D89" s="34">
        <v>0.14872000000000002</v>
      </c>
      <c r="E89" s="29"/>
      <c r="F89" s="34">
        <v>0.85</v>
      </c>
      <c r="G89" s="34">
        <v>10</v>
      </c>
      <c r="H89" s="34" t="s">
        <v>73</v>
      </c>
      <c r="I89" s="27" t="s">
        <v>24</v>
      </c>
    </row>
    <row r="90" spans="1:9" x14ac:dyDescent="0.2">
      <c r="A90" s="27" t="s">
        <v>4</v>
      </c>
      <c r="B90" s="27" t="s">
        <v>20</v>
      </c>
      <c r="C90" s="27">
        <v>2018</v>
      </c>
      <c r="D90" s="34">
        <v>0.15498000000000001</v>
      </c>
      <c r="E90" s="29"/>
      <c r="F90" s="34">
        <v>1.3</v>
      </c>
      <c r="G90" s="34">
        <v>10</v>
      </c>
      <c r="H90" s="34" t="s">
        <v>73</v>
      </c>
      <c r="I90" s="27" t="s">
        <v>24</v>
      </c>
    </row>
    <row r="91" spans="1:9" x14ac:dyDescent="0.2">
      <c r="A91" s="27" t="s">
        <v>4</v>
      </c>
      <c r="B91" s="27" t="s">
        <v>20</v>
      </c>
      <c r="C91" s="27">
        <v>2019</v>
      </c>
      <c r="D91" s="34">
        <v>0.16825999999999999</v>
      </c>
      <c r="E91" s="29"/>
      <c r="F91" s="34">
        <v>1.75</v>
      </c>
      <c r="G91" s="34">
        <v>10</v>
      </c>
      <c r="H91" s="34" t="s">
        <v>73</v>
      </c>
      <c r="I91" s="27" t="s">
        <v>24</v>
      </c>
    </row>
    <row r="92" spans="1:9" x14ac:dyDescent="0.2">
      <c r="A92" s="27" t="s">
        <v>4</v>
      </c>
      <c r="B92" s="27" t="s">
        <v>20</v>
      </c>
      <c r="C92" s="27">
        <v>2020</v>
      </c>
      <c r="D92" s="34">
        <v>0.17352000000000001</v>
      </c>
      <c r="E92" s="29"/>
      <c r="F92" s="34">
        <v>2.2999999999999998</v>
      </c>
      <c r="G92" s="34">
        <v>10</v>
      </c>
      <c r="H92" s="34" t="s">
        <v>73</v>
      </c>
      <c r="I92" s="27" t="s">
        <v>24</v>
      </c>
    </row>
    <row r="93" spans="1:9" x14ac:dyDescent="0.2">
      <c r="A93" s="27" t="s">
        <v>4</v>
      </c>
      <c r="B93" s="27" t="s">
        <v>20</v>
      </c>
      <c r="C93" s="27">
        <v>2021</v>
      </c>
      <c r="D93" s="34">
        <v>0.17649999999999999</v>
      </c>
      <c r="E93" s="29"/>
      <c r="F93" s="34">
        <v>2.2999999999999998</v>
      </c>
      <c r="G93" s="34">
        <v>10</v>
      </c>
      <c r="H93" s="34" t="s">
        <v>73</v>
      </c>
      <c r="I93" s="27" t="s">
        <v>24</v>
      </c>
    </row>
    <row r="94" spans="1:9" x14ac:dyDescent="0.2">
      <c r="A94" s="27" t="s">
        <v>4</v>
      </c>
      <c r="B94" s="27" t="s">
        <v>20</v>
      </c>
      <c r="C94" s="27">
        <v>2022</v>
      </c>
      <c r="D94" s="34">
        <v>0.19488</v>
      </c>
      <c r="E94" s="29"/>
      <c r="F94" s="34">
        <v>2.2999999999999998</v>
      </c>
      <c r="G94" s="34">
        <v>10</v>
      </c>
      <c r="H94" s="34" t="s">
        <v>73</v>
      </c>
      <c r="I94" s="27" t="s">
        <v>24</v>
      </c>
    </row>
    <row r="95" spans="1:9" x14ac:dyDescent="0.2">
      <c r="A95" s="27" t="s">
        <v>4</v>
      </c>
      <c r="B95" s="27" t="s">
        <v>20</v>
      </c>
      <c r="C95" s="27">
        <v>2023</v>
      </c>
      <c r="D95" s="34">
        <v>0.18856999999999999</v>
      </c>
      <c r="E95" s="29"/>
      <c r="F95" s="34">
        <v>2.2999999999999998</v>
      </c>
      <c r="G95" s="34">
        <v>10</v>
      </c>
      <c r="H95" s="34" t="s">
        <v>73</v>
      </c>
      <c r="I95" s="27" t="s">
        <v>24</v>
      </c>
    </row>
    <row r="96" spans="1:9" x14ac:dyDescent="0.2">
      <c r="A96" s="27" t="s">
        <v>4</v>
      </c>
      <c r="B96" s="27" t="s">
        <v>20</v>
      </c>
      <c r="C96" s="27">
        <v>2024</v>
      </c>
      <c r="D96" s="34">
        <v>0.20041999999999999</v>
      </c>
      <c r="E96" s="29"/>
      <c r="F96" s="34">
        <v>2.2999999999999998</v>
      </c>
      <c r="G96" s="34">
        <v>10</v>
      </c>
      <c r="H96" s="34" t="s">
        <v>73</v>
      </c>
      <c r="I96" s="27" t="s">
        <v>24</v>
      </c>
    </row>
    <row r="97" spans="1:17" s="1" customFormat="1" x14ac:dyDescent="0.2">
      <c r="A97" s="27" t="s">
        <v>5</v>
      </c>
      <c r="B97" s="27" t="s">
        <v>20</v>
      </c>
      <c r="C97" s="27">
        <v>2005</v>
      </c>
      <c r="D97" s="29">
        <v>7.9799999999999996E-2</v>
      </c>
      <c r="E97" s="29"/>
      <c r="F97" s="36"/>
      <c r="G97" s="29">
        <v>0</v>
      </c>
      <c r="H97" s="29" t="s">
        <v>74</v>
      </c>
      <c r="I97" s="27" t="s">
        <v>11</v>
      </c>
    </row>
    <row r="98" spans="1:17" x14ac:dyDescent="0.2">
      <c r="A98" s="27" t="s">
        <v>5</v>
      </c>
      <c r="B98" s="27" t="s">
        <v>20</v>
      </c>
      <c r="C98" s="27">
        <v>2006</v>
      </c>
      <c r="D98" s="29">
        <v>7.9799999999999996E-2</v>
      </c>
      <c r="E98" s="29"/>
      <c r="F98" s="36"/>
      <c r="G98" s="29">
        <v>0</v>
      </c>
      <c r="H98" s="29" t="s">
        <v>74</v>
      </c>
      <c r="I98" s="27" t="s">
        <v>11</v>
      </c>
    </row>
    <row r="99" spans="1:17" x14ac:dyDescent="0.2">
      <c r="A99" s="27" t="s">
        <v>5</v>
      </c>
      <c r="B99" s="27" t="s">
        <v>20</v>
      </c>
      <c r="C99" s="27">
        <v>2007</v>
      </c>
      <c r="D99" s="29">
        <v>7.9799999999999996E-2</v>
      </c>
      <c r="E99" s="29"/>
      <c r="F99" s="36"/>
      <c r="G99" s="29">
        <v>0</v>
      </c>
      <c r="H99" s="29" t="s">
        <v>74</v>
      </c>
      <c r="I99" s="27" t="s">
        <v>11</v>
      </c>
    </row>
    <row r="100" spans="1:17" x14ac:dyDescent="0.2">
      <c r="A100" s="27" t="s">
        <v>5</v>
      </c>
      <c r="B100" s="27" t="s">
        <v>20</v>
      </c>
      <c r="C100" s="27">
        <v>2008</v>
      </c>
      <c r="D100" s="29">
        <f>0.0861+0.001</f>
        <v>8.7099999999999997E-2</v>
      </c>
      <c r="E100" s="29"/>
      <c r="F100" s="36"/>
      <c r="G100" s="29">
        <v>0</v>
      </c>
      <c r="H100" s="29" t="s">
        <v>74</v>
      </c>
      <c r="I100" s="27" t="s">
        <v>11</v>
      </c>
    </row>
    <row r="101" spans="1:17" x14ac:dyDescent="0.2">
      <c r="A101" s="27" t="s">
        <v>5</v>
      </c>
      <c r="B101" s="27" t="s">
        <v>20</v>
      </c>
      <c r="C101" s="27">
        <v>2009</v>
      </c>
      <c r="D101" s="29">
        <f>0.0886+0.002</f>
        <v>9.06E-2</v>
      </c>
      <c r="E101" s="29"/>
      <c r="F101" s="36"/>
      <c r="G101" s="29">
        <v>0</v>
      </c>
      <c r="H101" s="29" t="s">
        <v>74</v>
      </c>
      <c r="I101" s="27" t="s">
        <v>11</v>
      </c>
    </row>
    <row r="102" spans="1:17" x14ac:dyDescent="0.2">
      <c r="A102" s="27" t="s">
        <v>5</v>
      </c>
      <c r="B102" s="27" t="s">
        <v>20</v>
      </c>
      <c r="C102" s="27">
        <v>2010</v>
      </c>
      <c r="D102" s="29">
        <f>0.0946+0.002</f>
        <v>9.6600000000000005E-2</v>
      </c>
      <c r="E102" s="29"/>
      <c r="F102" s="29">
        <v>7</v>
      </c>
      <c r="G102" s="29">
        <v>0</v>
      </c>
      <c r="H102" s="29" t="s">
        <v>74</v>
      </c>
      <c r="I102" s="27" t="s">
        <v>11</v>
      </c>
    </row>
    <row r="103" spans="1:17" x14ac:dyDescent="0.2">
      <c r="A103" s="27" t="s">
        <v>5</v>
      </c>
      <c r="B103" s="27" t="s">
        <v>20</v>
      </c>
      <c r="C103" s="27">
        <v>2011</v>
      </c>
      <c r="D103" s="29">
        <f>0.0967+0.0009</f>
        <v>9.7599999999999992E-2</v>
      </c>
      <c r="E103" s="29"/>
      <c r="F103" s="29">
        <v>7.2</v>
      </c>
      <c r="G103" s="29">
        <v>0</v>
      </c>
      <c r="H103" s="29" t="s">
        <v>74</v>
      </c>
      <c r="I103" s="27" t="s">
        <v>11</v>
      </c>
    </row>
    <row r="104" spans="1:17" x14ac:dyDescent="0.2">
      <c r="A104" s="27" t="s">
        <v>5</v>
      </c>
      <c r="B104" s="27" t="s">
        <v>20</v>
      </c>
      <c r="C104" s="27">
        <v>2012</v>
      </c>
      <c r="D104" s="29">
        <f>0.0938+0.0009</f>
        <v>9.4699999999999993E-2</v>
      </c>
      <c r="E104" s="29"/>
      <c r="F104" s="29">
        <v>10</v>
      </c>
      <c r="G104" s="29">
        <v>0</v>
      </c>
      <c r="H104" s="29" t="s">
        <v>74</v>
      </c>
      <c r="I104" s="27" t="s">
        <v>11</v>
      </c>
    </row>
    <row r="105" spans="1:17" x14ac:dyDescent="0.2">
      <c r="A105" s="27" t="s">
        <v>5</v>
      </c>
      <c r="B105" s="27" t="s">
        <v>20</v>
      </c>
      <c r="C105" s="27">
        <v>2013</v>
      </c>
      <c r="D105" s="29">
        <f>0.0911+0.0013</f>
        <v>9.2399999999999996E-2</v>
      </c>
      <c r="E105" s="29"/>
      <c r="F105" s="29">
        <v>12</v>
      </c>
      <c r="G105" s="29">
        <v>0</v>
      </c>
      <c r="H105" s="29" t="s">
        <v>74</v>
      </c>
      <c r="I105" s="40" t="s">
        <v>11</v>
      </c>
      <c r="J105" s="49"/>
    </row>
    <row r="106" spans="1:17" x14ac:dyDescent="0.2">
      <c r="A106" s="27" t="s">
        <v>5</v>
      </c>
      <c r="B106" s="27" t="s">
        <v>20</v>
      </c>
      <c r="C106" s="27">
        <v>2014</v>
      </c>
      <c r="D106" s="29">
        <f>0.0955+0.0013</f>
        <v>9.6799999999999997E-2</v>
      </c>
      <c r="E106" s="29"/>
      <c r="F106" s="29">
        <v>14</v>
      </c>
      <c r="G106" s="29">
        <v>0</v>
      </c>
      <c r="H106" s="29" t="s">
        <v>74</v>
      </c>
      <c r="I106" s="40" t="s">
        <v>11</v>
      </c>
      <c r="J106" s="49"/>
    </row>
    <row r="107" spans="1:17" x14ac:dyDescent="0.2">
      <c r="A107" s="27" t="s">
        <v>5</v>
      </c>
      <c r="B107" s="27" t="s">
        <v>20</v>
      </c>
      <c r="C107" s="27">
        <v>2015</v>
      </c>
      <c r="D107" s="29">
        <f>0.0998+0.0015</f>
        <v>0.1013</v>
      </c>
      <c r="E107" s="29"/>
      <c r="F107" s="29">
        <v>16</v>
      </c>
      <c r="G107" s="29">
        <v>0</v>
      </c>
      <c r="H107" s="29" t="s">
        <v>74</v>
      </c>
      <c r="I107" s="40" t="s">
        <v>11</v>
      </c>
      <c r="J107" s="49"/>
    </row>
    <row r="108" spans="1:17" x14ac:dyDescent="0.2">
      <c r="A108" s="27" t="s">
        <v>5</v>
      </c>
      <c r="B108" s="27" t="s">
        <v>20</v>
      </c>
      <c r="C108" s="27">
        <v>2016</v>
      </c>
      <c r="D108" s="29">
        <v>0.10680000000000001</v>
      </c>
      <c r="E108" s="29"/>
      <c r="F108" s="29">
        <v>18</v>
      </c>
      <c r="G108" s="29">
        <v>0</v>
      </c>
      <c r="H108" s="29" t="s">
        <v>74</v>
      </c>
      <c r="I108" s="40" t="s">
        <v>9</v>
      </c>
      <c r="J108" s="49"/>
      <c r="M108" s="41"/>
      <c r="N108" s="42"/>
      <c r="O108" s="42"/>
      <c r="P108" s="42"/>
      <c r="Q108" s="43"/>
    </row>
    <row r="109" spans="1:17" x14ac:dyDescent="0.2">
      <c r="A109" s="27" t="s">
        <v>5</v>
      </c>
      <c r="B109" s="27" t="s">
        <v>20</v>
      </c>
      <c r="C109" s="27">
        <v>2017</v>
      </c>
      <c r="D109" s="29">
        <v>0.1128</v>
      </c>
      <c r="E109" s="29"/>
      <c r="F109" s="29">
        <v>20</v>
      </c>
      <c r="G109" s="29">
        <v>0</v>
      </c>
      <c r="H109" s="29" t="s">
        <v>74</v>
      </c>
      <c r="I109" s="40" t="s">
        <v>9</v>
      </c>
      <c r="J109" s="49"/>
      <c r="M109" s="41"/>
      <c r="N109" s="42"/>
      <c r="O109" s="42"/>
      <c r="P109" s="42"/>
      <c r="Q109" s="43"/>
    </row>
    <row r="110" spans="1:17" x14ac:dyDescent="0.2">
      <c r="A110" s="27" t="s">
        <v>5</v>
      </c>
      <c r="B110" s="27" t="s">
        <v>20</v>
      </c>
      <c r="C110" s="27">
        <v>2018</v>
      </c>
      <c r="D110" s="29">
        <v>0.1032</v>
      </c>
      <c r="E110" s="29"/>
      <c r="F110" s="29">
        <v>20.3</v>
      </c>
      <c r="G110" s="29">
        <v>0</v>
      </c>
      <c r="H110" s="29" t="s">
        <v>74</v>
      </c>
      <c r="I110" s="40" t="s">
        <v>10</v>
      </c>
      <c r="J110" s="49"/>
      <c r="M110" s="41"/>
      <c r="N110" s="42"/>
      <c r="O110" s="42"/>
      <c r="P110" s="42"/>
      <c r="Q110" s="43"/>
    </row>
    <row r="111" spans="1:17" x14ac:dyDescent="0.2">
      <c r="A111" s="27" t="s">
        <v>5</v>
      </c>
      <c r="B111" s="27" t="s">
        <v>20</v>
      </c>
      <c r="C111" s="27">
        <v>2019</v>
      </c>
      <c r="D111" s="29">
        <v>0.1032</v>
      </c>
      <c r="E111" s="29"/>
      <c r="F111" s="29">
        <v>20.3</v>
      </c>
      <c r="G111" s="29">
        <v>0</v>
      </c>
      <c r="H111" s="29" t="s">
        <v>74</v>
      </c>
      <c r="I111" s="40" t="s">
        <v>10</v>
      </c>
      <c r="J111" s="49"/>
      <c r="M111" s="41"/>
      <c r="N111" s="42"/>
      <c r="O111" s="42"/>
      <c r="P111" s="42"/>
      <c r="Q111" s="43"/>
    </row>
    <row r="112" spans="1:17" x14ac:dyDescent="0.2">
      <c r="A112" s="27" t="s">
        <v>5</v>
      </c>
      <c r="B112" s="27" t="s">
        <v>20</v>
      </c>
      <c r="C112" s="27">
        <v>2020</v>
      </c>
      <c r="D112" s="29">
        <v>0.1081</v>
      </c>
      <c r="E112" s="29"/>
      <c r="F112" s="29">
        <v>21.25</v>
      </c>
      <c r="G112" s="29">
        <v>0</v>
      </c>
      <c r="H112" s="29" t="s">
        <v>74</v>
      </c>
      <c r="I112" s="40" t="s">
        <v>62</v>
      </c>
      <c r="J112" s="49"/>
      <c r="M112" s="41"/>
      <c r="N112" s="42"/>
      <c r="O112" s="42"/>
      <c r="P112" s="42"/>
      <c r="Q112" s="44"/>
    </row>
    <row r="113" spans="1:18" x14ac:dyDescent="0.2">
      <c r="A113" s="27" t="s">
        <v>5</v>
      </c>
      <c r="B113" s="27" t="s">
        <v>20</v>
      </c>
      <c r="C113" s="27">
        <v>2021</v>
      </c>
      <c r="D113" s="29">
        <v>0.113</v>
      </c>
      <c r="E113" s="29"/>
      <c r="F113" s="29">
        <v>22.2</v>
      </c>
      <c r="G113" s="29">
        <v>0</v>
      </c>
      <c r="H113" s="29" t="s">
        <v>74</v>
      </c>
      <c r="I113" s="40" t="s">
        <v>62</v>
      </c>
      <c r="J113" s="49"/>
      <c r="M113" s="41"/>
      <c r="N113" s="42"/>
      <c r="O113" s="42"/>
      <c r="P113" s="42"/>
      <c r="Q113" s="43"/>
    </row>
    <row r="114" spans="1:18" x14ac:dyDescent="0.2">
      <c r="A114" s="27" t="s">
        <v>5</v>
      </c>
      <c r="B114" s="27" t="s">
        <v>20</v>
      </c>
      <c r="C114" s="27">
        <v>2022</v>
      </c>
      <c r="D114" s="29">
        <v>0.11700000000000001</v>
      </c>
      <c r="E114" s="29"/>
      <c r="F114" s="29">
        <v>23.05</v>
      </c>
      <c r="G114" s="29">
        <v>0</v>
      </c>
      <c r="H114" s="29" t="s">
        <v>74</v>
      </c>
      <c r="I114" s="40" t="s">
        <v>61</v>
      </c>
      <c r="J114" s="49"/>
      <c r="M114" s="41"/>
      <c r="N114" s="42"/>
      <c r="O114" s="42"/>
      <c r="P114" s="42"/>
      <c r="Q114" s="43"/>
    </row>
    <row r="115" spans="1:18" x14ac:dyDescent="0.2">
      <c r="A115" s="27" t="s">
        <v>5</v>
      </c>
      <c r="B115" s="27" t="s">
        <v>20</v>
      </c>
      <c r="C115" s="27">
        <v>2023</v>
      </c>
      <c r="D115" s="29">
        <v>0.11940000000000001</v>
      </c>
      <c r="E115" s="29"/>
      <c r="F115" s="36">
        <v>23.5</v>
      </c>
      <c r="G115" s="29">
        <v>0</v>
      </c>
      <c r="H115" s="29" t="s">
        <v>74</v>
      </c>
      <c r="I115" s="40" t="s">
        <v>59</v>
      </c>
      <c r="J115" s="49"/>
      <c r="M115" s="41"/>
      <c r="N115" s="42"/>
      <c r="O115" s="42"/>
      <c r="P115" s="42"/>
      <c r="Q115" s="43"/>
    </row>
    <row r="116" spans="1:18" x14ac:dyDescent="0.2">
      <c r="A116" s="27" t="s">
        <v>5</v>
      </c>
      <c r="B116" s="27" t="s">
        <v>20</v>
      </c>
      <c r="C116" s="27">
        <v>2024</v>
      </c>
      <c r="D116" s="29">
        <v>0.1227</v>
      </c>
      <c r="E116" s="29"/>
      <c r="F116" s="29">
        <v>24.15</v>
      </c>
      <c r="G116" s="29">
        <v>0</v>
      </c>
      <c r="H116" s="29" t="s">
        <v>74</v>
      </c>
      <c r="I116" s="40" t="s">
        <v>59</v>
      </c>
      <c r="J116" s="50"/>
      <c r="K116" s="45"/>
      <c r="L116" s="45"/>
      <c r="M116" s="46"/>
      <c r="N116" s="47"/>
      <c r="O116" s="47"/>
      <c r="P116" s="47"/>
      <c r="Q116" s="48"/>
      <c r="R116" s="45"/>
    </row>
    <row r="117" spans="1:18" s="1" customFormat="1" x14ac:dyDescent="0.2">
      <c r="A117" s="27" t="s">
        <v>6</v>
      </c>
      <c r="B117" s="27" t="s">
        <v>18</v>
      </c>
      <c r="C117" s="27">
        <v>2005</v>
      </c>
      <c r="D117" s="36"/>
      <c r="E117" s="36"/>
      <c r="F117" s="36"/>
      <c r="G117" s="36"/>
      <c r="H117" s="27" t="s">
        <v>64</v>
      </c>
      <c r="I117" s="5"/>
      <c r="J117"/>
      <c r="K117"/>
      <c r="L117"/>
      <c r="M117"/>
      <c r="N117"/>
      <c r="O117"/>
      <c r="P117"/>
      <c r="Q117"/>
      <c r="R117"/>
    </row>
    <row r="118" spans="1:18" x14ac:dyDescent="0.2">
      <c r="A118" s="27" t="s">
        <v>6</v>
      </c>
      <c r="B118" s="27" t="s">
        <v>18</v>
      </c>
      <c r="C118" s="27">
        <v>2006</v>
      </c>
      <c r="D118" s="36"/>
      <c r="E118" s="36"/>
      <c r="F118" s="36"/>
      <c r="G118" s="36"/>
      <c r="H118" s="27" t="s">
        <v>64</v>
      </c>
      <c r="I118" s="5"/>
    </row>
    <row r="119" spans="1:18" x14ac:dyDescent="0.2">
      <c r="A119" s="27" t="s">
        <v>6</v>
      </c>
      <c r="B119" s="27" t="s">
        <v>18</v>
      </c>
      <c r="C119" s="27">
        <v>2007</v>
      </c>
      <c r="D119" s="36"/>
      <c r="E119" s="36"/>
      <c r="F119" s="36"/>
      <c r="G119" s="36"/>
      <c r="H119" s="27" t="s">
        <v>64</v>
      </c>
      <c r="I119" s="5"/>
    </row>
    <row r="120" spans="1:18" x14ac:dyDescent="0.2">
      <c r="A120" s="27" t="s">
        <v>6</v>
      </c>
      <c r="B120" s="27" t="s">
        <v>18</v>
      </c>
      <c r="C120" s="27">
        <v>2008</v>
      </c>
      <c r="D120" s="36"/>
      <c r="E120" s="36"/>
      <c r="F120" s="36"/>
      <c r="G120" s="36"/>
      <c r="H120" s="27" t="s">
        <v>64</v>
      </c>
      <c r="I120" s="5"/>
    </row>
    <row r="121" spans="1:18" x14ac:dyDescent="0.2">
      <c r="A121" s="27" t="s">
        <v>6</v>
      </c>
      <c r="B121" s="27" t="s">
        <v>18</v>
      </c>
      <c r="C121" s="27">
        <v>2009</v>
      </c>
      <c r="D121" s="36"/>
      <c r="E121" s="36"/>
      <c r="F121" s="36"/>
      <c r="G121" s="36"/>
      <c r="H121" s="27" t="s">
        <v>64</v>
      </c>
      <c r="I121" s="5"/>
    </row>
    <row r="122" spans="1:18" x14ac:dyDescent="0.2">
      <c r="A122" s="27" t="s">
        <v>6</v>
      </c>
      <c r="B122" s="27" t="s">
        <v>18</v>
      </c>
      <c r="C122" s="27">
        <v>2010</v>
      </c>
      <c r="D122" s="34">
        <v>6.0260000000000001E-2</v>
      </c>
      <c r="E122" s="34"/>
      <c r="F122" s="34">
        <v>0</v>
      </c>
      <c r="G122" s="34">
        <f t="shared" ref="G122:G127" si="6">30*0.17</f>
        <v>5.1000000000000005</v>
      </c>
      <c r="H122" s="27" t="s">
        <v>64</v>
      </c>
      <c r="I122" s="5"/>
    </row>
    <row r="123" spans="1:18" x14ac:dyDescent="0.2">
      <c r="A123" s="27" t="s">
        <v>6</v>
      </c>
      <c r="B123" s="27" t="s">
        <v>18</v>
      </c>
      <c r="C123" s="27">
        <v>2011</v>
      </c>
      <c r="D123" s="34">
        <v>7.3870000000000005E-2</v>
      </c>
      <c r="E123" s="34"/>
      <c r="F123" s="34">
        <v>0</v>
      </c>
      <c r="G123" s="34">
        <f t="shared" si="6"/>
        <v>5.1000000000000005</v>
      </c>
      <c r="H123" s="27" t="s">
        <v>64</v>
      </c>
      <c r="I123" s="5"/>
    </row>
    <row r="124" spans="1:18" x14ac:dyDescent="0.2">
      <c r="A124" s="27" t="s">
        <v>6</v>
      </c>
      <c r="B124" s="27" t="s">
        <v>18</v>
      </c>
      <c r="C124" s="27">
        <v>2012</v>
      </c>
      <c r="D124" s="34">
        <v>8.0329999999999999E-2</v>
      </c>
      <c r="E124" s="34"/>
      <c r="F124" s="34">
        <v>0</v>
      </c>
      <c r="G124" s="34">
        <f t="shared" si="6"/>
        <v>5.1000000000000005</v>
      </c>
      <c r="H124" s="27" t="s">
        <v>64</v>
      </c>
      <c r="I124" s="5"/>
    </row>
    <row r="125" spans="1:18" x14ac:dyDescent="0.2">
      <c r="A125" s="27" t="s">
        <v>6</v>
      </c>
      <c r="B125" s="27" t="s">
        <v>18</v>
      </c>
      <c r="C125" s="27">
        <v>2013</v>
      </c>
      <c r="D125" s="34">
        <v>7.4569999999999997E-2</v>
      </c>
      <c r="E125" s="34"/>
      <c r="F125" s="34">
        <v>0</v>
      </c>
      <c r="G125" s="34">
        <f t="shared" si="6"/>
        <v>5.1000000000000005</v>
      </c>
      <c r="H125" s="27" t="s">
        <v>64</v>
      </c>
      <c r="I125" s="5"/>
    </row>
    <row r="126" spans="1:18" x14ac:dyDescent="0.2">
      <c r="A126" s="27" t="s">
        <v>6</v>
      </c>
      <c r="B126" s="27" t="s">
        <v>18</v>
      </c>
      <c r="C126" s="27">
        <v>2014</v>
      </c>
      <c r="D126" s="34">
        <v>8.1089999999999995E-2</v>
      </c>
      <c r="E126" s="34"/>
      <c r="F126" s="34">
        <v>0</v>
      </c>
      <c r="G126" s="34">
        <f t="shared" si="6"/>
        <v>5.1000000000000005</v>
      </c>
      <c r="H126" s="27" t="s">
        <v>64</v>
      </c>
      <c r="I126" s="5"/>
    </row>
    <row r="127" spans="1:18" x14ac:dyDescent="0.2">
      <c r="A127" s="27" t="s">
        <v>6</v>
      </c>
      <c r="B127" s="27" t="s">
        <v>18</v>
      </c>
      <c r="C127" s="27">
        <v>2015</v>
      </c>
      <c r="D127" s="34">
        <v>0.16844999999999999</v>
      </c>
      <c r="E127" s="34"/>
      <c r="F127" s="34">
        <v>0</v>
      </c>
      <c r="G127" s="34">
        <f t="shared" si="6"/>
        <v>5.1000000000000005</v>
      </c>
      <c r="H127" s="27" t="s">
        <v>64</v>
      </c>
      <c r="I127" s="5"/>
    </row>
    <row r="128" spans="1:18" x14ac:dyDescent="0.2">
      <c r="A128" s="27" t="s">
        <v>6</v>
      </c>
      <c r="B128" s="27" t="s">
        <v>18</v>
      </c>
      <c r="C128" s="27">
        <v>2016</v>
      </c>
      <c r="D128" s="34">
        <v>0.17541999999999999</v>
      </c>
      <c r="E128" s="34"/>
      <c r="F128" s="34">
        <v>0</v>
      </c>
      <c r="G128" s="34">
        <f>30*0.329</f>
        <v>9.870000000000001</v>
      </c>
      <c r="H128" s="27" t="s">
        <v>64</v>
      </c>
      <c r="I128" s="5"/>
    </row>
    <row r="129" spans="1:9" x14ac:dyDescent="0.2">
      <c r="A129" s="27" t="s">
        <v>6</v>
      </c>
      <c r="B129" s="27" t="s">
        <v>18</v>
      </c>
      <c r="C129" s="27">
        <v>2017</v>
      </c>
      <c r="D129" s="34">
        <v>0.18867</v>
      </c>
      <c r="E129" s="34"/>
      <c r="F129" s="34">
        <v>0</v>
      </c>
      <c r="G129" s="34">
        <f>30*0.329</f>
        <v>9.870000000000001</v>
      </c>
      <c r="H129" s="27" t="s">
        <v>64</v>
      </c>
      <c r="I129" s="5"/>
    </row>
    <row r="130" spans="1:9" x14ac:dyDescent="0.2">
      <c r="A130" s="27" t="s">
        <v>6</v>
      </c>
      <c r="B130" s="27" t="s">
        <v>18</v>
      </c>
      <c r="C130" s="27">
        <v>2018</v>
      </c>
      <c r="D130" s="34">
        <v>0.2303</v>
      </c>
      <c r="E130" s="34"/>
      <c r="F130" s="34">
        <v>0</v>
      </c>
      <c r="G130" s="34">
        <f>30*0.329</f>
        <v>9.870000000000001</v>
      </c>
      <c r="H130" s="27" t="s">
        <v>64</v>
      </c>
      <c r="I130" s="5"/>
    </row>
    <row r="131" spans="1:9" x14ac:dyDescent="0.2">
      <c r="A131" s="27" t="s">
        <v>6</v>
      </c>
      <c r="B131" s="27" t="s">
        <v>18</v>
      </c>
      <c r="C131" s="27">
        <v>2019</v>
      </c>
      <c r="D131" s="34">
        <v>0.22378999999999999</v>
      </c>
      <c r="E131" s="34"/>
      <c r="F131" s="34">
        <v>0</v>
      </c>
      <c r="G131" s="34">
        <f>30*0.329</f>
        <v>9.870000000000001</v>
      </c>
      <c r="H131" s="27" t="s">
        <v>64</v>
      </c>
      <c r="I131" s="5"/>
    </row>
    <row r="132" spans="1:9" x14ac:dyDescent="0.2">
      <c r="A132" s="27" t="s">
        <v>6</v>
      </c>
      <c r="B132" s="27" t="s">
        <v>18</v>
      </c>
      <c r="C132" s="27">
        <v>2020</v>
      </c>
      <c r="D132" s="34">
        <v>0.27472999999999997</v>
      </c>
      <c r="E132" s="34"/>
      <c r="F132" s="34">
        <v>0</v>
      </c>
      <c r="G132" s="34">
        <f>30*0.338</f>
        <v>10.14</v>
      </c>
      <c r="H132" s="27" t="s">
        <v>64</v>
      </c>
      <c r="I132" s="5"/>
    </row>
    <row r="133" spans="1:9" x14ac:dyDescent="0.2">
      <c r="A133" s="27" t="s">
        <v>6</v>
      </c>
      <c r="B133" s="27" t="s">
        <v>18</v>
      </c>
      <c r="C133" s="27">
        <v>2021</v>
      </c>
      <c r="D133" s="34">
        <v>0.28237000000000001</v>
      </c>
      <c r="E133" s="34"/>
      <c r="F133" s="34">
        <v>0</v>
      </c>
      <c r="G133" s="34">
        <f>30*0.338</f>
        <v>10.14</v>
      </c>
      <c r="H133" s="27" t="s">
        <v>64</v>
      </c>
      <c r="I133" s="5"/>
    </row>
    <row r="134" spans="1:9" x14ac:dyDescent="0.2">
      <c r="A134" s="27" t="s">
        <v>6</v>
      </c>
      <c r="B134" s="27" t="s">
        <v>18</v>
      </c>
      <c r="C134" s="27">
        <v>2022</v>
      </c>
      <c r="D134" s="34">
        <v>0.39206000000000002</v>
      </c>
      <c r="E134" s="34"/>
      <c r="F134" s="34">
        <v>0</v>
      </c>
      <c r="G134" s="34">
        <f>30*0.35</f>
        <v>10.5</v>
      </c>
      <c r="H134" s="27" t="s">
        <v>64</v>
      </c>
      <c r="I134" s="5"/>
    </row>
    <row r="135" spans="1:9" x14ac:dyDescent="0.2">
      <c r="A135" s="27" t="s">
        <v>6</v>
      </c>
      <c r="B135" s="27" t="s">
        <v>18</v>
      </c>
      <c r="C135" s="27">
        <v>2023</v>
      </c>
      <c r="D135" s="34">
        <v>0.45245000000000002</v>
      </c>
      <c r="E135" s="34"/>
      <c r="F135" s="34">
        <v>0</v>
      </c>
      <c r="G135" s="34">
        <f>30*0.38</f>
        <v>11.4</v>
      </c>
      <c r="H135" s="27" t="s">
        <v>64</v>
      </c>
      <c r="I135" s="5"/>
    </row>
    <row r="136" spans="1:9" x14ac:dyDescent="0.2">
      <c r="A136" s="27" t="s">
        <v>6</v>
      </c>
      <c r="B136" s="27" t="s">
        <v>18</v>
      </c>
      <c r="C136" s="27">
        <v>2024</v>
      </c>
      <c r="D136" s="34">
        <v>0.38385000000000002</v>
      </c>
      <c r="E136" s="34"/>
      <c r="F136" s="34">
        <v>0</v>
      </c>
      <c r="G136" s="34">
        <f>30*0.392</f>
        <v>11.76</v>
      </c>
      <c r="H136" s="27" t="s">
        <v>64</v>
      </c>
      <c r="I136" s="5"/>
    </row>
    <row r="139" spans="1:9" ht="85" x14ac:dyDescent="0.2">
      <c r="A139" s="38" t="s">
        <v>44</v>
      </c>
      <c r="B139" s="37" t="s">
        <v>45</v>
      </c>
      <c r="C139" s="2" t="s">
        <v>53</v>
      </c>
      <c r="D139" s="2" t="s">
        <v>54</v>
      </c>
      <c r="F139" s="2" t="s">
        <v>63</v>
      </c>
    </row>
    <row r="141" spans="1:9" x14ac:dyDescent="0.2">
      <c r="A141" s="3" t="s">
        <v>47</v>
      </c>
      <c r="B141" s="39"/>
      <c r="C141" t="s">
        <v>48</v>
      </c>
    </row>
    <row r="142" spans="1:9" x14ac:dyDescent="0.2">
      <c r="B142" s="4"/>
      <c r="C142" t="s">
        <v>49</v>
      </c>
    </row>
  </sheetData>
  <autoFilter ref="A1:I136" xr:uid="{C765326C-66C9-9B4E-AA2F-2EFB2434479E}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EBFD-B61B-F549-B6C4-33D3AA6702D9}">
  <dimension ref="A1:F81"/>
  <sheetViews>
    <sheetView zoomScale="181" workbookViewId="0">
      <selection activeCell="O5" sqref="O5"/>
    </sheetView>
  </sheetViews>
  <sheetFormatPr baseColWidth="10" defaultRowHeight="16" x14ac:dyDescent="0.2"/>
  <cols>
    <col min="3" max="3" width="14.5" customWidth="1"/>
    <col min="5" max="5" width="6.83203125" customWidth="1"/>
  </cols>
  <sheetData>
    <row r="1" spans="1:6" ht="42" x14ac:dyDescent="0.2">
      <c r="A1" s="18" t="s">
        <v>0</v>
      </c>
      <c r="B1" s="18" t="s">
        <v>39</v>
      </c>
      <c r="C1" s="17" t="s">
        <v>43</v>
      </c>
      <c r="D1" s="17" t="s">
        <v>42</v>
      </c>
      <c r="E1" s="17" t="s">
        <v>21</v>
      </c>
      <c r="F1" s="17" t="s">
        <v>34</v>
      </c>
    </row>
    <row r="2" spans="1:6" x14ac:dyDescent="0.2">
      <c r="A2" s="19" t="s">
        <v>1</v>
      </c>
      <c r="B2" s="19">
        <v>2010</v>
      </c>
      <c r="C2" s="20">
        <v>0.14543</v>
      </c>
      <c r="D2" s="20">
        <v>0.29569000000000001</v>
      </c>
      <c r="E2" s="19" t="s">
        <v>22</v>
      </c>
      <c r="F2" s="19" t="s">
        <v>60</v>
      </c>
    </row>
    <row r="3" spans="1:6" x14ac:dyDescent="0.2">
      <c r="A3" s="19" t="s">
        <v>1</v>
      </c>
      <c r="B3" s="19">
        <v>2011</v>
      </c>
      <c r="C3" s="20">
        <v>0.14574000000000001</v>
      </c>
      <c r="D3" s="20">
        <v>0.29569000000000001</v>
      </c>
      <c r="E3" s="19" t="s">
        <v>22</v>
      </c>
      <c r="F3" s="19" t="s">
        <v>60</v>
      </c>
    </row>
    <row r="4" spans="1:6" x14ac:dyDescent="0.2">
      <c r="A4" s="19" t="s">
        <v>1</v>
      </c>
      <c r="B4" s="19">
        <v>2012</v>
      </c>
      <c r="C4" s="20">
        <v>0.14430000000000001</v>
      </c>
      <c r="D4" s="20">
        <v>0.32850000000000001</v>
      </c>
      <c r="E4" s="19" t="s">
        <v>22</v>
      </c>
      <c r="F4" s="19" t="s">
        <v>60</v>
      </c>
    </row>
    <row r="5" spans="1:6" x14ac:dyDescent="0.2">
      <c r="A5" s="19" t="s">
        <v>1</v>
      </c>
      <c r="B5" s="19">
        <v>2013</v>
      </c>
      <c r="C5" s="20">
        <v>0.14671000000000001</v>
      </c>
      <c r="D5" s="20">
        <v>0.32854</v>
      </c>
      <c r="E5" s="19" t="s">
        <v>22</v>
      </c>
      <c r="F5" s="19" t="s">
        <v>60</v>
      </c>
    </row>
    <row r="6" spans="1:6" x14ac:dyDescent="0.2">
      <c r="A6" s="19" t="s">
        <v>1</v>
      </c>
      <c r="B6" s="19">
        <v>2014</v>
      </c>
      <c r="C6" s="20">
        <v>0.15014</v>
      </c>
      <c r="D6" s="20">
        <v>0.32854</v>
      </c>
      <c r="E6" s="19" t="s">
        <v>22</v>
      </c>
      <c r="F6" s="19" t="s">
        <v>60</v>
      </c>
    </row>
    <row r="7" spans="1:6" x14ac:dyDescent="0.2">
      <c r="A7" s="19" t="s">
        <v>1</v>
      </c>
      <c r="B7" s="19">
        <v>2015</v>
      </c>
      <c r="C7" s="24">
        <v>0.16327</v>
      </c>
      <c r="D7" s="20">
        <v>0.32854</v>
      </c>
      <c r="E7" s="19" t="s">
        <v>22</v>
      </c>
      <c r="F7" s="19" t="s">
        <v>60</v>
      </c>
    </row>
    <row r="8" spans="1:6" x14ac:dyDescent="0.2">
      <c r="A8" s="19" t="s">
        <v>1</v>
      </c>
      <c r="B8" s="19">
        <v>2016</v>
      </c>
      <c r="C8" s="20">
        <v>0.18335000000000001</v>
      </c>
      <c r="D8" s="20">
        <v>0.32854</v>
      </c>
      <c r="E8" s="19" t="s">
        <v>22</v>
      </c>
      <c r="F8" s="19" t="s">
        <v>60</v>
      </c>
    </row>
    <row r="9" spans="1:6" x14ac:dyDescent="0.2">
      <c r="A9" s="19" t="s">
        <v>1</v>
      </c>
      <c r="B9" s="19">
        <v>2017</v>
      </c>
      <c r="C9" s="20">
        <v>0.18915000000000001</v>
      </c>
      <c r="D9" s="20">
        <v>0.32854</v>
      </c>
      <c r="E9" s="19" t="s">
        <v>22</v>
      </c>
      <c r="F9" s="19" t="s">
        <v>60</v>
      </c>
    </row>
    <row r="10" spans="1:6" x14ac:dyDescent="0.2">
      <c r="A10" s="19" t="s">
        <v>1</v>
      </c>
      <c r="B10" s="19">
        <v>2018</v>
      </c>
      <c r="C10" s="20">
        <v>0.19353000000000001</v>
      </c>
      <c r="D10" s="20">
        <v>0.32854</v>
      </c>
      <c r="E10" s="19" t="s">
        <v>22</v>
      </c>
      <c r="F10" s="19" t="s">
        <v>60</v>
      </c>
    </row>
    <row r="11" spans="1:6" x14ac:dyDescent="0.2">
      <c r="A11" s="19" t="s">
        <v>1</v>
      </c>
      <c r="B11" s="19">
        <v>2019</v>
      </c>
      <c r="C11" s="20">
        <v>0.19725000000000001</v>
      </c>
      <c r="D11" s="20">
        <v>0.32854</v>
      </c>
      <c r="E11" s="19" t="s">
        <v>22</v>
      </c>
      <c r="F11" s="19" t="s">
        <v>60</v>
      </c>
    </row>
    <row r="12" spans="1:6" x14ac:dyDescent="0.2">
      <c r="A12" s="19" t="s">
        <v>1</v>
      </c>
      <c r="B12" s="19">
        <v>2020</v>
      </c>
      <c r="C12" s="20">
        <v>0.21471000000000001</v>
      </c>
      <c r="D12" s="20">
        <v>0.32854</v>
      </c>
      <c r="E12" s="19" t="s">
        <v>22</v>
      </c>
      <c r="F12" s="19" t="s">
        <v>60</v>
      </c>
    </row>
    <row r="13" spans="1:6" x14ac:dyDescent="0.2">
      <c r="A13" s="19" t="s">
        <v>1</v>
      </c>
      <c r="B13" s="19">
        <v>2021</v>
      </c>
      <c r="C13" s="22">
        <v>0.21679000000000001</v>
      </c>
      <c r="D13" s="20">
        <v>0.32854</v>
      </c>
      <c r="E13" s="19" t="s">
        <v>22</v>
      </c>
      <c r="F13" s="19" t="s">
        <v>60</v>
      </c>
    </row>
    <row r="14" spans="1:6" x14ac:dyDescent="0.2">
      <c r="A14" s="19" t="s">
        <v>1</v>
      </c>
      <c r="B14" s="19">
        <v>2022</v>
      </c>
      <c r="C14" s="22">
        <v>0.24979999999999999</v>
      </c>
      <c r="D14" s="20">
        <v>0.32854</v>
      </c>
      <c r="E14" s="19" t="s">
        <v>22</v>
      </c>
      <c r="F14" s="19" t="s">
        <v>60</v>
      </c>
    </row>
    <row r="15" spans="1:6" x14ac:dyDescent="0.2">
      <c r="A15" s="19" t="s">
        <v>1</v>
      </c>
      <c r="B15" s="19">
        <v>2023</v>
      </c>
      <c r="C15" s="22">
        <v>0.29307</v>
      </c>
      <c r="D15" s="20">
        <v>0.32854</v>
      </c>
      <c r="E15" s="19" t="s">
        <v>22</v>
      </c>
      <c r="F15" s="19" t="s">
        <v>60</v>
      </c>
    </row>
    <row r="16" spans="1:6" x14ac:dyDescent="0.2">
      <c r="A16" s="19" t="s">
        <v>1</v>
      </c>
      <c r="B16" s="19">
        <v>2024</v>
      </c>
      <c r="C16" s="22">
        <v>0.40447</v>
      </c>
      <c r="D16" s="20">
        <f>30*0.32854</f>
        <v>9.8561999999999994</v>
      </c>
      <c r="E16" s="19" t="s">
        <v>22</v>
      </c>
      <c r="F16" s="19" t="s">
        <v>60</v>
      </c>
    </row>
    <row r="17" spans="1:6" x14ac:dyDescent="0.2">
      <c r="A17" s="25" t="s">
        <v>3</v>
      </c>
      <c r="B17" s="25">
        <v>2010</v>
      </c>
      <c r="C17" s="23"/>
      <c r="D17" s="23"/>
      <c r="E17" s="25"/>
      <c r="F17" s="25"/>
    </row>
    <row r="18" spans="1:6" x14ac:dyDescent="0.2">
      <c r="A18" s="25" t="s">
        <v>3</v>
      </c>
      <c r="B18" s="25">
        <v>2011</v>
      </c>
      <c r="C18" s="23"/>
      <c r="D18" s="23"/>
      <c r="E18" s="25"/>
      <c r="F18" s="25"/>
    </row>
    <row r="19" spans="1:6" x14ac:dyDescent="0.2">
      <c r="A19" s="25" t="s">
        <v>3</v>
      </c>
      <c r="B19" s="25">
        <v>2012</v>
      </c>
      <c r="C19" s="23"/>
      <c r="D19" s="23"/>
      <c r="E19" s="25"/>
      <c r="F19" s="25"/>
    </row>
    <row r="20" spans="1:6" x14ac:dyDescent="0.2">
      <c r="A20" s="19" t="s">
        <v>3</v>
      </c>
      <c r="B20" s="19">
        <v>2013</v>
      </c>
      <c r="C20" s="21">
        <f>0.06867+0.07377-0.00097</f>
        <v>0.14147000000000001</v>
      </c>
      <c r="D20" s="24">
        <f>0.796*30</f>
        <v>23.880000000000003</v>
      </c>
      <c r="E20" s="19" t="s">
        <v>26</v>
      </c>
      <c r="F20" s="19"/>
    </row>
    <row r="21" spans="1:6" x14ac:dyDescent="0.2">
      <c r="A21" s="19" t="s">
        <v>3</v>
      </c>
      <c r="B21" s="19">
        <v>2014</v>
      </c>
      <c r="C21" s="21">
        <f>0.06511+0.07508-0.00037</f>
        <v>0.13981999999999997</v>
      </c>
      <c r="D21" s="24">
        <f>30*0.836</f>
        <v>25.08</v>
      </c>
      <c r="E21" s="19" t="s">
        <v>26</v>
      </c>
      <c r="F21" s="19"/>
    </row>
    <row r="22" spans="1:6" x14ac:dyDescent="0.2">
      <c r="A22" s="19" t="s">
        <v>3</v>
      </c>
      <c r="B22" s="19">
        <v>2015</v>
      </c>
      <c r="C22" s="21">
        <f>0.07002+0.0874-0.00172</f>
        <v>0.15570000000000001</v>
      </c>
      <c r="D22" s="24">
        <f>30*0.836</f>
        <v>25.08</v>
      </c>
      <c r="E22" s="19" t="s">
        <v>26</v>
      </c>
      <c r="F22" s="19"/>
    </row>
    <row r="23" spans="1:6" x14ac:dyDescent="0.2">
      <c r="A23" s="19" t="s">
        <v>3</v>
      </c>
      <c r="B23" s="19">
        <v>2016</v>
      </c>
      <c r="C23" s="21">
        <f>0.07296+0.06114-0.00022</f>
        <v>0.13388</v>
      </c>
      <c r="D23" s="24">
        <f>30*0.836</f>
        <v>25.08</v>
      </c>
      <c r="E23" s="19" t="s">
        <v>26</v>
      </c>
      <c r="F23" s="19"/>
    </row>
    <row r="24" spans="1:6" x14ac:dyDescent="0.2">
      <c r="A24" s="19" t="s">
        <v>3</v>
      </c>
      <c r="B24" s="19">
        <v>2017</v>
      </c>
      <c r="C24" s="21">
        <f>0.07808+0.06421</f>
        <v>0.14229</v>
      </c>
      <c r="D24" s="24">
        <f>30*0.777</f>
        <v>23.310000000000002</v>
      </c>
      <c r="E24" s="19" t="s">
        <v>26</v>
      </c>
      <c r="F24" s="19"/>
    </row>
    <row r="25" spans="1:6" x14ac:dyDescent="0.2">
      <c r="A25" s="19" t="s">
        <v>3</v>
      </c>
      <c r="B25" s="19">
        <v>2018</v>
      </c>
      <c r="C25" s="21">
        <f>0.07249+0.07375</f>
        <v>0.14623999999999998</v>
      </c>
      <c r="D25" s="24">
        <f>30*0.806</f>
        <v>24.18</v>
      </c>
      <c r="E25" s="19" t="s">
        <v>26</v>
      </c>
      <c r="F25" s="19"/>
    </row>
    <row r="26" spans="1:6" x14ac:dyDescent="0.2">
      <c r="A26" s="19" t="s">
        <v>3</v>
      </c>
      <c r="B26" s="19">
        <v>2019</v>
      </c>
      <c r="C26" s="21">
        <f>0.07169 +0.07273</f>
        <v>0.14441999999999999</v>
      </c>
      <c r="D26" s="24">
        <f>30*0.806</f>
        <v>24.18</v>
      </c>
      <c r="E26" s="19" t="s">
        <v>26</v>
      </c>
      <c r="F26" s="19"/>
    </row>
    <row r="27" spans="1:6" x14ac:dyDescent="0.2">
      <c r="A27" s="19" t="s">
        <v>3</v>
      </c>
      <c r="B27" s="19">
        <v>2020</v>
      </c>
      <c r="C27" s="21">
        <f>0.07895+0.08012</f>
        <v>0.15906999999999999</v>
      </c>
      <c r="D27" s="24">
        <f>30*0.347</f>
        <v>10.41</v>
      </c>
      <c r="E27" s="19" t="s">
        <v>26</v>
      </c>
      <c r="F27" s="19"/>
    </row>
    <row r="28" spans="1:6" x14ac:dyDescent="0.2">
      <c r="A28" s="19" t="s">
        <v>3</v>
      </c>
      <c r="B28" s="19">
        <v>2021</v>
      </c>
      <c r="C28" s="24">
        <f>0.10828+0.07973</f>
        <v>0.18801000000000001</v>
      </c>
      <c r="D28" s="24">
        <f>30*0.457</f>
        <v>13.71</v>
      </c>
      <c r="E28" s="19" t="s">
        <v>26</v>
      </c>
      <c r="F28" s="19"/>
    </row>
    <row r="29" spans="1:6" x14ac:dyDescent="0.2">
      <c r="A29" s="19" t="s">
        <v>3</v>
      </c>
      <c r="B29" s="19">
        <v>2022</v>
      </c>
      <c r="C29" s="21">
        <f>0.13017+0.07956</f>
        <v>0.20973000000000003</v>
      </c>
      <c r="D29" s="21">
        <f>30*0.566</f>
        <v>16.979999999999997</v>
      </c>
      <c r="E29" s="19" t="s">
        <v>26</v>
      </c>
      <c r="F29" s="19"/>
    </row>
    <row r="30" spans="1:6" x14ac:dyDescent="0.2">
      <c r="A30" s="19" t="s">
        <v>3</v>
      </c>
      <c r="B30" s="19">
        <v>2023</v>
      </c>
      <c r="C30" s="21">
        <f>0.12254+0.12607+0.0007</f>
        <v>0.24931</v>
      </c>
      <c r="D30" s="24">
        <f>30*0.468</f>
        <v>14.040000000000001</v>
      </c>
      <c r="E30" s="19" t="s">
        <v>26</v>
      </c>
      <c r="F30" s="19"/>
    </row>
    <row r="31" spans="1:6" x14ac:dyDescent="0.2">
      <c r="A31" s="19" t="s">
        <v>3</v>
      </c>
      <c r="B31" s="19">
        <v>2024</v>
      </c>
      <c r="C31" s="21">
        <f>0.14008+0.12117+0.00148</f>
        <v>0.26272999999999996</v>
      </c>
      <c r="D31" s="21">
        <f>30*0.468</f>
        <v>14.040000000000001</v>
      </c>
      <c r="E31" s="19" t="s">
        <v>26</v>
      </c>
      <c r="F31" s="19"/>
    </row>
    <row r="32" spans="1:6" x14ac:dyDescent="0.2">
      <c r="A32" s="19" t="s">
        <v>4</v>
      </c>
      <c r="B32" s="19">
        <v>2010</v>
      </c>
      <c r="C32" s="8">
        <v>9.3579999999999997E-2</v>
      </c>
      <c r="D32" s="8">
        <v>6.5</v>
      </c>
      <c r="E32" s="19" t="s">
        <v>27</v>
      </c>
      <c r="F32" s="19" t="s">
        <v>25</v>
      </c>
    </row>
    <row r="33" spans="1:6" x14ac:dyDescent="0.2">
      <c r="A33" s="19" t="s">
        <v>4</v>
      </c>
      <c r="B33" s="19">
        <v>2011</v>
      </c>
      <c r="C33" s="8">
        <v>9.9580000000000002E-2</v>
      </c>
      <c r="D33" s="8">
        <v>6.5</v>
      </c>
      <c r="E33" s="19" t="s">
        <v>27</v>
      </c>
      <c r="F33" s="19" t="s">
        <v>25</v>
      </c>
    </row>
    <row r="34" spans="1:6" x14ac:dyDescent="0.2">
      <c r="A34" s="19" t="s">
        <v>4</v>
      </c>
      <c r="B34" s="19">
        <v>2012</v>
      </c>
      <c r="C34" s="8">
        <v>9.9580000000000002E-2</v>
      </c>
      <c r="D34" s="8">
        <v>6.5</v>
      </c>
      <c r="E34" s="19" t="s">
        <v>27</v>
      </c>
      <c r="F34" s="19" t="s">
        <v>25</v>
      </c>
    </row>
    <row r="35" spans="1:6" x14ac:dyDescent="0.2">
      <c r="A35" s="19" t="s">
        <v>4</v>
      </c>
      <c r="B35" s="19">
        <v>2013</v>
      </c>
      <c r="C35" s="8">
        <v>0.10433000000000001</v>
      </c>
      <c r="D35" s="8">
        <v>6.5</v>
      </c>
      <c r="E35" s="19" t="s">
        <v>27</v>
      </c>
      <c r="F35" s="19" t="s">
        <v>25</v>
      </c>
    </row>
    <row r="36" spans="1:6" x14ac:dyDescent="0.2">
      <c r="A36" s="19" t="s">
        <v>4</v>
      </c>
      <c r="B36" s="19">
        <v>2014</v>
      </c>
      <c r="C36" s="8">
        <v>0.11063000000000001</v>
      </c>
      <c r="D36" s="8">
        <v>6.5</v>
      </c>
      <c r="E36" s="19" t="s">
        <v>27</v>
      </c>
      <c r="F36" s="19" t="s">
        <v>25</v>
      </c>
    </row>
    <row r="37" spans="1:6" x14ac:dyDescent="0.2">
      <c r="A37" s="19" t="s">
        <v>4</v>
      </c>
      <c r="B37" s="19">
        <v>2015</v>
      </c>
      <c r="C37" s="8">
        <v>0.11720999999999999</v>
      </c>
      <c r="D37" s="8">
        <v>6.5</v>
      </c>
      <c r="E37" s="19" t="s">
        <v>27</v>
      </c>
      <c r="F37" s="19" t="s">
        <v>25</v>
      </c>
    </row>
    <row r="38" spans="1:6" x14ac:dyDescent="0.2">
      <c r="A38" s="19" t="s">
        <v>4</v>
      </c>
      <c r="B38" s="19">
        <v>2016</v>
      </c>
      <c r="C38" s="8">
        <v>0.11416999999999999</v>
      </c>
      <c r="D38" s="8">
        <v>6.5</v>
      </c>
      <c r="E38" s="19" t="s">
        <v>27</v>
      </c>
      <c r="F38" s="19" t="s">
        <v>25</v>
      </c>
    </row>
    <row r="39" spans="1:6" x14ac:dyDescent="0.2">
      <c r="A39" s="19" t="s">
        <v>4</v>
      </c>
      <c r="B39" s="19">
        <v>2017</v>
      </c>
      <c r="C39" s="8">
        <v>0.12095999999999998</v>
      </c>
      <c r="D39" s="8">
        <v>7</v>
      </c>
      <c r="E39" s="19" t="s">
        <v>27</v>
      </c>
      <c r="F39" s="19" t="s">
        <v>25</v>
      </c>
    </row>
    <row r="40" spans="1:6" x14ac:dyDescent="0.2">
      <c r="A40" s="19" t="s">
        <v>4</v>
      </c>
      <c r="B40" s="19">
        <v>2018</v>
      </c>
      <c r="C40" s="8">
        <v>0.12634000000000001</v>
      </c>
      <c r="D40" s="8">
        <v>7</v>
      </c>
      <c r="E40" s="19" t="s">
        <v>27</v>
      </c>
      <c r="F40" s="19" t="s">
        <v>25</v>
      </c>
    </row>
    <row r="41" spans="1:6" x14ac:dyDescent="0.2">
      <c r="A41" s="19" t="s">
        <v>4</v>
      </c>
      <c r="B41" s="19">
        <v>2019</v>
      </c>
      <c r="C41" s="8">
        <v>0.13680999999999999</v>
      </c>
      <c r="D41" s="8">
        <v>7</v>
      </c>
      <c r="E41" s="19" t="s">
        <v>27</v>
      </c>
      <c r="F41" s="19" t="s">
        <v>25</v>
      </c>
    </row>
    <row r="42" spans="1:6" x14ac:dyDescent="0.2">
      <c r="A42" s="19" t="s">
        <v>4</v>
      </c>
      <c r="B42" s="19">
        <v>2020</v>
      </c>
      <c r="C42" s="8">
        <v>0.14172000000000001</v>
      </c>
      <c r="D42" s="8">
        <v>7</v>
      </c>
      <c r="E42" s="19" t="s">
        <v>27</v>
      </c>
      <c r="F42" s="19" t="s">
        <v>25</v>
      </c>
    </row>
    <row r="43" spans="1:6" x14ac:dyDescent="0.2">
      <c r="A43" s="19" t="s">
        <v>4</v>
      </c>
      <c r="B43" s="19">
        <v>2021</v>
      </c>
      <c r="C43" s="8">
        <v>0.14429</v>
      </c>
      <c r="D43" s="8">
        <v>7</v>
      </c>
      <c r="E43" s="19" t="s">
        <v>27</v>
      </c>
      <c r="F43" s="19" t="s">
        <v>25</v>
      </c>
    </row>
    <row r="44" spans="1:6" x14ac:dyDescent="0.2">
      <c r="A44" s="19" t="s">
        <v>4</v>
      </c>
      <c r="B44" s="19">
        <v>2022</v>
      </c>
      <c r="C44" s="8">
        <v>0.16064000000000001</v>
      </c>
      <c r="D44" s="8">
        <v>7</v>
      </c>
      <c r="E44" s="19" t="s">
        <v>27</v>
      </c>
      <c r="F44" s="19" t="s">
        <v>25</v>
      </c>
    </row>
    <row r="45" spans="1:6" x14ac:dyDescent="0.2">
      <c r="A45" s="19" t="s">
        <v>4</v>
      </c>
      <c r="B45" s="19">
        <v>2023</v>
      </c>
      <c r="C45" s="8">
        <v>0.16152</v>
      </c>
      <c r="D45" s="8">
        <v>7</v>
      </c>
      <c r="E45" s="19" t="s">
        <v>27</v>
      </c>
      <c r="F45" s="19" t="s">
        <v>25</v>
      </c>
    </row>
    <row r="46" spans="1:6" x14ac:dyDescent="0.2">
      <c r="A46" s="19" t="s">
        <v>4</v>
      </c>
      <c r="B46" s="19">
        <v>2024</v>
      </c>
      <c r="C46" s="8">
        <v>0.1691</v>
      </c>
      <c r="D46" s="8">
        <v>7</v>
      </c>
      <c r="E46" s="19" t="s">
        <v>27</v>
      </c>
      <c r="F46" s="19" t="s">
        <v>25</v>
      </c>
    </row>
    <row r="47" spans="1:6" x14ac:dyDescent="0.2">
      <c r="A47" s="19" t="s">
        <v>5</v>
      </c>
      <c r="B47" s="19">
        <v>2010</v>
      </c>
      <c r="C47" s="8">
        <v>0.1203</v>
      </c>
      <c r="D47" s="8">
        <v>8.0500000000000007</v>
      </c>
      <c r="E47" s="19" t="s">
        <v>55</v>
      </c>
      <c r="F47" s="19" t="s">
        <v>57</v>
      </c>
    </row>
    <row r="48" spans="1:6" x14ac:dyDescent="0.2">
      <c r="A48" s="19" t="s">
        <v>5</v>
      </c>
      <c r="B48" s="19">
        <v>2011</v>
      </c>
      <c r="C48" s="8">
        <v>0.123</v>
      </c>
      <c r="D48" s="8">
        <v>8.25</v>
      </c>
      <c r="E48" s="19" t="s">
        <v>55</v>
      </c>
      <c r="F48" s="19" t="s">
        <v>57</v>
      </c>
    </row>
    <row r="49" spans="1:6" x14ac:dyDescent="0.2">
      <c r="A49" s="19" t="s">
        <v>5</v>
      </c>
      <c r="B49" s="19">
        <v>2012</v>
      </c>
      <c r="C49" s="8">
        <v>0.124</v>
      </c>
      <c r="D49" s="8">
        <v>12</v>
      </c>
      <c r="E49" s="19" t="s">
        <v>55</v>
      </c>
      <c r="F49" s="19" t="s">
        <v>57</v>
      </c>
    </row>
    <row r="50" spans="1:6" x14ac:dyDescent="0.2">
      <c r="A50" s="19" t="s">
        <v>5</v>
      </c>
      <c r="B50" s="19">
        <v>2013</v>
      </c>
      <c r="C50" s="8">
        <v>0.124</v>
      </c>
      <c r="D50" s="8">
        <v>12</v>
      </c>
      <c r="E50" s="19" t="s">
        <v>55</v>
      </c>
      <c r="F50" s="19" t="s">
        <v>57</v>
      </c>
    </row>
    <row r="51" spans="1:6" x14ac:dyDescent="0.2">
      <c r="A51" s="19" t="s">
        <v>5</v>
      </c>
      <c r="B51" s="19">
        <v>2014</v>
      </c>
      <c r="C51" s="8">
        <v>0.12520000000000001</v>
      </c>
      <c r="D51" s="8">
        <v>14</v>
      </c>
      <c r="E51" s="19" t="s">
        <v>55</v>
      </c>
      <c r="F51" s="19" t="s">
        <v>57</v>
      </c>
    </row>
    <row r="52" spans="1:6" x14ac:dyDescent="0.2">
      <c r="A52" s="19" t="s">
        <v>5</v>
      </c>
      <c r="B52" s="19">
        <v>2015</v>
      </c>
      <c r="C52" s="8">
        <v>0.12659999999999999</v>
      </c>
      <c r="D52" s="8">
        <v>16</v>
      </c>
      <c r="E52" s="19" t="s">
        <v>55</v>
      </c>
      <c r="F52" s="19" t="s">
        <v>57</v>
      </c>
    </row>
    <row r="53" spans="1:6" x14ac:dyDescent="0.2">
      <c r="A53" s="19" t="s">
        <v>5</v>
      </c>
      <c r="B53" s="19">
        <v>2016</v>
      </c>
      <c r="C53" s="8">
        <v>0.1278</v>
      </c>
      <c r="D53" s="8">
        <v>18</v>
      </c>
      <c r="E53" s="19" t="s">
        <v>55</v>
      </c>
      <c r="F53" s="19" t="s">
        <v>57</v>
      </c>
    </row>
    <row r="54" spans="1:6" x14ac:dyDescent="0.2">
      <c r="A54" s="19" t="s">
        <v>5</v>
      </c>
      <c r="B54" s="19">
        <v>2017</v>
      </c>
      <c r="C54" s="8">
        <v>0.129</v>
      </c>
      <c r="D54" s="8">
        <v>20</v>
      </c>
      <c r="E54" s="19" t="s">
        <v>55</v>
      </c>
      <c r="F54" s="19" t="s">
        <v>57</v>
      </c>
    </row>
    <row r="55" spans="1:6" x14ac:dyDescent="0.2">
      <c r="A55" s="19" t="s">
        <v>5</v>
      </c>
      <c r="B55" s="19">
        <v>2018</v>
      </c>
      <c r="C55" s="8">
        <v>0.1303</v>
      </c>
      <c r="D55" s="8">
        <v>20.2</v>
      </c>
      <c r="E55" s="19" t="s">
        <v>55</v>
      </c>
      <c r="F55" s="19" t="s">
        <v>57</v>
      </c>
    </row>
    <row r="56" spans="1:6" x14ac:dyDescent="0.2">
      <c r="A56" s="19" t="s">
        <v>5</v>
      </c>
      <c r="B56" s="19">
        <v>2019</v>
      </c>
      <c r="C56" s="8">
        <v>0.13159999999999999</v>
      </c>
      <c r="D56" s="8">
        <v>20.399999999999999</v>
      </c>
      <c r="E56" s="19" t="s">
        <v>55</v>
      </c>
      <c r="F56" s="19" t="s">
        <v>57</v>
      </c>
    </row>
    <row r="57" spans="1:6" x14ac:dyDescent="0.2">
      <c r="A57" s="19" t="s">
        <v>5</v>
      </c>
      <c r="B57" s="19">
        <v>2020</v>
      </c>
      <c r="C57" s="8">
        <v>0.13789999999999999</v>
      </c>
      <c r="D57" s="8">
        <v>21.35</v>
      </c>
      <c r="E57" s="19" t="s">
        <v>55</v>
      </c>
      <c r="F57" s="19" t="s">
        <v>57</v>
      </c>
    </row>
    <row r="58" spans="1:6" x14ac:dyDescent="0.2">
      <c r="A58" s="19" t="s">
        <v>5</v>
      </c>
      <c r="B58" s="19">
        <v>2021</v>
      </c>
      <c r="C58" s="8">
        <v>0.14399999999999999</v>
      </c>
      <c r="D58" s="8">
        <v>22.35</v>
      </c>
      <c r="E58" s="19" t="s">
        <v>55</v>
      </c>
      <c r="F58" s="19" t="s">
        <v>57</v>
      </c>
    </row>
    <row r="59" spans="1:6" x14ac:dyDescent="0.2">
      <c r="A59" s="19" t="s">
        <v>5</v>
      </c>
      <c r="B59" s="19">
        <v>2022</v>
      </c>
      <c r="C59" s="8">
        <v>0.13930000000000001</v>
      </c>
      <c r="D59" s="8">
        <v>28.4</v>
      </c>
      <c r="E59" s="19" t="s">
        <v>67</v>
      </c>
      <c r="F59" s="19" t="s">
        <v>68</v>
      </c>
    </row>
    <row r="60" spans="1:6" x14ac:dyDescent="0.2">
      <c r="A60" s="19" t="s">
        <v>5</v>
      </c>
      <c r="B60" s="19">
        <v>2023</v>
      </c>
      <c r="C60" s="8">
        <v>0.13639999999999999</v>
      </c>
      <c r="D60" s="8">
        <v>35.15</v>
      </c>
      <c r="E60" s="19" t="s">
        <v>67</v>
      </c>
      <c r="F60" s="19" t="s">
        <v>68</v>
      </c>
    </row>
    <row r="61" spans="1:6" x14ac:dyDescent="0.2">
      <c r="A61" s="19" t="s">
        <v>5</v>
      </c>
      <c r="B61" s="19">
        <v>2024</v>
      </c>
      <c r="C61" s="8">
        <v>0.13350000000000001</v>
      </c>
      <c r="D61" s="8">
        <v>36.65</v>
      </c>
      <c r="E61" s="19" t="s">
        <v>67</v>
      </c>
      <c r="F61" s="19" t="s">
        <v>68</v>
      </c>
    </row>
    <row r="62" spans="1:6" x14ac:dyDescent="0.2">
      <c r="A62" s="19" t="s">
        <v>6</v>
      </c>
      <c r="B62" s="19">
        <v>2010</v>
      </c>
      <c r="C62" s="23"/>
      <c r="D62" s="23"/>
      <c r="E62" s="19" t="s">
        <v>23</v>
      </c>
      <c r="F62" s="19"/>
    </row>
    <row r="63" spans="1:6" x14ac:dyDescent="0.2">
      <c r="A63" s="19" t="s">
        <v>6</v>
      </c>
      <c r="B63" s="19">
        <v>2011</v>
      </c>
      <c r="C63" s="23"/>
      <c r="D63" s="23"/>
      <c r="E63" s="19" t="s">
        <v>23</v>
      </c>
      <c r="F63" s="19"/>
    </row>
    <row r="64" spans="1:6" x14ac:dyDescent="0.2">
      <c r="A64" s="19" t="s">
        <v>6</v>
      </c>
      <c r="B64" s="19">
        <v>2012</v>
      </c>
      <c r="C64" s="23"/>
      <c r="D64" s="23"/>
      <c r="E64" s="19" t="s">
        <v>23</v>
      </c>
      <c r="F64" s="19"/>
    </row>
    <row r="65" spans="1:6" x14ac:dyDescent="0.2">
      <c r="A65" s="19" t="s">
        <v>6</v>
      </c>
      <c r="B65" s="19">
        <v>2013</v>
      </c>
      <c r="C65" s="23"/>
      <c r="D65" s="23"/>
      <c r="E65" s="19" t="s">
        <v>23</v>
      </c>
      <c r="F65" s="19"/>
    </row>
    <row r="66" spans="1:6" x14ac:dyDescent="0.2">
      <c r="A66" s="19" t="s">
        <v>6</v>
      </c>
      <c r="B66" s="19">
        <v>2014</v>
      </c>
      <c r="C66" s="8">
        <v>0.12504999999999999</v>
      </c>
      <c r="D66" s="8">
        <v>12</v>
      </c>
      <c r="E66" s="19" t="s">
        <v>23</v>
      </c>
      <c r="F66" s="19"/>
    </row>
    <row r="67" spans="1:6" x14ac:dyDescent="0.2">
      <c r="A67" s="19" t="s">
        <v>6</v>
      </c>
      <c r="B67" s="19">
        <v>2015</v>
      </c>
      <c r="C67" s="8">
        <v>0.13059000000000001</v>
      </c>
      <c r="D67" s="8">
        <v>12</v>
      </c>
      <c r="E67" s="19" t="s">
        <v>23</v>
      </c>
      <c r="F67" s="19"/>
    </row>
    <row r="68" spans="1:6" x14ac:dyDescent="0.2">
      <c r="A68" s="19" t="s">
        <v>6</v>
      </c>
      <c r="B68" s="19">
        <v>2016</v>
      </c>
      <c r="C68" s="8">
        <v>0.12285</v>
      </c>
      <c r="D68" s="8">
        <v>12</v>
      </c>
      <c r="E68" s="19" t="s">
        <v>23</v>
      </c>
      <c r="F68" s="19"/>
    </row>
    <row r="69" spans="1:6" x14ac:dyDescent="0.2">
      <c r="A69" s="19" t="s">
        <v>6</v>
      </c>
      <c r="B69" s="19">
        <v>2017</v>
      </c>
      <c r="C69" s="8">
        <v>0.12105</v>
      </c>
      <c r="D69" s="8">
        <v>12</v>
      </c>
      <c r="E69" s="19" t="s">
        <v>23</v>
      </c>
      <c r="F69" s="19"/>
    </row>
    <row r="70" spans="1:6" x14ac:dyDescent="0.2">
      <c r="A70" s="19" t="s">
        <v>6</v>
      </c>
      <c r="B70" s="19">
        <v>2018</v>
      </c>
      <c r="C70" s="8">
        <v>0.13736000000000001</v>
      </c>
      <c r="D70" s="8">
        <v>16</v>
      </c>
      <c r="E70" s="19" t="s">
        <v>23</v>
      </c>
      <c r="F70" s="19"/>
    </row>
    <row r="71" spans="1:6" x14ac:dyDescent="0.2">
      <c r="A71" s="19" t="s">
        <v>6</v>
      </c>
      <c r="B71" s="19">
        <v>2019</v>
      </c>
      <c r="C71" s="8">
        <v>0.1371</v>
      </c>
      <c r="D71" s="8">
        <v>16</v>
      </c>
      <c r="E71" s="19" t="s">
        <v>23</v>
      </c>
      <c r="F71" s="19"/>
    </row>
    <row r="72" spans="1:6" x14ac:dyDescent="0.2">
      <c r="A72" s="19" t="s">
        <v>6</v>
      </c>
      <c r="B72" s="19">
        <v>2020</v>
      </c>
      <c r="C72" s="8">
        <v>0.15695999999999999</v>
      </c>
      <c r="D72" s="8">
        <v>16</v>
      </c>
      <c r="E72" s="19" t="s">
        <v>23</v>
      </c>
      <c r="F72" s="19"/>
    </row>
    <row r="73" spans="1:6" x14ac:dyDescent="0.2">
      <c r="A73" s="19" t="s">
        <v>6</v>
      </c>
      <c r="B73" s="19">
        <v>2021</v>
      </c>
      <c r="C73" s="8">
        <v>0.16156000000000001</v>
      </c>
      <c r="D73" s="8">
        <v>16</v>
      </c>
      <c r="E73" s="19" t="s">
        <v>23</v>
      </c>
      <c r="F73" s="19"/>
    </row>
    <row r="74" spans="1:6" x14ac:dyDescent="0.2">
      <c r="A74" s="19" t="s">
        <v>6</v>
      </c>
      <c r="B74" s="19">
        <v>2022</v>
      </c>
      <c r="C74" s="8">
        <v>0.18790999999999999</v>
      </c>
      <c r="D74" s="8">
        <v>17.12</v>
      </c>
      <c r="E74" s="19" t="s">
        <v>23</v>
      </c>
      <c r="F74" s="19"/>
    </row>
    <row r="75" spans="1:6" x14ac:dyDescent="0.2">
      <c r="A75" s="19" t="s">
        <v>6</v>
      </c>
      <c r="B75" s="19">
        <v>2023</v>
      </c>
      <c r="C75" s="8">
        <v>0.22145999999999999</v>
      </c>
      <c r="D75" s="8">
        <v>18.32</v>
      </c>
      <c r="E75" s="19" t="s">
        <v>23</v>
      </c>
      <c r="F75" s="19"/>
    </row>
    <row r="76" spans="1:6" x14ac:dyDescent="0.2">
      <c r="A76" s="19" t="s">
        <v>6</v>
      </c>
      <c r="B76" s="19">
        <v>2024</v>
      </c>
      <c r="C76" s="8">
        <v>0.21618000000000001</v>
      </c>
      <c r="D76" s="8">
        <v>18.32</v>
      </c>
      <c r="E76" s="19" t="s">
        <v>23</v>
      </c>
      <c r="F76" s="19"/>
    </row>
    <row r="78" spans="1:6" ht="51" x14ac:dyDescent="0.2">
      <c r="A78" s="38" t="s">
        <v>44</v>
      </c>
      <c r="B78" s="37" t="s">
        <v>45</v>
      </c>
      <c r="C78" s="2" t="s">
        <v>50</v>
      </c>
    </row>
    <row r="80" spans="1:6" x14ac:dyDescent="0.2">
      <c r="A80" s="3" t="s">
        <v>47</v>
      </c>
      <c r="B80" s="39"/>
      <c r="C80" t="s">
        <v>48</v>
      </c>
    </row>
    <row r="81" spans="2:3" x14ac:dyDescent="0.2">
      <c r="B81" s="4"/>
      <c r="C81" t="s">
        <v>49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EA71-FD44-AA49-B897-B390D8FC9C19}">
  <dimension ref="A1:Q83"/>
  <sheetViews>
    <sheetView tabSelected="1" topLeftCell="O1" zoomScale="125" workbookViewId="0">
      <pane ySplit="1" topLeftCell="A2" activePane="bottomLeft" state="frozen"/>
      <selection pane="bottomLeft" activeCell="AA10" sqref="AA10"/>
    </sheetView>
  </sheetViews>
  <sheetFormatPr baseColWidth="10" defaultRowHeight="16" x14ac:dyDescent="0.2"/>
  <cols>
    <col min="1" max="1" width="7" customWidth="1"/>
    <col min="2" max="2" width="7.83203125" customWidth="1"/>
    <col min="3" max="5" width="11.1640625" bestFit="1" customWidth="1"/>
    <col min="6" max="6" width="14.83203125" bestFit="1" customWidth="1"/>
    <col min="7" max="7" width="19" customWidth="1"/>
  </cols>
  <sheetData>
    <row r="1" spans="1:17" ht="44" customHeight="1" x14ac:dyDescent="0.2">
      <c r="A1" s="16" t="s">
        <v>0</v>
      </c>
      <c r="B1" s="16" t="s">
        <v>39</v>
      </c>
      <c r="C1" s="17" t="s">
        <v>31</v>
      </c>
      <c r="D1" s="17" t="s">
        <v>40</v>
      </c>
      <c r="E1" s="17" t="s">
        <v>41</v>
      </c>
      <c r="F1" s="17" t="s">
        <v>42</v>
      </c>
      <c r="G1" s="17" t="s">
        <v>32</v>
      </c>
      <c r="H1" s="17" t="s">
        <v>34</v>
      </c>
      <c r="I1" s="17" t="s">
        <v>21</v>
      </c>
      <c r="J1" s="17" t="s">
        <v>77</v>
      </c>
      <c r="K1" s="17" t="s">
        <v>78</v>
      </c>
      <c r="L1" s="17" t="s">
        <v>79</v>
      </c>
      <c r="M1" s="17" t="s">
        <v>80</v>
      </c>
      <c r="N1" s="17" t="s">
        <v>81</v>
      </c>
      <c r="O1" s="17" t="s">
        <v>82</v>
      </c>
      <c r="P1" s="56" t="s">
        <v>83</v>
      </c>
      <c r="Q1" s="56" t="s">
        <v>34</v>
      </c>
    </row>
    <row r="2" spans="1:17" x14ac:dyDescent="0.2">
      <c r="A2" s="5" t="s">
        <v>4</v>
      </c>
      <c r="B2" s="5">
        <v>2010</v>
      </c>
      <c r="C2" s="6">
        <v>9.1350000000000001E-2</v>
      </c>
      <c r="D2" s="6">
        <v>9.1350000000000001E-2</v>
      </c>
      <c r="E2" s="6">
        <v>7.3419999999999999E-2</v>
      </c>
      <c r="F2" s="6">
        <v>28</v>
      </c>
      <c r="G2" s="53">
        <v>5</v>
      </c>
      <c r="H2" s="5" t="s">
        <v>76</v>
      </c>
      <c r="I2" s="5" t="s">
        <v>75</v>
      </c>
    </row>
    <row r="3" spans="1:17" x14ac:dyDescent="0.2">
      <c r="A3" s="5" t="s">
        <v>4</v>
      </c>
      <c r="B3" s="5">
        <v>2011</v>
      </c>
      <c r="C3" s="6">
        <v>9.7349999999999992E-2</v>
      </c>
      <c r="D3" s="6">
        <v>9.7349999999999992E-2</v>
      </c>
      <c r="E3" s="6">
        <v>7.9419999999999991E-2</v>
      </c>
      <c r="F3" s="6">
        <v>28</v>
      </c>
      <c r="G3" s="6">
        <v>5</v>
      </c>
      <c r="H3" s="5" t="s">
        <v>76</v>
      </c>
      <c r="I3" s="5" t="s">
        <v>75</v>
      </c>
    </row>
    <row r="4" spans="1:17" x14ac:dyDescent="0.2">
      <c r="A4" s="5" t="s">
        <v>4</v>
      </c>
      <c r="B4" s="5">
        <v>2012</v>
      </c>
      <c r="C4" s="6">
        <v>9.7349999999999992E-2</v>
      </c>
      <c r="D4" s="6">
        <v>9.7349999999999992E-2</v>
      </c>
      <c r="E4" s="6">
        <v>7.9419999999999991E-2</v>
      </c>
      <c r="F4" s="6">
        <v>28</v>
      </c>
      <c r="G4" s="6">
        <v>5</v>
      </c>
      <c r="H4" s="5" t="s">
        <v>76</v>
      </c>
      <c r="I4" s="5" t="s">
        <v>75</v>
      </c>
    </row>
    <row r="5" spans="1:17" x14ac:dyDescent="0.2">
      <c r="A5" s="5" t="s">
        <v>4</v>
      </c>
      <c r="B5" s="5">
        <v>2013</v>
      </c>
      <c r="C5" s="6">
        <v>0.1011</v>
      </c>
      <c r="D5" s="6">
        <v>0.1011</v>
      </c>
      <c r="E5" s="6">
        <v>8.3169999999999994E-2</v>
      </c>
      <c r="F5" s="6">
        <v>28</v>
      </c>
      <c r="G5" s="6">
        <v>5.29</v>
      </c>
      <c r="H5" s="5" t="s">
        <v>76</v>
      </c>
      <c r="I5" s="5" t="s">
        <v>75</v>
      </c>
    </row>
    <row r="6" spans="1:17" x14ac:dyDescent="0.2">
      <c r="A6" s="5" t="s">
        <v>4</v>
      </c>
      <c r="B6" s="5">
        <v>2014</v>
      </c>
      <c r="C6" s="6">
        <v>0.10607</v>
      </c>
      <c r="D6" s="6">
        <v>0.10607</v>
      </c>
      <c r="E6" s="6">
        <v>8.8139999999999996E-2</v>
      </c>
      <c r="F6" s="6">
        <v>28</v>
      </c>
      <c r="G6" s="6">
        <v>5.36</v>
      </c>
      <c r="H6" s="5" t="s">
        <v>76</v>
      </c>
      <c r="I6" s="5" t="s">
        <v>75</v>
      </c>
    </row>
    <row r="7" spans="1:17" x14ac:dyDescent="0.2">
      <c r="A7" s="5" t="s">
        <v>4</v>
      </c>
      <c r="B7" s="5">
        <v>2015</v>
      </c>
      <c r="C7" s="6">
        <v>0.11265</v>
      </c>
      <c r="D7" s="6">
        <v>0.11265</v>
      </c>
      <c r="E7" s="6">
        <v>9.4719999999999999E-2</v>
      </c>
      <c r="F7" s="6">
        <v>28</v>
      </c>
      <c r="G7" s="6">
        <v>5.36</v>
      </c>
      <c r="H7" s="5" t="s">
        <v>76</v>
      </c>
      <c r="I7" s="5" t="s">
        <v>75</v>
      </c>
    </row>
    <row r="8" spans="1:17" x14ac:dyDescent="0.2">
      <c r="A8" s="5" t="s">
        <v>4</v>
      </c>
      <c r="B8" s="5">
        <v>2016</v>
      </c>
      <c r="C8" s="6">
        <v>0.10960999999999999</v>
      </c>
      <c r="D8" s="6">
        <v>0.10960999999999999</v>
      </c>
      <c r="E8" s="6">
        <v>9.1679999999999998E-2</v>
      </c>
      <c r="F8" s="6">
        <v>28</v>
      </c>
      <c r="G8" s="6">
        <v>5.36</v>
      </c>
      <c r="H8" s="5" t="s">
        <v>76</v>
      </c>
      <c r="I8" s="5" t="s">
        <v>75</v>
      </c>
    </row>
    <row r="9" spans="1:17" x14ac:dyDescent="0.2">
      <c r="A9" s="5" t="s">
        <v>4</v>
      </c>
      <c r="B9" s="5">
        <v>2017</v>
      </c>
      <c r="C9" s="6">
        <v>0.11765999999999999</v>
      </c>
      <c r="D9" s="6">
        <v>0.11765999999999999</v>
      </c>
      <c r="E9" s="6">
        <v>9.9729999999999985E-2</v>
      </c>
      <c r="F9" s="6">
        <v>28</v>
      </c>
      <c r="G9" s="6">
        <v>5.36</v>
      </c>
      <c r="H9" s="5" t="s">
        <v>76</v>
      </c>
      <c r="I9" s="5" t="s">
        <v>75</v>
      </c>
    </row>
    <row r="10" spans="1:17" x14ac:dyDescent="0.2">
      <c r="A10" s="5" t="s">
        <v>4</v>
      </c>
      <c r="B10" s="5">
        <v>2018</v>
      </c>
      <c r="C10" s="6">
        <v>0.12501999999999999</v>
      </c>
      <c r="D10" s="6">
        <v>0.12501999999999999</v>
      </c>
      <c r="E10" s="6">
        <v>0.10708999999999999</v>
      </c>
      <c r="F10" s="6">
        <v>28</v>
      </c>
      <c r="G10" s="6">
        <v>5.36</v>
      </c>
      <c r="H10" s="5" t="s">
        <v>76</v>
      </c>
      <c r="I10" s="5" t="s">
        <v>75</v>
      </c>
    </row>
    <row r="11" spans="1:17" x14ac:dyDescent="0.2">
      <c r="A11" s="5" t="s">
        <v>4</v>
      </c>
      <c r="B11" s="5">
        <v>2019</v>
      </c>
      <c r="C11" s="6">
        <v>0.13729</v>
      </c>
      <c r="D11" s="6">
        <v>0.13729</v>
      </c>
      <c r="E11" s="6">
        <v>0.11935999999999999</v>
      </c>
      <c r="F11" s="6">
        <v>28</v>
      </c>
      <c r="G11" s="6">
        <v>5.36</v>
      </c>
      <c r="H11" s="5" t="s">
        <v>76</v>
      </c>
      <c r="I11" s="5" t="s">
        <v>75</v>
      </c>
    </row>
    <row r="12" spans="1:17" x14ac:dyDescent="0.2">
      <c r="A12" s="5" t="s">
        <v>4</v>
      </c>
      <c r="B12" s="5">
        <v>2020</v>
      </c>
      <c r="C12" s="6">
        <v>0.14376</v>
      </c>
      <c r="D12" s="6">
        <v>0.14376</v>
      </c>
      <c r="E12" s="6">
        <v>0.12583</v>
      </c>
      <c r="F12" s="6">
        <v>28</v>
      </c>
      <c r="G12" s="6">
        <v>5.36</v>
      </c>
      <c r="H12" s="5" t="s">
        <v>76</v>
      </c>
      <c r="I12" s="5" t="s">
        <v>75</v>
      </c>
    </row>
    <row r="13" spans="1:17" x14ac:dyDescent="0.2">
      <c r="A13" s="7" t="s">
        <v>4</v>
      </c>
      <c r="B13" s="7">
        <v>2021</v>
      </c>
      <c r="C13" s="11"/>
      <c r="D13" s="11"/>
      <c r="E13" s="11"/>
      <c r="F13" s="11"/>
      <c r="G13" s="11"/>
      <c r="H13" s="7"/>
      <c r="I13" s="7"/>
    </row>
    <row r="14" spans="1:17" x14ac:dyDescent="0.2">
      <c r="A14" s="7" t="s">
        <v>4</v>
      </c>
      <c r="B14" s="7">
        <v>2022</v>
      </c>
      <c r="C14" s="11"/>
      <c r="D14" s="11"/>
      <c r="E14" s="11"/>
      <c r="F14" s="11"/>
      <c r="G14" s="11"/>
      <c r="H14" s="7"/>
      <c r="I14" s="7"/>
    </row>
    <row r="15" spans="1:17" x14ac:dyDescent="0.2">
      <c r="A15" s="54" t="s">
        <v>4</v>
      </c>
      <c r="B15" s="54">
        <v>2023</v>
      </c>
      <c r="C15" s="55">
        <f>J15+$P15</f>
        <v>0.16355999999999998</v>
      </c>
      <c r="D15" s="55">
        <f t="shared" ref="D15:E15" si="0">K15+$P15</f>
        <v>0.16355999999999998</v>
      </c>
      <c r="E15" s="55">
        <f t="shared" si="0"/>
        <v>0.14562999999999998</v>
      </c>
      <c r="F15" s="6">
        <v>28</v>
      </c>
      <c r="G15" s="6">
        <v>5.36</v>
      </c>
      <c r="H15" s="5" t="s">
        <v>76</v>
      </c>
      <c r="I15" s="5" t="s">
        <v>75</v>
      </c>
      <c r="J15" s="6">
        <v>5.688E-2</v>
      </c>
      <c r="K15" s="6">
        <v>5.688E-2</v>
      </c>
      <c r="L15" s="6">
        <v>3.8949999999999999E-2</v>
      </c>
      <c r="P15">
        <f>0.0569+0.00399+0.00658+0.01035+0.02886</f>
        <v>0.10668</v>
      </c>
      <c r="Q15" t="s">
        <v>84</v>
      </c>
    </row>
    <row r="16" spans="1:17" x14ac:dyDescent="0.2">
      <c r="A16" s="54" t="s">
        <v>4</v>
      </c>
      <c r="B16" s="54">
        <v>2024</v>
      </c>
      <c r="C16" s="55">
        <f>J16+$P16</f>
        <v>0.17114000000000001</v>
      </c>
      <c r="D16" s="55">
        <f t="shared" ref="D16" si="1">K16+$P16</f>
        <v>0.17114000000000001</v>
      </c>
      <c r="E16" s="55">
        <f t="shared" ref="E16" si="2">L16+$P16</f>
        <v>0.15321000000000001</v>
      </c>
      <c r="F16" s="6">
        <v>28</v>
      </c>
      <c r="G16" s="6">
        <v>5.36</v>
      </c>
      <c r="H16" s="5" t="s">
        <v>76</v>
      </c>
      <c r="I16" s="5" t="s">
        <v>75</v>
      </c>
      <c r="J16" s="6">
        <v>5.688E-2</v>
      </c>
      <c r="K16" s="6">
        <v>5.688E-2</v>
      </c>
      <c r="L16" s="6">
        <v>3.8949999999999999E-2</v>
      </c>
      <c r="P16">
        <f>0.0569+0.01815+0.00255+0.0123+0.02436</f>
        <v>0.11426</v>
      </c>
      <c r="Q16" t="s">
        <v>84</v>
      </c>
    </row>
    <row r="17" spans="1:9" x14ac:dyDescent="0.2">
      <c r="A17" s="7" t="s">
        <v>3</v>
      </c>
      <c r="B17" s="7">
        <v>2010</v>
      </c>
      <c r="C17" s="11"/>
      <c r="D17" s="11"/>
      <c r="E17" s="11"/>
      <c r="F17" s="11"/>
      <c r="G17" s="11"/>
      <c r="H17" s="7"/>
      <c r="I17" s="7"/>
    </row>
    <row r="18" spans="1:9" x14ac:dyDescent="0.2">
      <c r="A18" s="7" t="s">
        <v>3</v>
      </c>
      <c r="B18" s="7">
        <v>2011</v>
      </c>
      <c r="C18" s="11"/>
      <c r="D18" s="11"/>
      <c r="E18" s="11"/>
      <c r="F18" s="11"/>
      <c r="G18" s="11"/>
      <c r="H18" s="7"/>
      <c r="I18" s="7"/>
    </row>
    <row r="19" spans="1:9" x14ac:dyDescent="0.2">
      <c r="A19" s="7" t="s">
        <v>3</v>
      </c>
      <c r="B19" s="7">
        <v>2012</v>
      </c>
      <c r="C19" s="7"/>
      <c r="D19" s="7"/>
      <c r="E19" s="7"/>
      <c r="F19" s="7"/>
      <c r="G19" s="7"/>
      <c r="H19" s="7"/>
      <c r="I19" s="7"/>
    </row>
    <row r="20" spans="1:9" x14ac:dyDescent="0.2">
      <c r="A20" s="5" t="s">
        <v>3</v>
      </c>
      <c r="B20" s="5">
        <v>2013</v>
      </c>
      <c r="C20" s="12" t="s">
        <v>7</v>
      </c>
      <c r="D20" s="10">
        <f>0.0649-0.00097+0.01905</f>
        <v>8.2979999999999998E-2</v>
      </c>
      <c r="E20" s="10">
        <f>0.03798-0.00097+0.01905</f>
        <v>5.6059999999999999E-2</v>
      </c>
      <c r="F20" s="12">
        <v>626.52</v>
      </c>
      <c r="G20" s="12">
        <v>14.88</v>
      </c>
      <c r="H20" s="5" t="s">
        <v>30</v>
      </c>
      <c r="I20" s="5" t="s">
        <v>28</v>
      </c>
    </row>
    <row r="21" spans="1:9" x14ac:dyDescent="0.2">
      <c r="A21" s="5" t="s">
        <v>3</v>
      </c>
      <c r="B21" s="5">
        <v>2014</v>
      </c>
      <c r="C21" s="12" t="s">
        <v>7</v>
      </c>
      <c r="D21" s="10">
        <f>0.05817-0.00037+0.02307</f>
        <v>8.0869999999999997E-2</v>
      </c>
      <c r="E21" s="10">
        <f>0.03875-0.00037+0.02307</f>
        <v>6.1449999999999998E-2</v>
      </c>
      <c r="F21" s="12">
        <v>613.82000000000005</v>
      </c>
      <c r="G21" s="12">
        <v>15.33</v>
      </c>
      <c r="H21" s="5" t="s">
        <v>30</v>
      </c>
      <c r="I21" s="5" t="s">
        <v>28</v>
      </c>
    </row>
    <row r="22" spans="1:9" x14ac:dyDescent="0.2">
      <c r="A22" s="5" t="s">
        <v>3</v>
      </c>
      <c r="B22" s="5">
        <v>2015</v>
      </c>
      <c r="C22" s="12" t="s">
        <v>7</v>
      </c>
      <c r="D22" s="10">
        <f>0.06497-0.00172+0.02638</f>
        <v>8.9630000000000001E-2</v>
      </c>
      <c r="E22" s="10">
        <f>0.04372-0.00172+0.02638</f>
        <v>6.8379999999999996E-2</v>
      </c>
      <c r="F22" s="12">
        <v>609.78</v>
      </c>
      <c r="G22" s="12">
        <v>15.57</v>
      </c>
      <c r="H22" s="5" t="s">
        <v>30</v>
      </c>
      <c r="I22" s="5" t="s">
        <v>28</v>
      </c>
    </row>
    <row r="23" spans="1:9" x14ac:dyDescent="0.2">
      <c r="A23" s="5" t="s">
        <v>3</v>
      </c>
      <c r="B23" s="5">
        <v>2016</v>
      </c>
      <c r="C23" s="12" t="s">
        <v>7</v>
      </c>
      <c r="D23" s="10">
        <f>0.04473-0.00022+0.02331</f>
        <v>6.7820000000000005E-2</v>
      </c>
      <c r="E23" s="10">
        <f>0.02985-0.00022+0.02331</f>
        <v>5.2940000000000001E-2</v>
      </c>
      <c r="F23" s="12">
        <v>356.41</v>
      </c>
      <c r="G23" s="12">
        <v>17.579999999999998</v>
      </c>
      <c r="H23" s="5" t="s">
        <v>30</v>
      </c>
      <c r="I23" s="5" t="s">
        <v>28</v>
      </c>
    </row>
    <row r="24" spans="1:9" x14ac:dyDescent="0.2">
      <c r="A24" s="5" t="s">
        <v>3</v>
      </c>
      <c r="B24" s="5">
        <v>2017</v>
      </c>
      <c r="C24" s="12" t="s">
        <v>7</v>
      </c>
      <c r="D24" s="10">
        <f>0.04674+0.02576</f>
        <v>7.2499999999999995E-2</v>
      </c>
      <c r="E24" s="10">
        <f>0.03721+0.02576</f>
        <v>6.2969999999999998E-2</v>
      </c>
      <c r="F24" s="12">
        <v>634.89</v>
      </c>
      <c r="G24" s="12">
        <v>18.55</v>
      </c>
      <c r="H24" s="5" t="s">
        <v>30</v>
      </c>
      <c r="I24" s="5" t="s">
        <v>28</v>
      </c>
    </row>
    <row r="25" spans="1:9" x14ac:dyDescent="0.2">
      <c r="A25" s="5" t="s">
        <v>3</v>
      </c>
      <c r="B25" s="5">
        <v>2018</v>
      </c>
      <c r="C25" s="12" t="s">
        <v>7</v>
      </c>
      <c r="D25" s="10">
        <f>0.05369+0.02012</f>
        <v>7.3810000000000001E-2</v>
      </c>
      <c r="E25" s="10">
        <f>0.04274+0.02012</f>
        <v>6.2859999999999999E-2</v>
      </c>
      <c r="F25" s="12">
        <v>658.17</v>
      </c>
      <c r="G25" s="12">
        <v>19.02</v>
      </c>
      <c r="H25" s="5" t="s">
        <v>30</v>
      </c>
      <c r="I25" s="5" t="s">
        <v>28</v>
      </c>
    </row>
    <row r="26" spans="1:9" x14ac:dyDescent="0.2">
      <c r="A26" s="5" t="s">
        <v>3</v>
      </c>
      <c r="B26" s="5">
        <v>2019</v>
      </c>
      <c r="C26" s="12" t="s">
        <v>7</v>
      </c>
      <c r="D26" s="10">
        <f>0.05294-0.00007+0.02084</f>
        <v>7.3709999999999998E-2</v>
      </c>
      <c r="E26" s="10">
        <f>0.04214-0.00007+0.02084</f>
        <v>6.2909999999999994E-2</v>
      </c>
      <c r="F26" s="12">
        <v>658.17</v>
      </c>
      <c r="G26" s="12">
        <v>18.55</v>
      </c>
      <c r="H26" s="5" t="s">
        <v>30</v>
      </c>
      <c r="I26" s="5" t="s">
        <v>28</v>
      </c>
    </row>
    <row r="27" spans="1:9" x14ac:dyDescent="0.2">
      <c r="A27" s="5" t="s">
        <v>3</v>
      </c>
      <c r="B27" s="5">
        <v>2020</v>
      </c>
      <c r="C27" s="12">
        <f>0.0624+0.02439-0.00007</f>
        <v>8.6719999999999992E-2</v>
      </c>
      <c r="D27" s="10">
        <f>0.05239+0.02439-0.00007</f>
        <v>7.671E-2</v>
      </c>
      <c r="E27" s="10">
        <f>0.03361+0.02439-0.00007</f>
        <v>5.7929999999999995E-2</v>
      </c>
      <c r="F27" s="12">
        <v>433.47</v>
      </c>
      <c r="G27" s="12">
        <v>11.78</v>
      </c>
      <c r="H27" s="5" t="s">
        <v>29</v>
      </c>
      <c r="I27" s="5" t="s">
        <v>28</v>
      </c>
    </row>
    <row r="28" spans="1:9" x14ac:dyDescent="0.2">
      <c r="A28" s="5" t="s">
        <v>3</v>
      </c>
      <c r="B28" s="5">
        <v>2021</v>
      </c>
      <c r="C28" s="12">
        <f>0.06118+0.03873</f>
        <v>9.9909999999999999E-2</v>
      </c>
      <c r="D28" s="10">
        <f>0.05136+0.03873</f>
        <v>9.0090000000000003E-2</v>
      </c>
      <c r="E28" s="10">
        <v>3.8730000000000001E-2</v>
      </c>
      <c r="F28" s="12">
        <v>571.13</v>
      </c>
      <c r="G28" s="12">
        <v>14.97</v>
      </c>
      <c r="H28" s="5" t="s">
        <v>29</v>
      </c>
      <c r="I28" s="5" t="s">
        <v>28</v>
      </c>
    </row>
    <row r="29" spans="1:9" x14ac:dyDescent="0.2">
      <c r="A29" s="5" t="s">
        <v>3</v>
      </c>
      <c r="B29" s="5">
        <v>2022</v>
      </c>
      <c r="C29" s="12">
        <f>0.04325+0.06104</f>
        <v>0.10428999999999999</v>
      </c>
      <c r="D29" s="10">
        <f>0.04325+0.05125</f>
        <v>9.4500000000000001E-2</v>
      </c>
      <c r="E29" s="10">
        <f>0.04325+0.03285</f>
        <v>7.6100000000000001E-2</v>
      </c>
      <c r="F29" s="12">
        <v>716.13</v>
      </c>
      <c r="G29" s="12">
        <v>18.97</v>
      </c>
      <c r="H29" s="5" t="s">
        <v>29</v>
      </c>
      <c r="I29" s="5" t="s">
        <v>28</v>
      </c>
    </row>
    <row r="30" spans="1:9" x14ac:dyDescent="0.2">
      <c r="A30" s="5" t="s">
        <v>3</v>
      </c>
      <c r="B30" s="5">
        <v>2023</v>
      </c>
      <c r="C30" s="12">
        <f>0.00115+0.0439+0.09047</f>
        <v>0.13552</v>
      </c>
      <c r="D30" s="10">
        <f>0.00115+0.04257+0.09103</f>
        <v>0.13474999999999998</v>
      </c>
      <c r="E30" s="10">
        <f>0.00115+0.04181+0.04778</f>
        <v>9.0740000000000001E-2</v>
      </c>
      <c r="F30" s="12">
        <v>419.88</v>
      </c>
      <c r="G30" s="12">
        <v>21.22</v>
      </c>
      <c r="H30" s="5" t="s">
        <v>29</v>
      </c>
      <c r="I30" s="5" t="s">
        <v>28</v>
      </c>
    </row>
    <row r="31" spans="1:9" x14ac:dyDescent="0.2">
      <c r="A31" s="5" t="s">
        <v>3</v>
      </c>
      <c r="B31" s="5">
        <v>2024</v>
      </c>
      <c r="C31" s="12">
        <f>0.00047+0.03707+0.09407</f>
        <v>0.13161</v>
      </c>
      <c r="D31" s="10">
        <f>0.00047+0.03596+0.09465</f>
        <v>0.13108</v>
      </c>
      <c r="E31" s="10">
        <f>0.00047+0.03533+0.04968</f>
        <v>8.548E-2</v>
      </c>
      <c r="F31" s="12">
        <v>349.79</v>
      </c>
      <c r="G31" s="12">
        <v>23.28</v>
      </c>
      <c r="H31" s="5" t="s">
        <v>29</v>
      </c>
      <c r="I31" s="5" t="s">
        <v>28</v>
      </c>
    </row>
    <row r="32" spans="1:9" x14ac:dyDescent="0.2">
      <c r="A32" s="5" t="s">
        <v>1</v>
      </c>
      <c r="B32" s="5">
        <v>2010</v>
      </c>
      <c r="C32" s="9" t="s">
        <v>7</v>
      </c>
      <c r="D32" s="13">
        <v>9.5769999999999994E-2</v>
      </c>
      <c r="E32" s="13">
        <v>8.48E-2</v>
      </c>
      <c r="F32" s="10">
        <f>30*13.55236</f>
        <v>406.57080000000002</v>
      </c>
      <c r="G32" s="14">
        <v>7.97</v>
      </c>
      <c r="H32" s="5" t="s">
        <v>37</v>
      </c>
      <c r="I32" s="5" t="s">
        <v>33</v>
      </c>
    </row>
    <row r="33" spans="1:9" x14ac:dyDescent="0.2">
      <c r="A33" s="5" t="s">
        <v>1</v>
      </c>
      <c r="B33" s="5">
        <v>2011</v>
      </c>
      <c r="C33" s="9" t="s">
        <v>7</v>
      </c>
      <c r="D33" s="13">
        <v>9.2160000000000006E-2</v>
      </c>
      <c r="E33" s="13">
        <v>8.2390000000000005E-2</v>
      </c>
      <c r="F33" s="10">
        <f>30*13.55236</f>
        <v>406.57080000000002</v>
      </c>
      <c r="G33" s="14">
        <v>9</v>
      </c>
      <c r="H33" s="5" t="s">
        <v>37</v>
      </c>
      <c r="I33" s="5" t="s">
        <v>33</v>
      </c>
    </row>
    <row r="34" spans="1:9" x14ac:dyDescent="0.2">
      <c r="A34" s="5" t="s">
        <v>1</v>
      </c>
      <c r="B34" s="5">
        <v>2012</v>
      </c>
      <c r="C34" s="9" t="s">
        <v>7</v>
      </c>
      <c r="D34" s="13">
        <v>0.09</v>
      </c>
      <c r="E34" s="13">
        <v>7.2569999999999996E-2</v>
      </c>
      <c r="F34" s="10">
        <f>19.71253*30</f>
        <v>591.3759</v>
      </c>
      <c r="G34" s="14">
        <v>11.85</v>
      </c>
      <c r="H34" s="5" t="s">
        <v>37</v>
      </c>
      <c r="I34" s="5" t="s">
        <v>33</v>
      </c>
    </row>
    <row r="35" spans="1:9" x14ac:dyDescent="0.2">
      <c r="A35" s="5" t="s">
        <v>1</v>
      </c>
      <c r="B35" s="5">
        <v>2013</v>
      </c>
      <c r="C35" s="9" t="s">
        <v>7</v>
      </c>
      <c r="D35" s="13">
        <v>9.3030000000000002E-2</v>
      </c>
      <c r="E35" s="13">
        <v>7.3050000000000004E-2</v>
      </c>
      <c r="F35" s="10">
        <f>30*19.71253</f>
        <v>591.3759</v>
      </c>
      <c r="G35" s="14">
        <v>11.79</v>
      </c>
      <c r="H35" s="5" t="s">
        <v>37</v>
      </c>
      <c r="I35" s="5" t="s">
        <v>33</v>
      </c>
    </row>
    <row r="36" spans="1:9" x14ac:dyDescent="0.2">
      <c r="A36" s="5" t="s">
        <v>1</v>
      </c>
      <c r="B36" s="5">
        <v>2014</v>
      </c>
      <c r="C36" s="9" t="s">
        <v>7</v>
      </c>
      <c r="D36" s="13">
        <v>9.8239999999999994E-2</v>
      </c>
      <c r="E36" s="13">
        <v>7.6810000000000003E-2</v>
      </c>
      <c r="F36" s="10">
        <f>19.71253*30</f>
        <v>591.3759</v>
      </c>
      <c r="G36" s="14">
        <v>12.24</v>
      </c>
      <c r="H36" s="5" t="s">
        <v>37</v>
      </c>
      <c r="I36" s="5" t="s">
        <v>33</v>
      </c>
    </row>
    <row r="37" spans="1:9" x14ac:dyDescent="0.2">
      <c r="A37" s="5" t="s">
        <v>1</v>
      </c>
      <c r="B37" s="5">
        <v>2015</v>
      </c>
      <c r="C37" s="9" t="s">
        <v>7</v>
      </c>
      <c r="D37" s="13">
        <v>0.10485</v>
      </c>
      <c r="E37" s="13">
        <v>8.097E-2</v>
      </c>
      <c r="F37" s="10">
        <f>19.71253*30</f>
        <v>591.3759</v>
      </c>
      <c r="G37" s="14">
        <v>13.67</v>
      </c>
      <c r="H37" s="5" t="s">
        <v>37</v>
      </c>
      <c r="I37" s="5" t="s">
        <v>33</v>
      </c>
    </row>
    <row r="38" spans="1:9" x14ac:dyDescent="0.2">
      <c r="A38" s="5" t="s">
        <v>1</v>
      </c>
      <c r="B38" s="5">
        <v>2016</v>
      </c>
      <c r="C38" s="9" t="s">
        <v>7</v>
      </c>
      <c r="D38" s="13">
        <v>0.10122</v>
      </c>
      <c r="E38" s="13">
        <v>8.6739999999999998E-2</v>
      </c>
      <c r="F38" s="10">
        <f>30*19.71253</f>
        <v>591.3759</v>
      </c>
      <c r="G38" s="14">
        <v>15.86</v>
      </c>
      <c r="H38" s="5" t="s">
        <v>37</v>
      </c>
      <c r="I38" s="5" t="s">
        <v>33</v>
      </c>
    </row>
    <row r="39" spans="1:9" x14ac:dyDescent="0.2">
      <c r="A39" s="5" t="s">
        <v>1</v>
      </c>
      <c r="B39" s="5">
        <v>2017</v>
      </c>
      <c r="C39" s="9" t="s">
        <v>7</v>
      </c>
      <c r="D39" s="13">
        <v>0.10779</v>
      </c>
      <c r="E39" s="13">
        <v>9.3170000000000003E-2</v>
      </c>
      <c r="F39" s="10">
        <f>19.71253*30</f>
        <v>591.3759</v>
      </c>
      <c r="G39" s="14">
        <v>16.079999999999998</v>
      </c>
      <c r="H39" s="5" t="s">
        <v>37</v>
      </c>
      <c r="I39" s="5" t="s">
        <v>33</v>
      </c>
    </row>
    <row r="40" spans="1:9" x14ac:dyDescent="0.2">
      <c r="A40" s="5" t="s">
        <v>1</v>
      </c>
      <c r="B40" s="5">
        <v>2018</v>
      </c>
      <c r="C40" s="9" t="s">
        <v>7</v>
      </c>
      <c r="D40" s="13">
        <v>0.10639999999999999</v>
      </c>
      <c r="E40" s="13">
        <v>9.178E-2</v>
      </c>
      <c r="F40" s="10">
        <f>19.71253*30</f>
        <v>591.3759</v>
      </c>
      <c r="G40" s="14">
        <v>17.57</v>
      </c>
      <c r="H40" s="5" t="s">
        <v>37</v>
      </c>
      <c r="I40" s="5" t="s">
        <v>33</v>
      </c>
    </row>
    <row r="41" spans="1:9" x14ac:dyDescent="0.2">
      <c r="A41" s="5" t="s">
        <v>1</v>
      </c>
      <c r="B41" s="5">
        <v>2019</v>
      </c>
      <c r="C41" s="9" t="s">
        <v>7</v>
      </c>
      <c r="D41" s="13">
        <v>0.10958</v>
      </c>
      <c r="E41" s="13">
        <v>9.3549999999999994E-2</v>
      </c>
      <c r="F41" s="10">
        <f>30*19.71253</f>
        <v>591.3759</v>
      </c>
      <c r="G41" s="14">
        <v>17.54</v>
      </c>
      <c r="H41" s="5" t="s">
        <v>37</v>
      </c>
      <c r="I41" s="5" t="s">
        <v>33</v>
      </c>
    </row>
    <row r="42" spans="1:9" x14ac:dyDescent="0.2">
      <c r="A42" s="5" t="s">
        <v>1</v>
      </c>
      <c r="B42" s="5">
        <v>2020</v>
      </c>
      <c r="C42" s="9" t="s">
        <v>7</v>
      </c>
      <c r="D42" s="13">
        <v>0.11663999999999999</v>
      </c>
      <c r="E42" s="13">
        <v>9.9419999999999994E-2</v>
      </c>
      <c r="F42" s="10">
        <f>30*23.65503</f>
        <v>709.65089999999998</v>
      </c>
      <c r="G42" s="14">
        <v>20.55</v>
      </c>
      <c r="H42" s="5" t="s">
        <v>37</v>
      </c>
      <c r="I42" s="5" t="s">
        <v>33</v>
      </c>
    </row>
    <row r="43" spans="1:9" x14ac:dyDescent="0.2">
      <c r="A43" s="5" t="s">
        <v>1</v>
      </c>
      <c r="B43" s="5">
        <v>2021</v>
      </c>
      <c r="C43" s="9" t="s">
        <v>7</v>
      </c>
      <c r="D43" s="15">
        <v>0.11560000000000001</v>
      </c>
      <c r="E43" s="13">
        <v>9.917999999999999E-2</v>
      </c>
      <c r="F43" s="9">
        <f>30*24.86564</f>
        <v>745.9692</v>
      </c>
      <c r="G43" s="14">
        <v>21.08</v>
      </c>
      <c r="H43" s="5" t="s">
        <v>37</v>
      </c>
      <c r="I43" s="5" t="s">
        <v>33</v>
      </c>
    </row>
    <row r="44" spans="1:9" x14ac:dyDescent="0.2">
      <c r="A44" s="5" t="s">
        <v>1</v>
      </c>
      <c r="B44" s="5">
        <v>2022</v>
      </c>
      <c r="C44" s="15">
        <v>0.14338999999999999</v>
      </c>
      <c r="D44" s="15">
        <v>0.11233</v>
      </c>
      <c r="E44" s="15">
        <v>7.0650000000000004E-2</v>
      </c>
      <c r="F44" s="10">
        <f>30*29.6355</f>
        <v>889.06500000000005</v>
      </c>
      <c r="G44" s="14">
        <v>26.03</v>
      </c>
      <c r="H44" s="5" t="s">
        <v>38</v>
      </c>
      <c r="I44" s="5" t="s">
        <v>36</v>
      </c>
    </row>
    <row r="45" spans="1:9" x14ac:dyDescent="0.2">
      <c r="A45" s="5" t="s">
        <v>1</v>
      </c>
      <c r="B45" s="5">
        <v>2023</v>
      </c>
      <c r="C45" s="15">
        <v>0.1852</v>
      </c>
      <c r="D45" s="15">
        <v>0.13958999999999999</v>
      </c>
      <c r="E45" s="15">
        <v>7.8399999999999997E-2</v>
      </c>
      <c r="F45" s="10">
        <f>30*30.47581</f>
        <v>914.27429999999993</v>
      </c>
      <c r="G45" s="14">
        <v>26.46</v>
      </c>
      <c r="H45" s="5" t="s">
        <v>38</v>
      </c>
      <c r="I45" s="5" t="s">
        <v>36</v>
      </c>
    </row>
    <row r="46" spans="1:9" x14ac:dyDescent="0.2">
      <c r="A46" s="5" t="s">
        <v>1</v>
      </c>
      <c r="B46" s="5">
        <v>2024</v>
      </c>
      <c r="C46" s="15">
        <v>0.21119000000000002</v>
      </c>
      <c r="D46" s="15">
        <v>0.15683</v>
      </c>
      <c r="E46" s="15">
        <v>8.3900000000000002E-2</v>
      </c>
      <c r="F46" s="9">
        <f>30*57.4791</f>
        <v>1724.373</v>
      </c>
      <c r="G46" s="14">
        <v>37.85</v>
      </c>
      <c r="H46" s="5" t="s">
        <v>38</v>
      </c>
      <c r="I46" s="5" t="s">
        <v>36</v>
      </c>
    </row>
    <row r="47" spans="1:9" x14ac:dyDescent="0.2">
      <c r="A47" s="5" t="s">
        <v>5</v>
      </c>
      <c r="B47" s="5">
        <v>2010</v>
      </c>
      <c r="C47" s="9" t="s">
        <v>7</v>
      </c>
      <c r="D47" s="15">
        <v>8.9899999999999994E-2</v>
      </c>
      <c r="E47" s="15">
        <v>7.1199999999999999E-2</v>
      </c>
      <c r="F47" s="15">
        <v>94.6</v>
      </c>
      <c r="G47" s="15">
        <v>2.5</v>
      </c>
      <c r="H47" s="5"/>
      <c r="I47" s="5" t="s">
        <v>56</v>
      </c>
    </row>
    <row r="48" spans="1:9" x14ac:dyDescent="0.2">
      <c r="A48" s="5" t="s">
        <v>5</v>
      </c>
      <c r="B48" s="5">
        <v>2011</v>
      </c>
      <c r="C48" s="9" t="s">
        <v>7</v>
      </c>
      <c r="D48" s="15">
        <v>9.1899999999999996E-2</v>
      </c>
      <c r="E48" s="15">
        <v>7.2800000000000004E-2</v>
      </c>
      <c r="F48" s="15">
        <v>96.7</v>
      </c>
      <c r="G48" s="15">
        <v>2.5499999999999998</v>
      </c>
      <c r="H48" s="5"/>
      <c r="I48" s="5" t="s">
        <v>56</v>
      </c>
    </row>
    <row r="49" spans="1:17" x14ac:dyDescent="0.2">
      <c r="A49" s="5" t="s">
        <v>5</v>
      </c>
      <c r="B49" s="5">
        <v>2012</v>
      </c>
      <c r="C49" s="9" t="s">
        <v>7</v>
      </c>
      <c r="D49" s="15">
        <v>9.1899999999999996E-2</v>
      </c>
      <c r="E49" s="15">
        <v>7.2800000000000004E-2</v>
      </c>
      <c r="F49" s="15">
        <v>96.7</v>
      </c>
      <c r="G49" s="15">
        <v>2.5499999999999998</v>
      </c>
      <c r="H49" s="5"/>
      <c r="I49" s="5" t="s">
        <v>56</v>
      </c>
    </row>
    <row r="50" spans="1:17" x14ac:dyDescent="0.2">
      <c r="A50" s="5" t="s">
        <v>5</v>
      </c>
      <c r="B50" s="5">
        <v>2013</v>
      </c>
      <c r="C50" s="9" t="s">
        <v>7</v>
      </c>
      <c r="D50" s="15">
        <v>9.1899999999999996E-2</v>
      </c>
      <c r="E50" s="15">
        <v>7.2800000000000004E-2</v>
      </c>
      <c r="F50" s="15">
        <v>96.7</v>
      </c>
      <c r="G50" s="15">
        <v>2.5499999999999998</v>
      </c>
      <c r="H50" s="5"/>
      <c r="I50" s="5" t="s">
        <v>56</v>
      </c>
    </row>
    <row r="51" spans="1:17" x14ac:dyDescent="0.2">
      <c r="A51" s="5" t="s">
        <v>5</v>
      </c>
      <c r="B51" s="5">
        <v>2014</v>
      </c>
      <c r="C51" s="9" t="s">
        <v>7</v>
      </c>
      <c r="D51" s="15">
        <v>9.4200000000000006E-2</v>
      </c>
      <c r="E51" s="15">
        <v>7.4700000000000003E-2</v>
      </c>
      <c r="F51" s="15">
        <v>99.1</v>
      </c>
      <c r="G51" s="15">
        <v>2.61</v>
      </c>
      <c r="H51" s="5"/>
      <c r="I51" s="5" t="s">
        <v>56</v>
      </c>
    </row>
    <row r="52" spans="1:17" x14ac:dyDescent="0.2">
      <c r="A52" s="5" t="s">
        <v>5</v>
      </c>
      <c r="B52" s="5">
        <v>2015</v>
      </c>
      <c r="C52" s="9" t="s">
        <v>7</v>
      </c>
      <c r="D52" s="15">
        <v>9.6699999999999994E-2</v>
      </c>
      <c r="E52" s="15">
        <v>7.6600000000000001E-2</v>
      </c>
      <c r="F52" s="15">
        <v>101.6</v>
      </c>
      <c r="G52" s="15">
        <v>2.68</v>
      </c>
      <c r="H52" s="5"/>
      <c r="I52" s="5" t="s">
        <v>56</v>
      </c>
    </row>
    <row r="53" spans="1:17" x14ac:dyDescent="0.2">
      <c r="A53" s="5" t="s">
        <v>5</v>
      </c>
      <c r="B53" s="5">
        <v>2016</v>
      </c>
      <c r="C53" s="9" t="s">
        <v>7</v>
      </c>
      <c r="D53" s="6">
        <v>9.9199999999999997E-2</v>
      </c>
      <c r="E53" s="6">
        <v>7.8600000000000003E-2</v>
      </c>
      <c r="F53" s="6">
        <v>104.15</v>
      </c>
      <c r="G53" s="6">
        <v>2.75</v>
      </c>
      <c r="H53" s="5"/>
      <c r="I53" s="5" t="s">
        <v>56</v>
      </c>
    </row>
    <row r="54" spans="1:17" x14ac:dyDescent="0.2">
      <c r="A54" s="5" t="s">
        <v>5</v>
      </c>
      <c r="B54" s="5">
        <v>2017</v>
      </c>
      <c r="C54" s="9" t="s">
        <v>7</v>
      </c>
      <c r="D54" s="6">
        <v>0.1017</v>
      </c>
      <c r="E54" s="6">
        <v>8.0600000000000005E-2</v>
      </c>
      <c r="F54" s="6">
        <v>106.85</v>
      </c>
      <c r="G54" s="6">
        <v>2.82</v>
      </c>
      <c r="H54" s="5"/>
      <c r="I54" s="5" t="s">
        <v>56</v>
      </c>
    </row>
    <row r="55" spans="1:17" x14ac:dyDescent="0.2">
      <c r="A55" s="5" t="s">
        <v>5</v>
      </c>
      <c r="B55" s="5">
        <v>2018</v>
      </c>
      <c r="C55" s="9" t="s">
        <v>7</v>
      </c>
      <c r="D55" s="15">
        <v>0.1028</v>
      </c>
      <c r="E55" s="15">
        <v>8.14E-2</v>
      </c>
      <c r="F55" s="15">
        <v>107.95</v>
      </c>
      <c r="G55" s="15">
        <v>2.85</v>
      </c>
      <c r="H55" s="5"/>
      <c r="I55" s="5" t="s">
        <v>56</v>
      </c>
    </row>
    <row r="56" spans="1:17" x14ac:dyDescent="0.2">
      <c r="A56" s="5" t="s">
        <v>5</v>
      </c>
      <c r="B56" s="5">
        <v>2019</v>
      </c>
      <c r="C56" s="9" t="s">
        <v>7</v>
      </c>
      <c r="D56" s="15">
        <v>0.10390000000000001</v>
      </c>
      <c r="E56" s="15">
        <v>8.2199999999999995E-2</v>
      </c>
      <c r="F56" s="15">
        <v>109.05</v>
      </c>
      <c r="G56" s="15">
        <v>2.88</v>
      </c>
      <c r="H56" s="5"/>
      <c r="I56" s="5" t="s">
        <v>56</v>
      </c>
    </row>
    <row r="57" spans="1:17" x14ac:dyDescent="0.2">
      <c r="A57" s="5" t="s">
        <v>5</v>
      </c>
      <c r="B57" s="5">
        <v>2020</v>
      </c>
      <c r="C57" s="9" t="s">
        <v>7</v>
      </c>
      <c r="D57" s="15">
        <v>0.10879999999999999</v>
      </c>
      <c r="E57" s="15">
        <v>8.6099999999999996E-2</v>
      </c>
      <c r="F57" s="15">
        <v>114.25</v>
      </c>
      <c r="G57" s="15">
        <v>3.02</v>
      </c>
      <c r="H57" s="5"/>
      <c r="I57" s="5" t="s">
        <v>56</v>
      </c>
    </row>
    <row r="58" spans="1:17" x14ac:dyDescent="0.2">
      <c r="A58" s="5" t="s">
        <v>5</v>
      </c>
      <c r="B58" s="5">
        <v>2021</v>
      </c>
      <c r="C58" s="15">
        <v>0.1159</v>
      </c>
      <c r="D58" s="15">
        <v>9.3899999999999997E-2</v>
      </c>
      <c r="E58" s="15">
        <v>0.09</v>
      </c>
      <c r="F58" s="15">
        <v>273</v>
      </c>
      <c r="G58" s="15">
        <v>3.54</v>
      </c>
      <c r="H58" s="5"/>
      <c r="I58" s="5" t="s">
        <v>56</v>
      </c>
    </row>
    <row r="59" spans="1:17" x14ac:dyDescent="0.2">
      <c r="A59" s="5" t="s">
        <v>5</v>
      </c>
      <c r="B59" s="5">
        <v>2022</v>
      </c>
      <c r="C59" s="15">
        <v>0.1183</v>
      </c>
      <c r="D59" s="15">
        <v>9.5799999999999996E-2</v>
      </c>
      <c r="E59" s="15">
        <v>9.1899999999999996E-2</v>
      </c>
      <c r="F59" s="51">
        <v>278.60000000000002</v>
      </c>
      <c r="G59" s="52">
        <v>3.61</v>
      </c>
      <c r="H59" s="5" t="s">
        <v>70</v>
      </c>
      <c r="I59" s="5" t="s">
        <v>58</v>
      </c>
    </row>
    <row r="60" spans="1:17" x14ac:dyDescent="0.2">
      <c r="A60" s="5" t="s">
        <v>5</v>
      </c>
      <c r="B60" s="5">
        <v>2023</v>
      </c>
      <c r="C60" s="15">
        <v>0.1225</v>
      </c>
      <c r="D60" s="15">
        <v>9.9199999999999997E-2</v>
      </c>
      <c r="E60" s="15">
        <v>9.06E-2</v>
      </c>
      <c r="F60" s="15">
        <v>781.65</v>
      </c>
      <c r="G60" s="15">
        <v>4.1520000000000001</v>
      </c>
      <c r="H60" s="5" t="s">
        <v>70</v>
      </c>
      <c r="I60" s="5" t="s">
        <v>58</v>
      </c>
    </row>
    <row r="61" spans="1:17" x14ac:dyDescent="0.2">
      <c r="A61" s="5" t="s">
        <v>5</v>
      </c>
      <c r="B61" s="5">
        <v>2024</v>
      </c>
      <c r="C61" s="15">
        <v>0.1275</v>
      </c>
      <c r="D61" s="15">
        <v>0.1045</v>
      </c>
      <c r="E61" s="15">
        <v>8.1100000000000005E-2</v>
      </c>
      <c r="F61" s="15">
        <v>1479.9</v>
      </c>
      <c r="G61" s="15">
        <v>4.6920000000000002</v>
      </c>
      <c r="H61" s="5" t="s">
        <v>70</v>
      </c>
      <c r="I61" s="5" t="s">
        <v>58</v>
      </c>
    </row>
    <row r="62" spans="1:17" x14ac:dyDescent="0.2">
      <c r="A62" s="5" t="s">
        <v>6</v>
      </c>
      <c r="B62" s="5">
        <v>2010</v>
      </c>
      <c r="C62" s="55">
        <f t="shared" ref="C62:C75" si="3">J62+M62+$P62</f>
        <v>0.12744</v>
      </c>
      <c r="D62" s="55">
        <f t="shared" ref="D62:D75" si="4">K62+N62+$P62</f>
        <v>0.1164</v>
      </c>
      <c r="E62" s="55">
        <f t="shared" ref="E62:E75" si="5">L62+O62+$P62</f>
        <v>8.8849999999999998E-2</v>
      </c>
      <c r="F62" s="7"/>
      <c r="G62" s="6">
        <v>4.6399999999999997</v>
      </c>
      <c r="H62" s="5" t="s">
        <v>66</v>
      </c>
      <c r="I62" s="5" t="s">
        <v>65</v>
      </c>
      <c r="J62" s="6">
        <v>1.243E-2</v>
      </c>
      <c r="K62" s="6">
        <v>1.057E-2</v>
      </c>
      <c r="L62" s="6">
        <v>9.7099999999999999E-3</v>
      </c>
      <c r="M62">
        <v>0.10986</v>
      </c>
      <c r="N62">
        <v>0.10068000000000001</v>
      </c>
      <c r="O62">
        <v>7.399E-2</v>
      </c>
      <c r="P62">
        <v>5.1500000000000001E-3</v>
      </c>
      <c r="Q62" t="s">
        <v>88</v>
      </c>
    </row>
    <row r="63" spans="1:17" x14ac:dyDescent="0.2">
      <c r="A63" s="5" t="s">
        <v>6</v>
      </c>
      <c r="B63" s="5">
        <v>2011</v>
      </c>
      <c r="C63" s="55">
        <f t="shared" si="3"/>
        <v>9.5860000000000001E-2</v>
      </c>
      <c r="D63" s="55">
        <f t="shared" si="4"/>
        <v>8.7400000000000005E-2</v>
      </c>
      <c r="E63" s="55">
        <f t="shared" si="5"/>
        <v>6.6810000000000008E-2</v>
      </c>
      <c r="F63" s="7"/>
      <c r="G63" s="6">
        <v>5.23</v>
      </c>
      <c r="H63" s="5" t="s">
        <v>66</v>
      </c>
      <c r="I63" s="5" t="s">
        <v>65</v>
      </c>
      <c r="J63" s="6">
        <v>1.189E-2</v>
      </c>
      <c r="K63" s="6">
        <v>1.026E-2</v>
      </c>
      <c r="L63" s="6">
        <v>9.4999999999999998E-3</v>
      </c>
      <c r="M63">
        <v>7.8920000000000004E-2</v>
      </c>
      <c r="N63">
        <v>7.2090000000000001E-2</v>
      </c>
      <c r="O63">
        <v>5.2260000000000001E-2</v>
      </c>
      <c r="P63">
        <v>5.0499999999999998E-3</v>
      </c>
      <c r="Q63" t="s">
        <v>89</v>
      </c>
    </row>
    <row r="64" spans="1:17" x14ac:dyDescent="0.2">
      <c r="A64" s="5" t="s">
        <v>6</v>
      </c>
      <c r="B64" s="5">
        <v>2012</v>
      </c>
      <c r="C64" s="55">
        <f t="shared" si="3"/>
        <v>9.2399999999999996E-2</v>
      </c>
      <c r="D64" s="55">
        <f t="shared" si="4"/>
        <v>8.410999999999999E-2</v>
      </c>
      <c r="E64" s="55">
        <f t="shared" si="5"/>
        <v>6.3960000000000003E-2</v>
      </c>
      <c r="F64" s="7"/>
      <c r="G64" s="6">
        <v>4.75</v>
      </c>
      <c r="H64" s="5" t="s">
        <v>66</v>
      </c>
      <c r="I64" s="5" t="s">
        <v>65</v>
      </c>
      <c r="J64" s="6">
        <v>1.035E-2</v>
      </c>
      <c r="K64" s="6">
        <v>8.7399999999999995E-3</v>
      </c>
      <c r="L64" s="6">
        <v>7.9900000000000006E-3</v>
      </c>
      <c r="M64">
        <v>7.6920000000000002E-2</v>
      </c>
      <c r="N64">
        <v>7.0239999999999997E-2</v>
      </c>
      <c r="O64">
        <v>5.0840000000000003E-2</v>
      </c>
      <c r="P64">
        <v>5.13E-3</v>
      </c>
      <c r="Q64" t="s">
        <v>89</v>
      </c>
    </row>
    <row r="65" spans="1:17" x14ac:dyDescent="0.2">
      <c r="A65" s="5" t="s">
        <v>6</v>
      </c>
      <c r="B65" s="5">
        <v>2013</v>
      </c>
      <c r="C65" s="55">
        <f t="shared" si="3"/>
        <v>9.4750000000000001E-2</v>
      </c>
      <c r="D65" s="55">
        <f t="shared" si="4"/>
        <v>8.5610000000000006E-2</v>
      </c>
      <c r="E65" s="55">
        <f t="shared" si="5"/>
        <v>6.2469999999999998E-2</v>
      </c>
      <c r="F65" s="7"/>
      <c r="G65" s="6">
        <v>4.78</v>
      </c>
      <c r="H65" s="5" t="s">
        <v>66</v>
      </c>
      <c r="I65" s="5" t="s">
        <v>65</v>
      </c>
      <c r="J65" s="6">
        <v>-1.2199999999999999E-3</v>
      </c>
      <c r="K65" s="6">
        <v>-2.63E-3</v>
      </c>
      <c r="L65" s="6">
        <v>-3.29E-3</v>
      </c>
      <c r="M65">
        <v>9.1039999999999996E-2</v>
      </c>
      <c r="N65">
        <v>8.3309999999999995E-2</v>
      </c>
      <c r="O65">
        <v>6.0830000000000002E-2</v>
      </c>
      <c r="P65">
        <v>4.9300000000000004E-3</v>
      </c>
      <c r="Q65" t="s">
        <v>89</v>
      </c>
    </row>
    <row r="66" spans="1:17" x14ac:dyDescent="0.2">
      <c r="A66" s="5" t="s">
        <v>6</v>
      </c>
      <c r="B66" s="5">
        <v>2014</v>
      </c>
      <c r="C66" s="55">
        <f t="shared" si="3"/>
        <v>9.6950000000000008E-2</v>
      </c>
      <c r="D66" s="55">
        <f t="shared" si="4"/>
        <v>8.7479999999999988E-2</v>
      </c>
      <c r="E66" s="55">
        <f t="shared" si="5"/>
        <v>6.4869999999999997E-2</v>
      </c>
      <c r="F66" s="7"/>
      <c r="G66" s="6">
        <v>6.27</v>
      </c>
      <c r="H66" s="5" t="s">
        <v>66</v>
      </c>
      <c r="I66" s="5" t="s">
        <v>65</v>
      </c>
      <c r="J66" s="6">
        <v>4.4200000000000003E-3</v>
      </c>
      <c r="K66" s="6">
        <v>2.4099999999999998E-3</v>
      </c>
      <c r="L66" s="6">
        <v>1.48E-3</v>
      </c>
      <c r="M66">
        <v>8.7400000000000005E-2</v>
      </c>
      <c r="N66">
        <v>7.9939999999999997E-2</v>
      </c>
      <c r="O66">
        <v>5.8259999999999999E-2</v>
      </c>
      <c r="P66">
        <v>5.13E-3</v>
      </c>
      <c r="Q66" t="s">
        <v>89</v>
      </c>
    </row>
    <row r="67" spans="1:17" x14ac:dyDescent="0.2">
      <c r="A67" s="5" t="s">
        <v>6</v>
      </c>
      <c r="B67" s="5">
        <v>2015</v>
      </c>
      <c r="C67" s="55">
        <f t="shared" si="3"/>
        <v>0.11744</v>
      </c>
      <c r="D67" s="55">
        <f t="shared" si="4"/>
        <v>0.10173</v>
      </c>
      <c r="E67" s="55">
        <f t="shared" si="5"/>
        <v>8.0110000000000001E-2</v>
      </c>
      <c r="F67" s="6">
        <v>465.74</v>
      </c>
      <c r="G67" s="6">
        <v>7.66</v>
      </c>
      <c r="H67" s="5" t="s">
        <v>66</v>
      </c>
      <c r="I67" s="5" t="s">
        <v>65</v>
      </c>
      <c r="J67" s="6">
        <v>5.1900000000000002E-3</v>
      </c>
      <c r="K67" s="6">
        <v>5.1900000000000002E-3</v>
      </c>
      <c r="L67" s="6">
        <v>5.1900000000000002E-3</v>
      </c>
      <c r="M67">
        <v>0.10699</v>
      </c>
      <c r="N67">
        <v>9.128E-2</v>
      </c>
      <c r="O67">
        <v>6.966E-2</v>
      </c>
      <c r="P67">
        <v>5.2599999999999999E-3</v>
      </c>
      <c r="Q67" t="s">
        <v>89</v>
      </c>
    </row>
    <row r="68" spans="1:17" x14ac:dyDescent="0.2">
      <c r="A68" s="5" t="s">
        <v>6</v>
      </c>
      <c r="B68" s="5">
        <v>2016</v>
      </c>
      <c r="C68" s="55">
        <f t="shared" si="3"/>
        <v>0.11104</v>
      </c>
      <c r="D68" s="55">
        <f t="shared" si="4"/>
        <v>9.6710000000000004E-2</v>
      </c>
      <c r="E68" s="55">
        <f t="shared" si="5"/>
        <v>7.6990000000000003E-2</v>
      </c>
      <c r="F68" s="7"/>
      <c r="G68" s="6">
        <v>6.86</v>
      </c>
      <c r="H68" s="5" t="s">
        <v>66</v>
      </c>
      <c r="I68" s="5" t="s">
        <v>65</v>
      </c>
      <c r="J68" s="6">
        <v>8.0599999999999995E-3</v>
      </c>
      <c r="K68" s="6">
        <v>8.0599999999999995E-3</v>
      </c>
      <c r="L68" s="6">
        <v>8.0599999999999995E-3</v>
      </c>
      <c r="M68">
        <v>9.7589999999999996E-2</v>
      </c>
      <c r="N68">
        <v>8.3260000000000001E-2</v>
      </c>
      <c r="O68">
        <v>6.3539999999999999E-2</v>
      </c>
      <c r="P68">
        <v>5.3899999999999998E-3</v>
      </c>
      <c r="Q68" t="s">
        <v>89</v>
      </c>
    </row>
    <row r="69" spans="1:17" x14ac:dyDescent="0.2">
      <c r="A69" s="5" t="s">
        <v>6</v>
      </c>
      <c r="B69" s="5">
        <v>2017</v>
      </c>
      <c r="C69" s="55">
        <f t="shared" si="3"/>
        <v>0.11085</v>
      </c>
      <c r="D69" s="55">
        <f t="shared" si="4"/>
        <v>9.5739999999999992E-2</v>
      </c>
      <c r="E69" s="55">
        <f t="shared" si="5"/>
        <v>7.492E-2</v>
      </c>
      <c r="F69" s="4"/>
      <c r="G69" s="6">
        <v>7.57</v>
      </c>
      <c r="H69" s="5" t="s">
        <v>66</v>
      </c>
      <c r="I69" s="5" t="s">
        <v>65</v>
      </c>
      <c r="J69" s="6">
        <v>2.3900000000000002E-3</v>
      </c>
      <c r="K69" s="6">
        <v>2.3900000000000002E-3</v>
      </c>
      <c r="L69" s="6">
        <v>2.3900000000000002E-3</v>
      </c>
      <c r="M69">
        <v>0.10297000000000001</v>
      </c>
      <c r="N69">
        <v>8.7859999999999994E-2</v>
      </c>
      <c r="O69">
        <v>6.7040000000000002E-2</v>
      </c>
      <c r="P69">
        <v>5.4900000000000001E-3</v>
      </c>
      <c r="Q69" t="s">
        <v>89</v>
      </c>
    </row>
    <row r="70" spans="1:17" x14ac:dyDescent="0.2">
      <c r="A70" s="5" t="s">
        <v>6</v>
      </c>
      <c r="B70" s="5">
        <v>2018</v>
      </c>
      <c r="C70" s="55">
        <f>J70+M70+$P70</f>
        <v>0.11620999999999999</v>
      </c>
      <c r="D70" s="55">
        <f>K70+N70+$P70</f>
        <v>0.1037</v>
      </c>
      <c r="E70" s="55">
        <f>L70+O70+$P70</f>
        <v>8.9819999999999997E-2</v>
      </c>
      <c r="F70" s="6">
        <v>558.89</v>
      </c>
      <c r="G70" s="6">
        <v>16.61</v>
      </c>
      <c r="H70" s="5" t="s">
        <v>66</v>
      </c>
      <c r="I70" s="5" t="s">
        <v>65</v>
      </c>
      <c r="J70" s="6">
        <v>4.9800000000000001E-3</v>
      </c>
      <c r="K70" s="6">
        <v>4.9800000000000001E-3</v>
      </c>
      <c r="L70" s="6">
        <v>4.9800000000000001E-3</v>
      </c>
      <c r="M70">
        <v>0.11123</v>
      </c>
      <c r="N70">
        <v>9.8720000000000002E-2</v>
      </c>
      <c r="O70">
        <v>8.4839999999999999E-2</v>
      </c>
      <c r="P70" s="4"/>
      <c r="Q70" t="s">
        <v>89</v>
      </c>
    </row>
    <row r="71" spans="1:17" x14ac:dyDescent="0.2">
      <c r="A71" s="5" t="s">
        <v>6</v>
      </c>
      <c r="B71" s="5">
        <v>2019</v>
      </c>
      <c r="C71" s="55">
        <f>J71+M71+$P71</f>
        <v>0.12589</v>
      </c>
      <c r="D71" s="55">
        <f>K71+N71+$P71</f>
        <v>0.11344000000000001</v>
      </c>
      <c r="E71" s="55">
        <f>L71+O71+$P71</f>
        <v>9.9620000000000014E-2</v>
      </c>
      <c r="F71" s="6">
        <v>744.64</v>
      </c>
      <c r="G71" s="6">
        <v>16.98</v>
      </c>
      <c r="H71" s="5" t="s">
        <v>66</v>
      </c>
      <c r="I71" s="5" t="s">
        <v>65</v>
      </c>
      <c r="J71" s="6">
        <v>1.0120000000000001E-2</v>
      </c>
      <c r="K71" s="6">
        <v>1.0120000000000001E-2</v>
      </c>
      <c r="L71" s="6">
        <v>1.0120000000000001E-2</v>
      </c>
      <c r="M71">
        <v>0.11074000000000001</v>
      </c>
      <c r="N71">
        <v>9.8290000000000002E-2</v>
      </c>
      <c r="O71">
        <v>8.4470000000000003E-2</v>
      </c>
      <c r="P71">
        <v>5.0299999999999997E-3</v>
      </c>
      <c r="Q71" t="s">
        <v>89</v>
      </c>
    </row>
    <row r="72" spans="1:17" x14ac:dyDescent="0.2">
      <c r="A72" s="5" t="s">
        <v>6</v>
      </c>
      <c r="B72" s="5">
        <v>2020</v>
      </c>
      <c r="C72" s="55">
        <f>J72+M72+$P72</f>
        <v>0.11774999999999999</v>
      </c>
      <c r="D72" s="55">
        <f>K72+N72+$P72</f>
        <v>0.10575</v>
      </c>
      <c r="E72" s="55">
        <f>L72+O72+$P72</f>
        <v>9.2439999999999994E-2</v>
      </c>
      <c r="F72" s="7"/>
      <c r="G72" s="6">
        <v>19.22</v>
      </c>
      <c r="H72" s="5" t="s">
        <v>66</v>
      </c>
      <c r="I72" s="5" t="s">
        <v>65</v>
      </c>
      <c r="J72" s="6">
        <v>5.2300000000000003E-3</v>
      </c>
      <c r="K72" s="6">
        <v>5.2300000000000003E-3</v>
      </c>
      <c r="L72" s="6">
        <v>5.2300000000000003E-3</v>
      </c>
      <c r="M72">
        <v>0.10672</v>
      </c>
      <c r="N72">
        <v>9.4719999999999999E-2</v>
      </c>
      <c r="O72">
        <v>8.1409999999999996E-2</v>
      </c>
      <c r="P72">
        <v>5.7999999999999996E-3</v>
      </c>
      <c r="Q72" t="s">
        <v>86</v>
      </c>
    </row>
    <row r="73" spans="1:17" x14ac:dyDescent="0.2">
      <c r="A73" s="5" t="s">
        <v>6</v>
      </c>
      <c r="B73" s="5">
        <v>2021</v>
      </c>
      <c r="C73" s="55">
        <f t="shared" si="3"/>
        <v>0.12399</v>
      </c>
      <c r="D73" s="55">
        <f t="shared" si="4"/>
        <v>0.11131000000000001</v>
      </c>
      <c r="E73" s="55">
        <f t="shared" si="5"/>
        <v>9.7240000000000007E-2</v>
      </c>
      <c r="F73" s="7"/>
      <c r="G73" s="6">
        <v>20.62</v>
      </c>
      <c r="H73" s="5" t="s">
        <v>69</v>
      </c>
      <c r="I73" s="5" t="s">
        <v>65</v>
      </c>
      <c r="J73" s="6">
        <v>5.4299999999999999E-3</v>
      </c>
      <c r="K73" s="6">
        <v>5.4299999999999999E-3</v>
      </c>
      <c r="L73" s="6">
        <v>5.4299999999999999E-3</v>
      </c>
      <c r="M73">
        <v>0.11276</v>
      </c>
      <c r="N73">
        <v>0.10008</v>
      </c>
      <c r="O73">
        <v>8.6010000000000003E-2</v>
      </c>
      <c r="P73">
        <v>5.7999999999999996E-3</v>
      </c>
      <c r="Q73" t="s">
        <v>87</v>
      </c>
    </row>
    <row r="74" spans="1:17" x14ac:dyDescent="0.2">
      <c r="A74" s="5" t="s">
        <v>6</v>
      </c>
      <c r="B74" s="5">
        <v>2022</v>
      </c>
      <c r="C74" s="55">
        <f t="shared" si="3"/>
        <v>0.22836999999999999</v>
      </c>
      <c r="D74" s="55">
        <f t="shared" si="4"/>
        <v>0.13264000000000001</v>
      </c>
      <c r="E74" s="55">
        <f t="shared" si="5"/>
        <v>0.10489</v>
      </c>
      <c r="F74" s="7"/>
      <c r="G74" s="6">
        <v>25.56</v>
      </c>
      <c r="H74" s="5" t="s">
        <v>66</v>
      </c>
      <c r="I74" s="5" t="s">
        <v>65</v>
      </c>
      <c r="J74" s="6">
        <v>7.4799999999999997E-3</v>
      </c>
      <c r="K74" s="6">
        <v>7.4799999999999997E-3</v>
      </c>
      <c r="L74" s="6">
        <v>7.4799999999999997E-3</v>
      </c>
      <c r="M74">
        <v>0.21779999999999999</v>
      </c>
      <c r="N74">
        <v>0.12207</v>
      </c>
      <c r="O74">
        <v>9.4320000000000001E-2</v>
      </c>
      <c r="P74">
        <f>-0.00343+0.00652</f>
        <v>3.0899999999999999E-3</v>
      </c>
      <c r="Q74" t="s">
        <v>90</v>
      </c>
    </row>
    <row r="75" spans="1:17" x14ac:dyDescent="0.2">
      <c r="A75" s="5" t="s">
        <v>6</v>
      </c>
      <c r="B75" s="5">
        <v>2023</v>
      </c>
      <c r="C75" s="55">
        <f t="shared" si="3"/>
        <v>0.32091000000000003</v>
      </c>
      <c r="D75" s="55">
        <f t="shared" si="4"/>
        <v>0.19242000000000001</v>
      </c>
      <c r="E75" s="55">
        <f t="shared" si="5"/>
        <v>0.15513000000000002</v>
      </c>
      <c r="F75" s="6">
        <v>766.91</v>
      </c>
      <c r="G75" s="6">
        <v>28.83</v>
      </c>
      <c r="H75" s="5" t="s">
        <v>66</v>
      </c>
      <c r="I75" s="5" t="s">
        <v>65</v>
      </c>
      <c r="J75" s="6">
        <v>2.3099999999999999E-2</v>
      </c>
      <c r="K75" s="6">
        <v>2.3099999999999999E-2</v>
      </c>
      <c r="L75" s="6">
        <v>2.3099999999999999E-2</v>
      </c>
      <c r="M75">
        <v>0.29250999999999999</v>
      </c>
      <c r="N75">
        <v>0.16402</v>
      </c>
      <c r="O75">
        <v>0.12673000000000001</v>
      </c>
      <c r="P75">
        <v>5.3E-3</v>
      </c>
      <c r="Q75" t="s">
        <v>86</v>
      </c>
    </row>
    <row r="76" spans="1:17" x14ac:dyDescent="0.2">
      <c r="A76" s="5" t="s">
        <v>6</v>
      </c>
      <c r="B76" s="5">
        <v>2024</v>
      </c>
      <c r="C76" s="55">
        <f>J76+M76+$P76</f>
        <v>0.24451999999999999</v>
      </c>
      <c r="D76" s="55">
        <f t="shared" ref="D76:E76" si="6">K76+N76+$P76</f>
        <v>0.14777999999999999</v>
      </c>
      <c r="E76" s="55">
        <f t="shared" si="6"/>
        <v>0.11958000000000001</v>
      </c>
      <c r="F76" s="54">
        <v>766.91</v>
      </c>
      <c r="G76" s="6">
        <v>28.13</v>
      </c>
      <c r="H76" s="5" t="s">
        <v>85</v>
      </c>
      <c r="I76" s="5" t="s">
        <v>65</v>
      </c>
      <c r="J76" s="6">
        <v>1.814E-2</v>
      </c>
      <c r="K76" s="6">
        <v>1.814E-2</v>
      </c>
      <c r="L76" s="6">
        <v>1.814E-2</v>
      </c>
      <c r="M76">
        <v>0.22076999999999999</v>
      </c>
      <c r="N76">
        <v>0.12403</v>
      </c>
      <c r="O76">
        <v>9.5829999999999999E-2</v>
      </c>
      <c r="P76">
        <v>5.6100000000000004E-3</v>
      </c>
      <c r="Q76" t="s">
        <v>86</v>
      </c>
    </row>
    <row r="80" spans="1:17" ht="68" x14ac:dyDescent="0.2">
      <c r="A80" s="38" t="s">
        <v>44</v>
      </c>
      <c r="B80" s="37" t="s">
        <v>45</v>
      </c>
      <c r="C80" s="2" t="s">
        <v>51</v>
      </c>
    </row>
    <row r="82" spans="1:3" x14ac:dyDescent="0.2">
      <c r="A82" s="3" t="s">
        <v>47</v>
      </c>
      <c r="B82" s="39"/>
      <c r="C82" t="s">
        <v>48</v>
      </c>
    </row>
    <row r="83" spans="1:3" x14ac:dyDescent="0.2">
      <c r="B83" s="4"/>
      <c r="C83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residential</vt:lpstr>
      <vt:lpstr>commercial</vt:lpstr>
      <vt:lpstr>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2024-03-16T15:25:03Z</dcterms:created>
  <dcterms:modified xsi:type="dcterms:W3CDTF">2024-05-19T03:54:55Z</dcterms:modified>
</cp:coreProperties>
</file>