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0730" windowHeight="11760"/>
  </bookViews>
  <sheets>
    <sheet name="Sheet1" sheetId="1" r:id="rId1"/>
    <sheet name="Sheet2" sheetId="2" r:id="rId2"/>
    <sheet name="Sheet3" sheetId="3" r:id="rId3"/>
  </sheets>
  <definedNames>
    <definedName name="br">Sheet1!$C$4</definedName>
  </definedNames>
  <calcPr calcId="145621"/>
</workbook>
</file>

<file path=xl/calcChain.xml><?xml version="1.0" encoding="utf-8"?>
<calcChain xmlns="http://schemas.openxmlformats.org/spreadsheetml/2006/main">
  <c r="C4" i="1" l="1"/>
  <c r="P99" i="1" s="1"/>
  <c r="C8" i="1"/>
  <c r="C7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O99" i="1"/>
  <c r="M99" i="1"/>
  <c r="K99" i="1"/>
  <c r="I99" i="1"/>
  <c r="G99" i="1"/>
  <c r="E99" i="1"/>
  <c r="O98" i="1"/>
  <c r="M98" i="1"/>
  <c r="K98" i="1"/>
  <c r="I98" i="1"/>
  <c r="G98" i="1"/>
  <c r="E98" i="1"/>
  <c r="P98" i="1" l="1"/>
  <c r="F98" i="1"/>
  <c r="J98" i="1"/>
  <c r="N98" i="1"/>
  <c r="H98" i="1"/>
  <c r="L98" i="1"/>
  <c r="H99" i="1"/>
  <c r="L99" i="1"/>
  <c r="N99" i="1"/>
  <c r="F99" i="1"/>
  <c r="J99" i="1"/>
  <c r="Q100" i="1"/>
  <c r="Q98" i="1" l="1"/>
  <c r="Q99" i="1"/>
  <c r="C133" i="1"/>
  <c r="Q121" i="1" l="1"/>
  <c r="F7" i="1"/>
  <c r="E8" i="1"/>
  <c r="C79" i="1"/>
  <c r="F74" i="1"/>
  <c r="F73" i="1"/>
  <c r="F72" i="1"/>
  <c r="F71" i="1"/>
  <c r="F70" i="1"/>
  <c r="F69" i="1"/>
  <c r="F68" i="1"/>
  <c r="F67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C43" i="1"/>
  <c r="C42" i="1"/>
  <c r="E41" i="1"/>
  <c r="C86" i="1" s="1"/>
  <c r="E40" i="1"/>
  <c r="E113" i="1" s="1"/>
  <c r="F113" i="1" s="1"/>
  <c r="G113" i="1" s="1"/>
  <c r="H113" i="1" s="1"/>
  <c r="I113" i="1" s="1"/>
  <c r="J113" i="1" s="1"/>
  <c r="K113" i="1" s="1"/>
  <c r="L113" i="1" s="1"/>
  <c r="M113" i="1" s="1"/>
  <c r="N113" i="1" s="1"/>
  <c r="O113" i="1" s="1"/>
  <c r="P113" i="1" s="1"/>
  <c r="E36" i="1"/>
  <c r="E111" i="1" s="1"/>
  <c r="F111" i="1" s="1"/>
  <c r="G111" i="1" s="1"/>
  <c r="H111" i="1" s="1"/>
  <c r="I111" i="1" s="1"/>
  <c r="J111" i="1" s="1"/>
  <c r="K111" i="1" s="1"/>
  <c r="L111" i="1" s="1"/>
  <c r="M111" i="1" s="1"/>
  <c r="N111" i="1" s="1"/>
  <c r="O111" i="1" s="1"/>
  <c r="P111" i="1" s="1"/>
  <c r="E35" i="1"/>
  <c r="C90" i="1" s="1"/>
  <c r="E34" i="1"/>
  <c r="E109" i="1" s="1"/>
  <c r="E28" i="1"/>
  <c r="E27" i="1"/>
  <c r="E26" i="1"/>
  <c r="E25" i="1"/>
  <c r="E23" i="1"/>
  <c r="C91" i="1" l="1"/>
  <c r="Q113" i="1"/>
  <c r="D61" i="1"/>
  <c r="D62" i="1"/>
  <c r="D74" i="1"/>
  <c r="D67" i="1"/>
  <c r="D68" i="1"/>
  <c r="D50" i="1"/>
  <c r="D71" i="1"/>
  <c r="D51" i="1"/>
  <c r="D29" i="1"/>
  <c r="E29" i="1" s="1"/>
  <c r="D54" i="1"/>
  <c r="C19" i="1"/>
  <c r="D43" i="1" s="1"/>
  <c r="E43" i="1" s="1"/>
  <c r="D60" i="1"/>
  <c r="D52" i="1"/>
  <c r="F109" i="1"/>
  <c r="G109" i="1" s="1"/>
  <c r="H109" i="1" s="1"/>
  <c r="I109" i="1" s="1"/>
  <c r="J109" i="1" s="1"/>
  <c r="K109" i="1" s="1"/>
  <c r="L109" i="1" s="1"/>
  <c r="M109" i="1" s="1"/>
  <c r="N109" i="1" s="1"/>
  <c r="O109" i="1" s="1"/>
  <c r="P109" i="1" s="1"/>
  <c r="F75" i="1"/>
  <c r="E117" i="1" s="1"/>
  <c r="D53" i="1"/>
  <c r="D65" i="1"/>
  <c r="D57" i="1"/>
  <c r="D73" i="1"/>
  <c r="D58" i="1"/>
  <c r="D69" i="1"/>
  <c r="C89" i="1"/>
  <c r="D49" i="1"/>
  <c r="D59" i="1"/>
  <c r="D70" i="1"/>
  <c r="Q111" i="1"/>
  <c r="D47" i="1"/>
  <c r="D55" i="1"/>
  <c r="D63" i="1"/>
  <c r="D72" i="1"/>
  <c r="C85" i="1"/>
  <c r="D48" i="1"/>
  <c r="D56" i="1"/>
  <c r="D64" i="1"/>
  <c r="E114" i="1"/>
  <c r="E110" i="1"/>
  <c r="F8" i="1"/>
  <c r="S12" i="1"/>
  <c r="F117" i="1" l="1"/>
  <c r="G117" i="1" s="1"/>
  <c r="H117" i="1" s="1"/>
  <c r="I117" i="1" s="1"/>
  <c r="J117" i="1" s="1"/>
  <c r="K117" i="1" s="1"/>
  <c r="L117" i="1" s="1"/>
  <c r="M117" i="1" s="1"/>
  <c r="N117" i="1" s="1"/>
  <c r="O117" i="1" s="1"/>
  <c r="P117" i="1" s="1"/>
  <c r="D24" i="1"/>
  <c r="D33" i="1" s="1"/>
  <c r="E33" i="1" s="1"/>
  <c r="D42" i="1"/>
  <c r="E42" i="1" s="1"/>
  <c r="E115" i="1" s="1"/>
  <c r="F115" i="1" s="1"/>
  <c r="G115" i="1" s="1"/>
  <c r="H115" i="1" s="1"/>
  <c r="I115" i="1" s="1"/>
  <c r="J115" i="1" s="1"/>
  <c r="K115" i="1" s="1"/>
  <c r="L115" i="1" s="1"/>
  <c r="M115" i="1" s="1"/>
  <c r="N115" i="1" s="1"/>
  <c r="O115" i="1" s="1"/>
  <c r="P115" i="1" s="1"/>
  <c r="F114" i="1"/>
  <c r="G114" i="1" s="1"/>
  <c r="H114" i="1" s="1"/>
  <c r="I114" i="1" s="1"/>
  <c r="J114" i="1" s="1"/>
  <c r="K114" i="1" s="1"/>
  <c r="L114" i="1" s="1"/>
  <c r="M114" i="1" s="1"/>
  <c r="N114" i="1" s="1"/>
  <c r="O114" i="1" s="1"/>
  <c r="P114" i="1" s="1"/>
  <c r="F110" i="1"/>
  <c r="G110" i="1" s="1"/>
  <c r="H110" i="1" s="1"/>
  <c r="I110" i="1" s="1"/>
  <c r="J110" i="1" s="1"/>
  <c r="K110" i="1" s="1"/>
  <c r="L110" i="1" s="1"/>
  <c r="M110" i="1" s="1"/>
  <c r="N110" i="1" s="1"/>
  <c r="O110" i="1" s="1"/>
  <c r="P110" i="1" s="1"/>
  <c r="Q109" i="1"/>
  <c r="C78" i="1"/>
  <c r="C88" i="1"/>
  <c r="E116" i="1"/>
  <c r="E101" i="1"/>
  <c r="Q110" i="1" l="1"/>
  <c r="E122" i="1"/>
  <c r="E123" i="1"/>
  <c r="C87" i="1"/>
  <c r="E44" i="1"/>
  <c r="D30" i="1"/>
  <c r="E24" i="1"/>
  <c r="E30" i="1" s="1"/>
  <c r="C84" i="1" s="1"/>
  <c r="Q117" i="1"/>
  <c r="F116" i="1"/>
  <c r="G116" i="1" s="1"/>
  <c r="H116" i="1" s="1"/>
  <c r="I116" i="1" s="1"/>
  <c r="J116" i="1" s="1"/>
  <c r="K116" i="1" s="1"/>
  <c r="L116" i="1" s="1"/>
  <c r="M116" i="1" s="1"/>
  <c r="N116" i="1" s="1"/>
  <c r="O116" i="1" s="1"/>
  <c r="P116" i="1" s="1"/>
  <c r="Q114" i="1"/>
  <c r="Q115" i="1"/>
  <c r="C80" i="1"/>
  <c r="C81" i="1" s="1"/>
  <c r="F108" i="1"/>
  <c r="E37" i="1"/>
  <c r="F101" i="1"/>
  <c r="F122" i="1" l="1"/>
  <c r="F123" i="1"/>
  <c r="I71" i="1"/>
  <c r="J71" i="1" s="1"/>
  <c r="J73" i="1" s="1"/>
  <c r="C92" i="1"/>
  <c r="E104" i="1"/>
  <c r="F104" i="1" s="1"/>
  <c r="G104" i="1" s="1"/>
  <c r="H104" i="1" s="1"/>
  <c r="I104" i="1" s="1"/>
  <c r="J104" i="1" s="1"/>
  <c r="K104" i="1" s="1"/>
  <c r="L104" i="1" s="1"/>
  <c r="M104" i="1" s="1"/>
  <c r="N104" i="1" s="1"/>
  <c r="O104" i="1" s="1"/>
  <c r="P104" i="1" s="1"/>
  <c r="G108" i="1"/>
  <c r="H108" i="1" s="1"/>
  <c r="I108" i="1" s="1"/>
  <c r="J108" i="1" s="1"/>
  <c r="K108" i="1" s="1"/>
  <c r="L108" i="1" s="1"/>
  <c r="M108" i="1" s="1"/>
  <c r="N108" i="1" s="1"/>
  <c r="O108" i="1" s="1"/>
  <c r="P108" i="1" s="1"/>
  <c r="Q108" i="1" s="1"/>
  <c r="Q116" i="1"/>
  <c r="G101" i="1"/>
  <c r="F86" i="1" l="1"/>
  <c r="D126" i="1"/>
  <c r="D128" i="1" s="1"/>
  <c r="F124" i="1"/>
  <c r="G122" i="1"/>
  <c r="G123" i="1"/>
  <c r="E118" i="1"/>
  <c r="E120" i="1" s="1"/>
  <c r="Q104" i="1"/>
  <c r="H101" i="1"/>
  <c r="G124" i="1" l="1"/>
  <c r="H122" i="1"/>
  <c r="H123" i="1"/>
  <c r="F118" i="1"/>
  <c r="G118" i="1" s="1"/>
  <c r="I101" i="1"/>
  <c r="H124" i="1" l="1"/>
  <c r="I122" i="1"/>
  <c r="I123" i="1"/>
  <c r="F120" i="1"/>
  <c r="E124" i="1"/>
  <c r="E128" i="1" s="1"/>
  <c r="H118" i="1"/>
  <c r="G120" i="1"/>
  <c r="J101" i="1"/>
  <c r="I124" i="1" l="1"/>
  <c r="J122" i="1"/>
  <c r="J123" i="1"/>
  <c r="F128" i="1"/>
  <c r="I118" i="1"/>
  <c r="H120" i="1"/>
  <c r="K101" i="1"/>
  <c r="J124" i="1" l="1"/>
  <c r="K122" i="1"/>
  <c r="K123" i="1"/>
  <c r="G128" i="1"/>
  <c r="J118" i="1"/>
  <c r="I120" i="1"/>
  <c r="L101" i="1"/>
  <c r="K124" i="1" l="1"/>
  <c r="L122" i="1"/>
  <c r="L123" i="1"/>
  <c r="K118" i="1"/>
  <c r="J120" i="1"/>
  <c r="H128" i="1"/>
  <c r="M101" i="1"/>
  <c r="L124" i="1" l="1"/>
  <c r="M122" i="1"/>
  <c r="M123" i="1"/>
  <c r="I128" i="1"/>
  <c r="L118" i="1"/>
  <c r="K120" i="1"/>
  <c r="N101" i="1"/>
  <c r="M124" i="1" l="1"/>
  <c r="N122" i="1"/>
  <c r="N123" i="1"/>
  <c r="J128" i="1"/>
  <c r="M118" i="1"/>
  <c r="L120" i="1"/>
  <c r="O101" i="1"/>
  <c r="N124" i="1" l="1"/>
  <c r="O123" i="1"/>
  <c r="O122" i="1"/>
  <c r="K128" i="1"/>
  <c r="N118" i="1"/>
  <c r="M120" i="1"/>
  <c r="P101" i="1"/>
  <c r="Q101" i="1" s="1"/>
  <c r="O124" i="1" l="1"/>
  <c r="P123" i="1"/>
  <c r="P122" i="1"/>
  <c r="O118" i="1"/>
  <c r="N120" i="1"/>
  <c r="L128" i="1"/>
  <c r="P124" i="1" l="1"/>
  <c r="M128" i="1"/>
  <c r="P118" i="1"/>
  <c r="O120" i="1"/>
  <c r="N128" i="1" l="1"/>
  <c r="Q118" i="1"/>
  <c r="P120" i="1"/>
  <c r="O128" i="1" l="1"/>
  <c r="Q123" i="1"/>
  <c r="Q120" i="1"/>
  <c r="Q122" i="1" l="1"/>
  <c r="P128" i="1" l="1"/>
  <c r="C130" i="1" s="1"/>
  <c r="Q124" i="1"/>
  <c r="Q128" i="1" s="1"/>
</calcChain>
</file>

<file path=xl/sharedStrings.xml><?xml version="1.0" encoding="utf-8"?>
<sst xmlns="http://schemas.openxmlformats.org/spreadsheetml/2006/main" count="203" uniqueCount="140">
  <si>
    <t>Servicio de instalaciones de telecomunicaciones y reparaciones</t>
  </si>
  <si>
    <t>Límite de instalaciones por día</t>
  </si>
  <si>
    <t>Promedio de instalaciones</t>
  </si>
  <si>
    <t>N° de dias laborales</t>
  </si>
  <si>
    <t>S/.</t>
  </si>
  <si>
    <t>Unidad de baremos (br)</t>
  </si>
  <si>
    <t>br</t>
  </si>
  <si>
    <t>#</t>
  </si>
  <si>
    <t>IGV</t>
  </si>
  <si>
    <t>IR</t>
  </si>
  <si>
    <t>% Anual</t>
  </si>
  <si>
    <t>% Mensual</t>
  </si>
  <si>
    <t>% Partic.</t>
  </si>
  <si>
    <t>Contador</t>
  </si>
  <si>
    <t>Almacenero</t>
  </si>
  <si>
    <t>Secretaria</t>
  </si>
  <si>
    <t>Telefonia RPM</t>
  </si>
  <si>
    <t>Alquileres</t>
  </si>
  <si>
    <t>Oficina</t>
  </si>
  <si>
    <t>Almacen</t>
  </si>
  <si>
    <t>Combustible</t>
  </si>
  <si>
    <t>Escalera de fibra 28 pasos</t>
  </si>
  <si>
    <t>Costo S/.</t>
  </si>
  <si>
    <t>Cantidad</t>
  </si>
  <si>
    <t>Maletin</t>
  </si>
  <si>
    <t>Cartuchera Porta Herramientas</t>
  </si>
  <si>
    <t>Microtelefono de prueba</t>
  </si>
  <si>
    <t>Multímetro digital</t>
  </si>
  <si>
    <t>Clavadora</t>
  </si>
  <si>
    <t>Taladro eléctrico</t>
  </si>
  <si>
    <t>Brocas para madera y concreto</t>
  </si>
  <si>
    <t>Extensión de cable eléctrico</t>
  </si>
  <si>
    <t>Ponchadora</t>
  </si>
  <si>
    <t>Peladora de cables RG6</t>
  </si>
  <si>
    <t>Wincha para cable</t>
  </si>
  <si>
    <t>Martillo</t>
  </si>
  <si>
    <t>Alicate de corte</t>
  </si>
  <si>
    <t>Alicate de punta</t>
  </si>
  <si>
    <t>Desarmador plano</t>
  </si>
  <si>
    <t>Desarmador estrella</t>
  </si>
  <si>
    <t>Juego de desarmadores perilleros</t>
  </si>
  <si>
    <t>Punzon</t>
  </si>
  <si>
    <t>Casco</t>
  </si>
  <si>
    <t>Barbiquejo</t>
  </si>
  <si>
    <t>Correa de seguridad</t>
  </si>
  <si>
    <t>Botines</t>
  </si>
  <si>
    <t>Chaleco</t>
  </si>
  <si>
    <t>Guantes dielectrico</t>
  </si>
  <si>
    <t>Lentes protectores</t>
  </si>
  <si>
    <t>Cono de seguridad</t>
  </si>
  <si>
    <t>(Pago bimensual)</t>
  </si>
  <si>
    <t>Servicio</t>
  </si>
  <si>
    <t>Duo (Telefono e Internet)</t>
  </si>
  <si>
    <t>Trio (Telefono, Internet y Cable)</t>
  </si>
  <si>
    <t>Promedio instalaciones por día</t>
  </si>
  <si>
    <t>N° de días laborales</t>
  </si>
  <si>
    <t>Personal</t>
  </si>
  <si>
    <t>Administrador</t>
  </si>
  <si>
    <t>Choferes</t>
  </si>
  <si>
    <t>Supervisor</t>
  </si>
  <si>
    <t>Técnico</t>
  </si>
  <si>
    <t>Salario S/.</t>
  </si>
  <si>
    <t>Información Varios</t>
  </si>
  <si>
    <t>Pers/Cam</t>
  </si>
  <si>
    <t>N° de reparaciones por técnico</t>
  </si>
  <si>
    <t>Inst/Tco</t>
  </si>
  <si>
    <t>N° de instalaciones por técnico</t>
  </si>
  <si>
    <t>Técnicos asignados a Reparaciones</t>
  </si>
  <si>
    <t>Promedio de reparaciones al mes</t>
  </si>
  <si>
    <t>Rep</t>
  </si>
  <si>
    <t>Rep/Tco</t>
  </si>
  <si>
    <t>Tco</t>
  </si>
  <si>
    <t>Técnicos asignados a Instalaciones</t>
  </si>
  <si>
    <t>Inst/Día</t>
  </si>
  <si>
    <t>Días</t>
  </si>
  <si>
    <t>Unid</t>
  </si>
  <si>
    <t>Total Planilla</t>
  </si>
  <si>
    <t>Total</t>
  </si>
  <si>
    <t>Gastos por servicios mensuales</t>
  </si>
  <si>
    <t>Teléfono e internet oficina</t>
  </si>
  <si>
    <t>Servicio de agua</t>
  </si>
  <si>
    <t>Servicio de luz</t>
  </si>
  <si>
    <t>Alquileres mensuales</t>
  </si>
  <si>
    <t>Vehículos</t>
  </si>
  <si>
    <t>N° de vehículos</t>
  </si>
  <si>
    <t>Personas / vehículo</t>
  </si>
  <si>
    <t>S/. por día</t>
  </si>
  <si>
    <t>Al inicio se pagara la garantía</t>
  </si>
  <si>
    <t>Se paga plan y los equipos son gratuitos</t>
  </si>
  <si>
    <t>Materiales</t>
  </si>
  <si>
    <t>Equipos de protección personal</t>
  </si>
  <si>
    <t>Pago Fijo por servicio a ITDECSA</t>
  </si>
  <si>
    <t>Per. Renov. (Meses)</t>
  </si>
  <si>
    <t>S/. (pago bimensual)</t>
  </si>
  <si>
    <t>S/. Mes</t>
  </si>
  <si>
    <t>Total Inversión</t>
  </si>
  <si>
    <t>Adelanto alquiler almacen</t>
  </si>
  <si>
    <t>Capital de trabajo</t>
  </si>
  <si>
    <t>Planilla</t>
  </si>
  <si>
    <t>Alquiler oficina</t>
  </si>
  <si>
    <t>Alquiler almacen</t>
  </si>
  <si>
    <t>Telefonia</t>
  </si>
  <si>
    <t>Total Capital de trabajo</t>
  </si>
  <si>
    <t>Período</t>
  </si>
  <si>
    <t>Ingresos</t>
  </si>
  <si>
    <t>% Partc</t>
  </si>
  <si>
    <t>Instalación Duos</t>
  </si>
  <si>
    <t>Instalación Trios</t>
  </si>
  <si>
    <t>Inst.</t>
  </si>
  <si>
    <t>Pago por servicios</t>
  </si>
  <si>
    <t>Total Ingresos</t>
  </si>
  <si>
    <t>Total Egresos</t>
  </si>
  <si>
    <t>Servicios</t>
  </si>
  <si>
    <t>Uso de herramientas y equipos</t>
  </si>
  <si>
    <t>Utilidad bruta</t>
  </si>
  <si>
    <t>Meses</t>
  </si>
  <si>
    <t>IGV @ 18%</t>
  </si>
  <si>
    <t>IR @ 0.2% mes</t>
  </si>
  <si>
    <t>Total Impuestos</t>
  </si>
  <si>
    <t>Flujo de caja</t>
  </si>
  <si>
    <t>Inversión</t>
  </si>
  <si>
    <t>Tasa de descuento mensual (TEM)</t>
  </si>
  <si>
    <t>Tasa de descuento anual (TEA)</t>
  </si>
  <si>
    <t>NPV</t>
  </si>
  <si>
    <t>prestamo inicial del banco</t>
  </si>
  <si>
    <t>prestamo para planillas LISEN</t>
  </si>
  <si>
    <t>suejto a impuesto</t>
  </si>
  <si>
    <t>sujeto a impuesto</t>
  </si>
  <si>
    <t>preguntas para gerente de dominio</t>
  </si>
  <si>
    <t>Fecha de pago o facturacion a itdecsa, es un dia fijo o dia que depende el inicio del proyecto</t>
  </si>
  <si>
    <t>impuesto de…</t>
  </si>
  <si>
    <t>prestamo</t>
  </si>
  <si>
    <t>pago mensual durante 3 años</t>
  </si>
  <si>
    <t>Contrato previo con tiempos definidos</t>
  </si>
  <si>
    <t>Garantia de 36 instalaciones por dia como minimo, pago de dominio a itdecsa</t>
  </si>
  <si>
    <t>aumento de baremo</t>
  </si>
  <si>
    <t>Ineteres</t>
  </si>
  <si>
    <t>Gastos financieros</t>
  </si>
  <si>
    <t>Ineteres banco</t>
  </si>
  <si>
    <t>barrmos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</si>
</sst>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 * #,##0.0_ ;_ * \-#,##0.0_ ;_ * &quot;-&quot;??_ ;_ @_ "/>
    <numFmt numFmtId="165" formatCode="_ * #,##0_ ;_ * \-#,##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quotePrefix="1" applyFont="1" applyAlignment="1">
      <alignment horizontal="center"/>
    </xf>
    <xf numFmtId="43" fontId="4" fillId="0" borderId="0" xfId="1" applyFont="1"/>
    <xf numFmtId="0" fontId="4" fillId="0" borderId="0" xfId="0" applyFont="1" applyAlignment="1">
      <alignment horizontal="center"/>
    </xf>
    <xf numFmtId="0" fontId="5" fillId="0" borderId="0" xfId="0" applyFont="1"/>
    <xf numFmtId="165" fontId="4" fillId="3" borderId="0" xfId="1" applyNumberFormat="1" applyFont="1" applyFill="1"/>
    <xf numFmtId="0" fontId="6" fillId="0" borderId="0" xfId="0" applyFont="1"/>
    <xf numFmtId="165" fontId="4" fillId="0" borderId="0" xfId="1" applyNumberFormat="1" applyFont="1"/>
    <xf numFmtId="165" fontId="3" fillId="0" borderId="0" xfId="0" applyNumberFormat="1" applyFont="1"/>
    <xf numFmtId="164" fontId="4" fillId="0" borderId="0" xfId="1" applyNumberFormat="1" applyFont="1"/>
    <xf numFmtId="165" fontId="4" fillId="0" borderId="0" xfId="0" applyNumberFormat="1" applyFont="1"/>
    <xf numFmtId="43" fontId="4" fillId="0" borderId="0" xfId="1" applyNumberFormat="1" applyFont="1"/>
    <xf numFmtId="0" fontId="7" fillId="0" borderId="0" xfId="0" applyFont="1"/>
    <xf numFmtId="0" fontId="8" fillId="0" borderId="0" xfId="0" applyFont="1"/>
    <xf numFmtId="43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3" fontId="3" fillId="0" borderId="0" xfId="1" applyFont="1"/>
    <xf numFmtId="165" fontId="3" fillId="0" borderId="0" xfId="1" applyNumberFormat="1" applyFont="1"/>
    <xf numFmtId="10" fontId="4" fillId="0" borderId="0" xfId="0" applyNumberFormat="1" applyFont="1"/>
    <xf numFmtId="0" fontId="8" fillId="3" borderId="0" xfId="0" applyFont="1" applyFill="1"/>
    <xf numFmtId="0" fontId="4" fillId="3" borderId="0" xfId="0" applyFont="1" applyFill="1"/>
    <xf numFmtId="164" fontId="4" fillId="3" borderId="0" xfId="1" applyNumberFormat="1" applyFont="1" applyFill="1"/>
    <xf numFmtId="43" fontId="4" fillId="3" borderId="0" xfId="1" applyNumberFormat="1" applyFont="1" applyFill="1"/>
    <xf numFmtId="165" fontId="4" fillId="3" borderId="0" xfId="0" applyNumberFormat="1" applyFont="1" applyFill="1"/>
    <xf numFmtId="164" fontId="4" fillId="3" borderId="0" xfId="0" applyNumberFormat="1" applyFont="1" applyFill="1"/>
    <xf numFmtId="43" fontId="3" fillId="2" borderId="1" xfId="1" applyNumberFormat="1" applyFont="1" applyFill="1" applyBorder="1"/>
    <xf numFmtId="43" fontId="4" fillId="0" borderId="0" xfId="0" applyNumberFormat="1" applyFont="1"/>
    <xf numFmtId="0" fontId="9" fillId="3" borderId="0" xfId="0" applyFont="1" applyFill="1"/>
    <xf numFmtId="0" fontId="4" fillId="4" borderId="0" xfId="0" applyFont="1" applyFill="1"/>
    <xf numFmtId="0" fontId="10" fillId="0" borderId="0" xfId="0" applyFont="1" applyAlignment="1">
      <alignment horizontal="center"/>
    </xf>
    <xf numFmtId="9" fontId="0" fillId="0" borderId="0" xfId="0" applyNumberFormat="1"/>
    <xf numFmtId="43" fontId="3" fillId="4" borderId="0" xfId="1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46"/>
  <sheetViews>
    <sheetView tabSelected="1" zoomScale="85" zoomScaleNormal="85" workbookViewId="0">
      <selection activeCell="E11" sqref="E11"/>
    </sheetView>
  </sheetViews>
  <sheetFormatPr baseColWidth="10" defaultColWidth="9.140625" defaultRowHeight="12.75" x14ac:dyDescent="0.2"/>
  <cols>
    <col min="1" max="1" width="9.140625" style="3"/>
    <col min="2" max="2" width="29.7109375" style="3" customWidth="1"/>
    <col min="3" max="17" width="14.7109375" style="3" customWidth="1"/>
    <col min="18" max="21" width="9.140625" style="3"/>
    <col min="22" max="22" width="11.42578125" style="3" customWidth="1"/>
    <col min="23" max="16384" width="9.140625" style="3"/>
  </cols>
  <sheetData>
    <row r="2" spans="2:22" ht="15.75" x14ac:dyDescent="0.25">
      <c r="B2" s="1" t="s">
        <v>0</v>
      </c>
    </row>
    <row r="3" spans="2:22" ht="15" customHeight="1" x14ac:dyDescent="0.2">
      <c r="B3" s="2"/>
    </row>
    <row r="4" spans="2:22" x14ac:dyDescent="0.2">
      <c r="B4" s="3" t="s">
        <v>5</v>
      </c>
      <c r="C4" s="26">
        <f>16+E10</f>
        <v>19</v>
      </c>
      <c r="D4" s="6" t="s">
        <v>4</v>
      </c>
      <c r="E4" s="4"/>
      <c r="F4" s="5"/>
    </row>
    <row r="5" spans="2:22" x14ac:dyDescent="0.2">
      <c r="E5" s="4"/>
      <c r="F5" s="5"/>
    </row>
    <row r="6" spans="2:22" x14ac:dyDescent="0.2">
      <c r="B6" s="2" t="s">
        <v>51</v>
      </c>
      <c r="E6" s="3" t="s">
        <v>105</v>
      </c>
      <c r="F6" s="3" t="s">
        <v>108</v>
      </c>
      <c r="Q6" s="3" t="s">
        <v>1</v>
      </c>
      <c r="U6" s="3">
        <v>50</v>
      </c>
      <c r="V6" s="6" t="s">
        <v>7</v>
      </c>
    </row>
    <row r="7" spans="2:22" x14ac:dyDescent="0.2">
      <c r="B7" s="16" t="s">
        <v>52</v>
      </c>
      <c r="C7" s="24">
        <f>2.8</f>
        <v>2.8</v>
      </c>
      <c r="D7" s="16" t="s">
        <v>6</v>
      </c>
      <c r="E7" s="25">
        <v>90</v>
      </c>
      <c r="F7" s="13">
        <f>ROUND($C$11*E7%,0)</f>
        <v>27</v>
      </c>
      <c r="Q7" s="3" t="s">
        <v>2</v>
      </c>
      <c r="U7" s="3">
        <v>40</v>
      </c>
      <c r="V7" s="6" t="s">
        <v>7</v>
      </c>
    </row>
    <row r="8" spans="2:22" x14ac:dyDescent="0.2">
      <c r="B8" s="15" t="s">
        <v>53</v>
      </c>
      <c r="C8" s="25">
        <f>3.2</f>
        <v>3.2</v>
      </c>
      <c r="D8" s="3" t="s">
        <v>6</v>
      </c>
      <c r="E8" s="25">
        <f>100-E7</f>
        <v>10</v>
      </c>
      <c r="F8" s="13">
        <f>C11-F7</f>
        <v>3</v>
      </c>
      <c r="Q8" s="3" t="s">
        <v>3</v>
      </c>
      <c r="U8" s="3">
        <v>24</v>
      </c>
      <c r="V8" s="6" t="s">
        <v>7</v>
      </c>
    </row>
    <row r="10" spans="2:22" x14ac:dyDescent="0.2">
      <c r="B10" s="2" t="s">
        <v>62</v>
      </c>
      <c r="E10" s="33">
        <v>3</v>
      </c>
      <c r="G10" s="3">
        <v>0.7</v>
      </c>
      <c r="H10" s="3" t="s">
        <v>139</v>
      </c>
    </row>
    <row r="11" spans="2:22" x14ac:dyDescent="0.2">
      <c r="B11" s="3" t="s">
        <v>54</v>
      </c>
      <c r="C11" s="8">
        <v>30</v>
      </c>
      <c r="D11" s="3" t="s">
        <v>73</v>
      </c>
      <c r="S11" s="3" t="s">
        <v>12</v>
      </c>
    </row>
    <row r="12" spans="2:22" x14ac:dyDescent="0.2">
      <c r="B12" s="3" t="s">
        <v>55</v>
      </c>
      <c r="C12" s="8">
        <v>24</v>
      </c>
      <c r="D12" s="3" t="s">
        <v>74</v>
      </c>
      <c r="O12" s="3" t="s">
        <v>8</v>
      </c>
      <c r="P12" s="3">
        <v>18</v>
      </c>
      <c r="S12" s="8">
        <f>100-S13</f>
        <v>100</v>
      </c>
      <c r="U12" s="9" t="s">
        <v>50</v>
      </c>
    </row>
    <row r="13" spans="2:22" x14ac:dyDescent="0.2">
      <c r="B13" s="3" t="s">
        <v>68</v>
      </c>
      <c r="C13" s="8">
        <v>1728</v>
      </c>
      <c r="D13" s="3" t="s">
        <v>69</v>
      </c>
      <c r="O13" s="3" t="s">
        <v>9</v>
      </c>
      <c r="P13" s="3">
        <v>2</v>
      </c>
      <c r="Q13" s="3" t="s">
        <v>10</v>
      </c>
      <c r="S13" s="8">
        <v>0</v>
      </c>
    </row>
    <row r="14" spans="2:22" x14ac:dyDescent="0.2">
      <c r="B14" s="3" t="s">
        <v>85</v>
      </c>
      <c r="C14" s="8">
        <v>4</v>
      </c>
      <c r="D14" s="3" t="s">
        <v>63</v>
      </c>
      <c r="P14" s="3">
        <v>0.2</v>
      </c>
      <c r="Q14" s="3" t="s">
        <v>11</v>
      </c>
      <c r="S14" s="8"/>
    </row>
    <row r="15" spans="2:22" x14ac:dyDescent="0.2">
      <c r="B15" s="3" t="s">
        <v>64</v>
      </c>
      <c r="C15" s="8">
        <v>8</v>
      </c>
      <c r="D15" s="3" t="s">
        <v>70</v>
      </c>
      <c r="S15" s="8"/>
    </row>
    <row r="16" spans="2:22" x14ac:dyDescent="0.2">
      <c r="B16" s="3" t="s">
        <v>66</v>
      </c>
      <c r="C16" s="8">
        <v>3</v>
      </c>
      <c r="D16" s="3" t="s">
        <v>65</v>
      </c>
      <c r="S16" s="8"/>
    </row>
    <row r="17" spans="2:19" x14ac:dyDescent="0.2">
      <c r="B17" s="3" t="s">
        <v>67</v>
      </c>
      <c r="C17" s="10">
        <v>5</v>
      </c>
      <c r="D17" s="3" t="s">
        <v>71</v>
      </c>
      <c r="S17" s="8"/>
    </row>
    <row r="18" spans="2:19" x14ac:dyDescent="0.2">
      <c r="B18" s="3" t="s">
        <v>72</v>
      </c>
      <c r="C18" s="10">
        <v>5</v>
      </c>
      <c r="D18" s="3" t="s">
        <v>71</v>
      </c>
      <c r="S18" s="8"/>
    </row>
    <row r="19" spans="2:19" x14ac:dyDescent="0.2">
      <c r="B19" s="3" t="s">
        <v>84</v>
      </c>
      <c r="C19" s="12">
        <f>ROUND(SUM(C17:C18)/C14,0)+1</f>
        <v>4</v>
      </c>
      <c r="D19" s="3" t="s">
        <v>75</v>
      </c>
      <c r="S19" s="8"/>
    </row>
    <row r="20" spans="2:19" x14ac:dyDescent="0.2">
      <c r="B20" s="3" t="s">
        <v>91</v>
      </c>
      <c r="C20" s="26">
        <v>10000</v>
      </c>
      <c r="D20" s="3" t="s">
        <v>93</v>
      </c>
      <c r="S20" s="8"/>
    </row>
    <row r="22" spans="2:19" x14ac:dyDescent="0.2">
      <c r="B22" s="2" t="s">
        <v>56</v>
      </c>
      <c r="C22" s="2" t="s">
        <v>61</v>
      </c>
      <c r="D22" s="2" t="s">
        <v>23</v>
      </c>
      <c r="E22" s="2" t="s">
        <v>76</v>
      </c>
    </row>
    <row r="23" spans="2:19" x14ac:dyDescent="0.2">
      <c r="B23" s="3" t="s">
        <v>57</v>
      </c>
      <c r="C23" s="27">
        <v>3000</v>
      </c>
      <c r="D23" s="8">
        <v>1</v>
      </c>
      <c r="E23" s="5">
        <f>C23*D23</f>
        <v>3000</v>
      </c>
    </row>
    <row r="24" spans="2:19" x14ac:dyDescent="0.2">
      <c r="B24" s="3" t="s">
        <v>58</v>
      </c>
      <c r="C24" s="27">
        <v>1200</v>
      </c>
      <c r="D24" s="10">
        <f>C19-1</f>
        <v>3</v>
      </c>
      <c r="E24" s="5">
        <f t="shared" ref="E24:E29" si="0">C24*D24</f>
        <v>3600</v>
      </c>
    </row>
    <row r="25" spans="2:19" x14ac:dyDescent="0.2">
      <c r="B25" s="3" t="s">
        <v>59</v>
      </c>
      <c r="C25" s="27">
        <v>2000</v>
      </c>
      <c r="D25" s="8">
        <v>1</v>
      </c>
      <c r="E25" s="5">
        <f t="shared" si="0"/>
        <v>2000</v>
      </c>
    </row>
    <row r="26" spans="2:19" x14ac:dyDescent="0.2">
      <c r="B26" s="3" t="s">
        <v>13</v>
      </c>
      <c r="C26" s="27">
        <v>850</v>
      </c>
      <c r="D26" s="8">
        <v>1</v>
      </c>
      <c r="E26" s="5">
        <f t="shared" si="0"/>
        <v>850</v>
      </c>
    </row>
    <row r="27" spans="2:19" x14ac:dyDescent="0.2">
      <c r="B27" s="3" t="s">
        <v>14</v>
      </c>
      <c r="C27" s="27">
        <v>750</v>
      </c>
      <c r="D27" s="8">
        <v>1</v>
      </c>
      <c r="E27" s="5">
        <f t="shared" si="0"/>
        <v>750</v>
      </c>
    </row>
    <row r="28" spans="2:19" x14ac:dyDescent="0.2">
      <c r="B28" s="3" t="s">
        <v>15</v>
      </c>
      <c r="C28" s="27">
        <v>750</v>
      </c>
      <c r="D28" s="8">
        <v>1</v>
      </c>
      <c r="E28" s="5">
        <f t="shared" si="0"/>
        <v>750</v>
      </c>
    </row>
    <row r="29" spans="2:19" x14ac:dyDescent="0.2">
      <c r="B29" s="3" t="s">
        <v>60</v>
      </c>
      <c r="C29" s="27">
        <v>1200</v>
      </c>
      <c r="D29" s="10">
        <f>SUM(C17:C18)</f>
        <v>10</v>
      </c>
      <c r="E29" s="5">
        <f t="shared" si="0"/>
        <v>12000</v>
      </c>
    </row>
    <row r="30" spans="2:19" x14ac:dyDescent="0.2">
      <c r="B30" s="2" t="s">
        <v>77</v>
      </c>
      <c r="D30" s="11">
        <f>SUM(D23:D29)</f>
        <v>18</v>
      </c>
      <c r="E30" s="17">
        <f>SUM(E23:E29)</f>
        <v>22950</v>
      </c>
    </row>
    <row r="32" spans="2:19" x14ac:dyDescent="0.2">
      <c r="B32" s="2" t="s">
        <v>78</v>
      </c>
      <c r="C32" s="2" t="s">
        <v>22</v>
      </c>
      <c r="D32" s="2" t="s">
        <v>23</v>
      </c>
      <c r="E32" s="2" t="s">
        <v>77</v>
      </c>
    </row>
    <row r="33" spans="2:8" x14ac:dyDescent="0.2">
      <c r="B33" s="3" t="s">
        <v>16</v>
      </c>
      <c r="C33" s="25">
        <v>30</v>
      </c>
      <c r="D33" s="28">
        <f>SUM(D23,D24,D25,D29)</f>
        <v>15</v>
      </c>
      <c r="E33" s="13">
        <f>C33*D33</f>
        <v>450</v>
      </c>
      <c r="F33" s="3" t="s">
        <v>88</v>
      </c>
    </row>
    <row r="34" spans="2:8" x14ac:dyDescent="0.2">
      <c r="B34" s="3" t="s">
        <v>79</v>
      </c>
      <c r="C34" s="25">
        <v>200</v>
      </c>
      <c r="D34" s="25">
        <v>1</v>
      </c>
      <c r="E34" s="13">
        <f>C34*D34</f>
        <v>200</v>
      </c>
    </row>
    <row r="35" spans="2:8" x14ac:dyDescent="0.2">
      <c r="B35" s="3" t="s">
        <v>80</v>
      </c>
      <c r="C35" s="25">
        <v>50</v>
      </c>
      <c r="D35" s="25">
        <v>1</v>
      </c>
      <c r="E35" s="13">
        <f t="shared" ref="E35:E36" si="1">C35*D35</f>
        <v>50</v>
      </c>
    </row>
    <row r="36" spans="2:8" x14ac:dyDescent="0.2">
      <c r="B36" s="3" t="s">
        <v>81</v>
      </c>
      <c r="C36" s="25">
        <v>50</v>
      </c>
      <c r="D36" s="25">
        <v>1</v>
      </c>
      <c r="E36" s="13">
        <f t="shared" si="1"/>
        <v>50</v>
      </c>
    </row>
    <row r="37" spans="2:8" x14ac:dyDescent="0.2">
      <c r="B37" s="2" t="s">
        <v>77</v>
      </c>
      <c r="E37" s="11">
        <f>SUM(E33:E36)</f>
        <v>750</v>
      </c>
    </row>
    <row r="38" spans="2:8" x14ac:dyDescent="0.2">
      <c r="E38" s="13"/>
    </row>
    <row r="39" spans="2:8" x14ac:dyDescent="0.2">
      <c r="B39" s="2" t="s">
        <v>82</v>
      </c>
      <c r="C39" s="2" t="s">
        <v>22</v>
      </c>
      <c r="D39" s="2" t="s">
        <v>23</v>
      </c>
      <c r="E39" s="11" t="s">
        <v>77</v>
      </c>
    </row>
    <row r="40" spans="2:8" x14ac:dyDescent="0.2">
      <c r="B40" s="3" t="s">
        <v>18</v>
      </c>
      <c r="C40" s="25">
        <v>600</v>
      </c>
      <c r="D40" s="25">
        <v>1</v>
      </c>
      <c r="E40" s="13">
        <f t="shared" ref="E40:E43" si="2">C40*D40</f>
        <v>600</v>
      </c>
    </row>
    <row r="41" spans="2:8" x14ac:dyDescent="0.2">
      <c r="B41" s="3" t="s">
        <v>19</v>
      </c>
      <c r="C41" s="32">
        <v>400</v>
      </c>
      <c r="D41" s="25">
        <v>1</v>
      </c>
      <c r="E41" s="13">
        <f t="shared" si="2"/>
        <v>400</v>
      </c>
      <c r="F41" s="3" t="s">
        <v>87</v>
      </c>
    </row>
    <row r="42" spans="2:8" x14ac:dyDescent="0.2">
      <c r="B42" s="3" t="s">
        <v>83</v>
      </c>
      <c r="C42" s="13">
        <f>G42*C12</f>
        <v>1200</v>
      </c>
      <c r="D42" s="29">
        <f>C19</f>
        <v>4</v>
      </c>
      <c r="E42" s="13">
        <f t="shared" si="2"/>
        <v>4800</v>
      </c>
      <c r="G42" s="25">
        <v>50</v>
      </c>
      <c r="H42" s="3" t="s">
        <v>86</v>
      </c>
    </row>
    <row r="43" spans="2:8" x14ac:dyDescent="0.2">
      <c r="B43" s="3" t="s">
        <v>20</v>
      </c>
      <c r="C43" s="13">
        <f>G43*C12</f>
        <v>1200</v>
      </c>
      <c r="D43" s="29">
        <f>C19</f>
        <v>4</v>
      </c>
      <c r="E43" s="13">
        <f t="shared" si="2"/>
        <v>4800</v>
      </c>
      <c r="G43" s="25">
        <v>50</v>
      </c>
      <c r="H43" s="3" t="s">
        <v>86</v>
      </c>
    </row>
    <row r="44" spans="2:8" x14ac:dyDescent="0.2">
      <c r="B44" s="2" t="s">
        <v>77</v>
      </c>
      <c r="E44" s="11">
        <f>SUM(E40:E43)</f>
        <v>10600</v>
      </c>
    </row>
    <row r="46" spans="2:8" ht="25.5" x14ac:dyDescent="0.2">
      <c r="B46" s="19" t="s">
        <v>89</v>
      </c>
      <c r="C46" s="19" t="s">
        <v>22</v>
      </c>
      <c r="D46" s="19" t="s">
        <v>23</v>
      </c>
      <c r="E46" s="20" t="s">
        <v>92</v>
      </c>
      <c r="F46" s="20" t="s">
        <v>94</v>
      </c>
    </row>
    <row r="47" spans="2:8" x14ac:dyDescent="0.2">
      <c r="B47" s="3" t="s">
        <v>21</v>
      </c>
      <c r="C47" s="27">
        <v>1400</v>
      </c>
      <c r="D47" s="10">
        <f>SUM($C$17:$C$18)</f>
        <v>10</v>
      </c>
      <c r="E47" s="25">
        <v>12</v>
      </c>
      <c r="F47" s="13">
        <f>C47/E47</f>
        <v>116.66666666666667</v>
      </c>
    </row>
    <row r="48" spans="2:8" x14ac:dyDescent="0.2">
      <c r="B48" s="3" t="s">
        <v>24</v>
      </c>
      <c r="C48" s="27">
        <v>0</v>
      </c>
      <c r="D48" s="10">
        <f t="shared" ref="D48:D74" si="3">SUM($C$17:$C$18)</f>
        <v>10</v>
      </c>
      <c r="E48" s="25">
        <v>6</v>
      </c>
      <c r="F48" s="13">
        <f t="shared" ref="F48:F74" si="4">C48/E48</f>
        <v>0</v>
      </c>
    </row>
    <row r="49" spans="2:6" x14ac:dyDescent="0.2">
      <c r="B49" s="3" t="s">
        <v>25</v>
      </c>
      <c r="C49" s="27">
        <v>47</v>
      </c>
      <c r="D49" s="10">
        <f t="shared" si="3"/>
        <v>10</v>
      </c>
      <c r="E49" s="25">
        <v>6</v>
      </c>
      <c r="F49" s="13">
        <f t="shared" si="4"/>
        <v>7.833333333333333</v>
      </c>
    </row>
    <row r="50" spans="2:6" x14ac:dyDescent="0.2">
      <c r="B50" s="3" t="s">
        <v>26</v>
      </c>
      <c r="C50" s="27">
        <v>220</v>
      </c>
      <c r="D50" s="10">
        <f t="shared" si="3"/>
        <v>10</v>
      </c>
      <c r="E50" s="25">
        <v>12</v>
      </c>
      <c r="F50" s="13">
        <f t="shared" si="4"/>
        <v>18.333333333333332</v>
      </c>
    </row>
    <row r="51" spans="2:6" x14ac:dyDescent="0.2">
      <c r="B51" s="3" t="s">
        <v>27</v>
      </c>
      <c r="C51" s="27">
        <v>0</v>
      </c>
      <c r="D51" s="10">
        <f t="shared" si="3"/>
        <v>10</v>
      </c>
      <c r="E51" s="25">
        <v>6</v>
      </c>
      <c r="F51" s="13">
        <f t="shared" si="4"/>
        <v>0</v>
      </c>
    </row>
    <row r="52" spans="2:6" x14ac:dyDescent="0.2">
      <c r="B52" s="3" t="s">
        <v>28</v>
      </c>
      <c r="C52" s="27">
        <v>0</v>
      </c>
      <c r="D52" s="10">
        <f t="shared" si="3"/>
        <v>10</v>
      </c>
      <c r="E52" s="25">
        <v>12</v>
      </c>
      <c r="F52" s="13">
        <f t="shared" si="4"/>
        <v>0</v>
      </c>
    </row>
    <row r="53" spans="2:6" x14ac:dyDescent="0.2">
      <c r="B53" s="3" t="s">
        <v>29</v>
      </c>
      <c r="C53" s="27">
        <v>148</v>
      </c>
      <c r="D53" s="10">
        <f t="shared" si="3"/>
        <v>10</v>
      </c>
      <c r="E53" s="25">
        <v>12</v>
      </c>
      <c r="F53" s="13">
        <f t="shared" si="4"/>
        <v>12.333333333333334</v>
      </c>
    </row>
    <row r="54" spans="2:6" x14ac:dyDescent="0.2">
      <c r="B54" s="3" t="s">
        <v>30</v>
      </c>
      <c r="C54" s="27">
        <v>38</v>
      </c>
      <c r="D54" s="10">
        <f t="shared" si="3"/>
        <v>10</v>
      </c>
      <c r="E54" s="25">
        <v>3</v>
      </c>
      <c r="F54" s="13">
        <f t="shared" si="4"/>
        <v>12.666666666666666</v>
      </c>
    </row>
    <row r="55" spans="2:6" x14ac:dyDescent="0.2">
      <c r="B55" s="3" t="s">
        <v>31</v>
      </c>
      <c r="C55" s="27">
        <v>12</v>
      </c>
      <c r="D55" s="10">
        <f t="shared" si="3"/>
        <v>10</v>
      </c>
      <c r="E55" s="25">
        <v>6</v>
      </c>
      <c r="F55" s="13">
        <f t="shared" si="4"/>
        <v>2</v>
      </c>
    </row>
    <row r="56" spans="2:6" x14ac:dyDescent="0.2">
      <c r="B56" s="3" t="s">
        <v>32</v>
      </c>
      <c r="C56" s="27">
        <v>72</v>
      </c>
      <c r="D56" s="10">
        <f t="shared" si="3"/>
        <v>10</v>
      </c>
      <c r="E56" s="25">
        <v>6</v>
      </c>
      <c r="F56" s="13">
        <f t="shared" si="4"/>
        <v>12</v>
      </c>
    </row>
    <row r="57" spans="2:6" x14ac:dyDescent="0.2">
      <c r="B57" s="3" t="s">
        <v>33</v>
      </c>
      <c r="C57" s="27">
        <v>0</v>
      </c>
      <c r="D57" s="10">
        <f t="shared" si="3"/>
        <v>10</v>
      </c>
      <c r="E57" s="25">
        <v>6</v>
      </c>
      <c r="F57" s="13">
        <f t="shared" si="4"/>
        <v>0</v>
      </c>
    </row>
    <row r="58" spans="2:6" x14ac:dyDescent="0.2">
      <c r="B58" s="3" t="s">
        <v>34</v>
      </c>
      <c r="C58" s="27">
        <v>30</v>
      </c>
      <c r="D58" s="10">
        <f t="shared" si="3"/>
        <v>10</v>
      </c>
      <c r="E58" s="25">
        <v>6</v>
      </c>
      <c r="F58" s="13">
        <f t="shared" si="4"/>
        <v>5</v>
      </c>
    </row>
    <row r="59" spans="2:6" x14ac:dyDescent="0.2">
      <c r="B59" s="3" t="s">
        <v>35</v>
      </c>
      <c r="C59" s="27">
        <v>22</v>
      </c>
      <c r="D59" s="10">
        <f t="shared" si="3"/>
        <v>10</v>
      </c>
      <c r="E59" s="25">
        <v>6</v>
      </c>
      <c r="F59" s="13">
        <f t="shared" si="4"/>
        <v>3.6666666666666665</v>
      </c>
    </row>
    <row r="60" spans="2:6" x14ac:dyDescent="0.2">
      <c r="B60" s="3" t="s">
        <v>36</v>
      </c>
      <c r="C60" s="27">
        <v>28</v>
      </c>
      <c r="D60" s="10">
        <f t="shared" si="3"/>
        <v>10</v>
      </c>
      <c r="E60" s="25">
        <v>6</v>
      </c>
      <c r="F60" s="13">
        <f t="shared" si="4"/>
        <v>4.666666666666667</v>
      </c>
    </row>
    <row r="61" spans="2:6" x14ac:dyDescent="0.2">
      <c r="B61" s="3" t="s">
        <v>37</v>
      </c>
      <c r="C61" s="27">
        <v>28</v>
      </c>
      <c r="D61" s="10">
        <f t="shared" si="3"/>
        <v>10</v>
      </c>
      <c r="E61" s="25">
        <v>6</v>
      </c>
      <c r="F61" s="13">
        <f t="shared" si="4"/>
        <v>4.666666666666667</v>
      </c>
    </row>
    <row r="62" spans="2:6" x14ac:dyDescent="0.2">
      <c r="B62" s="3" t="s">
        <v>38</v>
      </c>
      <c r="C62" s="27">
        <v>7</v>
      </c>
      <c r="D62" s="10">
        <f t="shared" si="3"/>
        <v>10</v>
      </c>
      <c r="E62" s="25">
        <v>3</v>
      </c>
      <c r="F62" s="13">
        <f t="shared" si="4"/>
        <v>2.3333333333333335</v>
      </c>
    </row>
    <row r="63" spans="2:6" x14ac:dyDescent="0.2">
      <c r="B63" s="3" t="s">
        <v>39</v>
      </c>
      <c r="C63" s="27">
        <v>7</v>
      </c>
      <c r="D63" s="10">
        <f t="shared" si="3"/>
        <v>10</v>
      </c>
      <c r="E63" s="25">
        <v>3</v>
      </c>
      <c r="F63" s="13">
        <f t="shared" si="4"/>
        <v>2.3333333333333335</v>
      </c>
    </row>
    <row r="64" spans="2:6" x14ac:dyDescent="0.2">
      <c r="B64" s="3" t="s">
        <v>40</v>
      </c>
      <c r="C64" s="27">
        <v>22</v>
      </c>
      <c r="D64" s="10">
        <f t="shared" si="3"/>
        <v>10</v>
      </c>
      <c r="E64" s="25">
        <v>6</v>
      </c>
      <c r="F64" s="13">
        <f t="shared" si="4"/>
        <v>3.6666666666666665</v>
      </c>
    </row>
    <row r="65" spans="2:11" x14ac:dyDescent="0.2">
      <c r="B65" s="3" t="s">
        <v>41</v>
      </c>
      <c r="C65" s="27">
        <v>10</v>
      </c>
      <c r="D65" s="10">
        <f t="shared" si="3"/>
        <v>10</v>
      </c>
      <c r="E65" s="25">
        <v>3</v>
      </c>
      <c r="F65" s="13">
        <f t="shared" si="4"/>
        <v>3.3333333333333335</v>
      </c>
    </row>
    <row r="66" spans="2:11" x14ac:dyDescent="0.2">
      <c r="B66" s="7" t="s">
        <v>90</v>
      </c>
      <c r="C66" s="14"/>
      <c r="D66" s="10"/>
    </row>
    <row r="67" spans="2:11" x14ac:dyDescent="0.2">
      <c r="B67" s="3" t="s">
        <v>42</v>
      </c>
      <c r="C67" s="27">
        <v>6.5</v>
      </c>
      <c r="D67" s="10">
        <f t="shared" si="3"/>
        <v>10</v>
      </c>
      <c r="E67" s="25">
        <v>6</v>
      </c>
      <c r="F67" s="13">
        <f t="shared" si="4"/>
        <v>1.0833333333333333</v>
      </c>
    </row>
    <row r="68" spans="2:11" x14ac:dyDescent="0.2">
      <c r="B68" s="3" t="s">
        <v>43</v>
      </c>
      <c r="C68" s="27">
        <v>4</v>
      </c>
      <c r="D68" s="10">
        <f t="shared" si="3"/>
        <v>10</v>
      </c>
      <c r="E68" s="25">
        <v>1</v>
      </c>
      <c r="F68" s="13">
        <f t="shared" si="4"/>
        <v>4</v>
      </c>
    </row>
    <row r="69" spans="2:11" x14ac:dyDescent="0.2">
      <c r="B69" s="3" t="s">
        <v>44</v>
      </c>
      <c r="C69" s="27">
        <v>40</v>
      </c>
      <c r="D69" s="10">
        <f t="shared" si="3"/>
        <v>10</v>
      </c>
      <c r="E69" s="25">
        <v>3</v>
      </c>
      <c r="F69" s="13">
        <f t="shared" si="4"/>
        <v>13.333333333333334</v>
      </c>
    </row>
    <row r="70" spans="2:11" x14ac:dyDescent="0.2">
      <c r="B70" s="3" t="s">
        <v>45</v>
      </c>
      <c r="C70" s="27">
        <v>50</v>
      </c>
      <c r="D70" s="10">
        <f t="shared" si="3"/>
        <v>10</v>
      </c>
      <c r="E70" s="25">
        <v>12</v>
      </c>
      <c r="F70" s="13">
        <f t="shared" si="4"/>
        <v>4.166666666666667</v>
      </c>
      <c r="I70" s="3" t="s">
        <v>131</v>
      </c>
    </row>
    <row r="71" spans="2:11" x14ac:dyDescent="0.2">
      <c r="B71" s="3" t="s">
        <v>46</v>
      </c>
      <c r="C71" s="27">
        <v>10</v>
      </c>
      <c r="D71" s="10">
        <f t="shared" si="3"/>
        <v>10</v>
      </c>
      <c r="E71" s="25">
        <v>12</v>
      </c>
      <c r="F71" s="13">
        <f t="shared" si="4"/>
        <v>0.83333333333333337</v>
      </c>
      <c r="I71" s="31">
        <f>C81</f>
        <v>23555</v>
      </c>
      <c r="J71" s="31">
        <f>I71+(I71*30%)</f>
        <v>30621.5</v>
      </c>
    </row>
    <row r="72" spans="2:11" x14ac:dyDescent="0.2">
      <c r="B72" s="3" t="s">
        <v>47</v>
      </c>
      <c r="C72" s="27">
        <v>24</v>
      </c>
      <c r="D72" s="10">
        <f t="shared" si="3"/>
        <v>10</v>
      </c>
      <c r="E72" s="25">
        <v>1</v>
      </c>
      <c r="F72" s="13">
        <f t="shared" si="4"/>
        <v>24</v>
      </c>
    </row>
    <row r="73" spans="2:11" x14ac:dyDescent="0.2">
      <c r="B73" s="3" t="s">
        <v>48</v>
      </c>
      <c r="C73" s="27">
        <v>5</v>
      </c>
      <c r="D73" s="10">
        <f t="shared" si="3"/>
        <v>10</v>
      </c>
      <c r="E73" s="25">
        <v>2</v>
      </c>
      <c r="F73" s="13">
        <f t="shared" si="4"/>
        <v>2.5</v>
      </c>
      <c r="J73" s="31">
        <f>J71/36</f>
        <v>850.59722222222217</v>
      </c>
      <c r="K73" s="3" t="s">
        <v>132</v>
      </c>
    </row>
    <row r="74" spans="2:11" x14ac:dyDescent="0.2">
      <c r="B74" s="3" t="s">
        <v>49</v>
      </c>
      <c r="C74" s="27">
        <v>40</v>
      </c>
      <c r="D74" s="10">
        <f t="shared" si="3"/>
        <v>10</v>
      </c>
      <c r="E74" s="25">
        <v>12</v>
      </c>
      <c r="F74" s="13">
        <f t="shared" si="4"/>
        <v>3.3333333333333335</v>
      </c>
    </row>
    <row r="75" spans="2:11" x14ac:dyDescent="0.2">
      <c r="B75" s="2" t="s">
        <v>77</v>
      </c>
      <c r="C75" s="14"/>
      <c r="D75" s="10"/>
      <c r="F75" s="11">
        <f>SUM(F47:F74)</f>
        <v>264.75</v>
      </c>
    </row>
    <row r="77" spans="2:11" x14ac:dyDescent="0.2">
      <c r="B77" s="2" t="s">
        <v>95</v>
      </c>
      <c r="C77" s="18" t="s">
        <v>4</v>
      </c>
    </row>
    <row r="78" spans="2:11" x14ac:dyDescent="0.2">
      <c r="B78" s="3" t="s">
        <v>89</v>
      </c>
      <c r="C78" s="5">
        <f>SUMPRODUCT(C47:C74,D47:D74)</f>
        <v>22705</v>
      </c>
    </row>
    <row r="79" spans="2:11" x14ac:dyDescent="0.2">
      <c r="B79" s="3" t="s">
        <v>96</v>
      </c>
      <c r="C79" s="5">
        <f>C41</f>
        <v>400</v>
      </c>
    </row>
    <row r="80" spans="2:11" x14ac:dyDescent="0.2">
      <c r="B80" s="3" t="s">
        <v>101</v>
      </c>
      <c r="C80" s="5">
        <f>E33</f>
        <v>450</v>
      </c>
    </row>
    <row r="81" spans="2:17" x14ac:dyDescent="0.2">
      <c r="B81" s="2" t="s">
        <v>77</v>
      </c>
      <c r="C81" s="21">
        <f>SUM(C78:C80)</f>
        <v>23555</v>
      </c>
      <c r="D81" s="3" t="s">
        <v>124</v>
      </c>
    </row>
    <row r="83" spans="2:17" x14ac:dyDescent="0.2">
      <c r="B83" s="2" t="s">
        <v>97</v>
      </c>
      <c r="C83" s="18" t="s">
        <v>4</v>
      </c>
    </row>
    <row r="84" spans="2:17" x14ac:dyDescent="0.2">
      <c r="B84" s="3" t="s">
        <v>98</v>
      </c>
      <c r="C84" s="5">
        <f>E30</f>
        <v>22950</v>
      </c>
    </row>
    <row r="85" spans="2:17" x14ac:dyDescent="0.2">
      <c r="B85" s="3" t="s">
        <v>99</v>
      </c>
      <c r="C85" s="5">
        <f>E40</f>
        <v>600</v>
      </c>
    </row>
    <row r="86" spans="2:17" x14ac:dyDescent="0.2">
      <c r="B86" s="3" t="s">
        <v>100</v>
      </c>
      <c r="C86" s="5">
        <f>E41</f>
        <v>400</v>
      </c>
      <c r="F86" s="31">
        <f>C81+C92</f>
        <v>57405</v>
      </c>
    </row>
    <row r="87" spans="2:17" x14ac:dyDescent="0.2">
      <c r="B87" s="3" t="s">
        <v>83</v>
      </c>
      <c r="C87" s="5">
        <f>E42</f>
        <v>4800</v>
      </c>
    </row>
    <row r="88" spans="2:17" x14ac:dyDescent="0.2">
      <c r="B88" s="3" t="s">
        <v>20</v>
      </c>
      <c r="C88" s="5">
        <f>E43</f>
        <v>4800</v>
      </c>
    </row>
    <row r="89" spans="2:17" x14ac:dyDescent="0.2">
      <c r="B89" s="3" t="s">
        <v>79</v>
      </c>
      <c r="C89" s="5">
        <f>E34</f>
        <v>200</v>
      </c>
    </row>
    <row r="90" spans="2:17" x14ac:dyDescent="0.2">
      <c r="B90" s="3" t="s">
        <v>80</v>
      </c>
      <c r="C90" s="5">
        <f>E35</f>
        <v>50</v>
      </c>
    </row>
    <row r="91" spans="2:17" x14ac:dyDescent="0.2">
      <c r="B91" s="3" t="s">
        <v>81</v>
      </c>
      <c r="C91" s="5">
        <f>E36</f>
        <v>50</v>
      </c>
    </row>
    <row r="92" spans="2:17" x14ac:dyDescent="0.2">
      <c r="B92" s="2" t="s">
        <v>102</v>
      </c>
      <c r="C92" s="36">
        <f>SUM(C84:C91)</f>
        <v>33850</v>
      </c>
      <c r="D92" s="3" t="s">
        <v>125</v>
      </c>
    </row>
    <row r="95" spans="2:17" x14ac:dyDescent="0.2">
      <c r="B95" s="3" t="s">
        <v>103</v>
      </c>
      <c r="C95" s="3" t="s">
        <v>115</v>
      </c>
      <c r="D95" s="6">
        <v>0</v>
      </c>
      <c r="E95" s="6">
        <v>1</v>
      </c>
      <c r="F95" s="6">
        <v>2</v>
      </c>
      <c r="G95" s="6">
        <v>3</v>
      </c>
      <c r="H95" s="6">
        <v>4</v>
      </c>
      <c r="I95" s="6">
        <v>5</v>
      </c>
      <c r="J95" s="6">
        <v>6</v>
      </c>
      <c r="K95" s="6">
        <v>7</v>
      </c>
      <c r="L95" s="6">
        <v>8</v>
      </c>
      <c r="M95" s="6">
        <v>9</v>
      </c>
      <c r="N95" s="6">
        <v>10</v>
      </c>
      <c r="O95" s="6">
        <v>11</v>
      </c>
      <c r="P95" s="6">
        <v>12</v>
      </c>
      <c r="Q95" s="2" t="s">
        <v>77</v>
      </c>
    </row>
    <row r="97" spans="2:17" x14ac:dyDescent="0.2">
      <c r="B97" s="2" t="s">
        <v>104</v>
      </c>
      <c r="D97" s="13"/>
    </row>
    <row r="98" spans="2:17" x14ac:dyDescent="0.2">
      <c r="B98" s="3" t="s">
        <v>106</v>
      </c>
      <c r="C98" s="6" t="s">
        <v>4</v>
      </c>
      <c r="E98" s="14">
        <f>IF(INT(E95/2)-E95/2=0,($F$7*$C$7)*br*$C$12*2,0)</f>
        <v>0</v>
      </c>
      <c r="F98" s="14">
        <f>IF(INT(F95/2)-F95/2=0,($F$7*$C$7)*br*$C$12*2,0)</f>
        <v>68947.199999999997</v>
      </c>
      <c r="G98" s="14">
        <f>IF(INT(G95/2)-G95/2=0,($F$7*$C$7)*br*$C$12*2,0)</f>
        <v>0</v>
      </c>
      <c r="H98" s="14">
        <f>IF(INT(H95/2)-H95/2=0,($F$7*$C$7)*br*$C$12*2,0)</f>
        <v>68947.199999999997</v>
      </c>
      <c r="I98" s="14">
        <f>IF(INT(I95/2)-I95/2=0,($F$7*$C$7)*br*$C$12*2,0)</f>
        <v>0</v>
      </c>
      <c r="J98" s="14">
        <f>IF(INT(J95/2)-J95/2=0,($F$7*$C$7)*br*$C$12*2,0)</f>
        <v>68947.199999999997</v>
      </c>
      <c r="K98" s="14">
        <f>IF(INT(K95/2)-K95/2=0,($F$7*$C$7)*br*$C$12*2,0)</f>
        <v>0</v>
      </c>
      <c r="L98" s="14">
        <f>IF(INT(L95/2)-L95/2=0,($F$7*$C$7)*br*$C$12*2,0)</f>
        <v>68947.199999999997</v>
      </c>
      <c r="M98" s="14">
        <f>IF(INT(M95/2)-M95/2=0,($F$7*$C$7)*br*$C$12*2,0)</f>
        <v>0</v>
      </c>
      <c r="N98" s="14">
        <f>IF(INT(N95/2)-N95/2=0,($F$7*$C$7)*br*$C$12*2,0)</f>
        <v>68947.199999999997</v>
      </c>
      <c r="O98" s="14">
        <f>IF(INT(O95/2)-O95/2=0,($F$7*$C$7)*br*$C$12*2,0)</f>
        <v>0</v>
      </c>
      <c r="P98" s="14">
        <f>IF(INT(P95/2)-P95/2=0,($F$7*$C$7)*br*$C$12*2,0)</f>
        <v>68947.199999999997</v>
      </c>
      <c r="Q98" s="10">
        <f t="shared" ref="Q98:Q99" si="5">SUM(E98:P98)</f>
        <v>413683.20000000001</v>
      </c>
    </row>
    <row r="99" spans="2:17" x14ac:dyDescent="0.2">
      <c r="B99" s="3" t="s">
        <v>107</v>
      </c>
      <c r="C99" s="6" t="s">
        <v>4</v>
      </c>
      <c r="E99" s="14">
        <f>IF(INT(E95/2)-E95/2=0,($F$8*$C$8)*br*$C$12*2,0)</f>
        <v>0</v>
      </c>
      <c r="F99" s="14">
        <f>IF(INT(F95/2)-F95/2=0,($F$8*$C$8)*br*$C$12*2,0)</f>
        <v>8755.2000000000007</v>
      </c>
      <c r="G99" s="14">
        <f>IF(INT(G95/2)-G95/2=0,($F$8*$C$8)*br*$C$12*2,0)</f>
        <v>0</v>
      </c>
      <c r="H99" s="14">
        <f>IF(INT(H95/2)-H95/2=0,($F$8*$C$8)*br*$C$12*2,0)</f>
        <v>8755.2000000000007</v>
      </c>
      <c r="I99" s="14">
        <f>IF(INT(I95/2)-I95/2=0,($F$8*$C$8)*br*$C$12*2,0)</f>
        <v>0</v>
      </c>
      <c r="J99" s="14">
        <f>IF(INT(J95/2)-J95/2=0,($F$8*$C$8)*br*$C$12*2,0)</f>
        <v>8755.2000000000007</v>
      </c>
      <c r="K99" s="14">
        <f>IF(INT(K95/2)-K95/2=0,($F$8*$C$8)*br*$C$12*2,0)</f>
        <v>0</v>
      </c>
      <c r="L99" s="14">
        <f>IF(INT(L95/2)-L95/2=0,($F$8*$C$8)*br*$C$12*2,0)</f>
        <v>8755.2000000000007</v>
      </c>
      <c r="M99" s="14">
        <f>IF(INT(M95/2)-M95/2=0,($F$8*$C$8)*br*$C$12*2,0)</f>
        <v>0</v>
      </c>
      <c r="N99" s="14">
        <f>IF(INT(N95/2)-N95/2=0,($F$8*$C$8)*br*$C$12*2,0)</f>
        <v>8755.2000000000007</v>
      </c>
      <c r="O99" s="14">
        <f>IF(INT(O95/2)-O95/2=0,($F$8*$C$8)*br*$C$12*2,0)</f>
        <v>0</v>
      </c>
      <c r="P99" s="14">
        <f>IF(INT(P95/2)-P95/2=0,($F$8*$C$8)*br*$C$12*2,0)</f>
        <v>8755.2000000000007</v>
      </c>
      <c r="Q99" s="10">
        <f t="shared" si="5"/>
        <v>52531.199999999997</v>
      </c>
    </row>
    <row r="100" spans="2:17" x14ac:dyDescent="0.2">
      <c r="B100" s="3" t="s">
        <v>109</v>
      </c>
      <c r="C100" s="6" t="s">
        <v>4</v>
      </c>
      <c r="E100" s="10">
        <f>IF(INT(E95/2)-E95/2=0,$C$20*2,0)</f>
        <v>0</v>
      </c>
      <c r="F100" s="10">
        <f t="shared" ref="F100:P100" si="6">IF(INT(F95/2)-F95/2=0,$C$20*2,0)</f>
        <v>20000</v>
      </c>
      <c r="G100" s="10">
        <f t="shared" si="6"/>
        <v>0</v>
      </c>
      <c r="H100" s="10">
        <f t="shared" si="6"/>
        <v>20000</v>
      </c>
      <c r="I100" s="10">
        <f t="shared" si="6"/>
        <v>0</v>
      </c>
      <c r="J100" s="10">
        <f t="shared" si="6"/>
        <v>20000</v>
      </c>
      <c r="K100" s="10">
        <f t="shared" si="6"/>
        <v>0</v>
      </c>
      <c r="L100" s="10">
        <f t="shared" si="6"/>
        <v>20000</v>
      </c>
      <c r="M100" s="10">
        <f t="shared" si="6"/>
        <v>0</v>
      </c>
      <c r="N100" s="10">
        <f t="shared" si="6"/>
        <v>20000</v>
      </c>
      <c r="O100" s="10">
        <f t="shared" si="6"/>
        <v>0</v>
      </c>
      <c r="P100" s="10">
        <f t="shared" si="6"/>
        <v>20000</v>
      </c>
      <c r="Q100" s="10">
        <f>SUM(E100:P100)</f>
        <v>120000</v>
      </c>
    </row>
    <row r="101" spans="2:17" x14ac:dyDescent="0.2">
      <c r="B101" s="2" t="s">
        <v>110</v>
      </c>
      <c r="C101" s="6" t="s">
        <v>4</v>
      </c>
      <c r="D101" s="3" t="s">
        <v>130</v>
      </c>
      <c r="E101" s="22">
        <f>SUM(E98:E100)</f>
        <v>0</v>
      </c>
      <c r="F101" s="22">
        <f t="shared" ref="F101:P101" si="7">SUM(F98:F100)</f>
        <v>97702.399999999994</v>
      </c>
      <c r="G101" s="22">
        <f t="shared" si="7"/>
        <v>0</v>
      </c>
      <c r="H101" s="22">
        <f t="shared" si="7"/>
        <v>97702.399999999994</v>
      </c>
      <c r="I101" s="22">
        <f t="shared" si="7"/>
        <v>0</v>
      </c>
      <c r="J101" s="22">
        <f t="shared" si="7"/>
        <v>97702.399999999994</v>
      </c>
      <c r="K101" s="22">
        <f t="shared" si="7"/>
        <v>0</v>
      </c>
      <c r="L101" s="22">
        <f t="shared" si="7"/>
        <v>97702.399999999994</v>
      </c>
      <c r="M101" s="22">
        <f t="shared" si="7"/>
        <v>0</v>
      </c>
      <c r="N101" s="22">
        <f t="shared" si="7"/>
        <v>97702.399999999994</v>
      </c>
      <c r="O101" s="22">
        <f t="shared" si="7"/>
        <v>0</v>
      </c>
      <c r="P101" s="22">
        <f t="shared" si="7"/>
        <v>97702.399999999994</v>
      </c>
      <c r="Q101" s="10">
        <f t="shared" ref="Q101" si="8">SUM(E101:P101)</f>
        <v>586214.40000000002</v>
      </c>
    </row>
    <row r="102" spans="2:17" x14ac:dyDescent="0.2">
      <c r="C102" s="6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</row>
    <row r="103" spans="2:17" x14ac:dyDescent="0.2">
      <c r="B103" s="2" t="s">
        <v>111</v>
      </c>
      <c r="C103" s="6" t="s">
        <v>4</v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</row>
    <row r="104" spans="2:17" x14ac:dyDescent="0.2">
      <c r="B104" s="3" t="s">
        <v>98</v>
      </c>
      <c r="C104" s="6" t="s">
        <v>4</v>
      </c>
      <c r="E104" s="10">
        <f>-E30</f>
        <v>-22950</v>
      </c>
      <c r="F104" s="10">
        <f>E104</f>
        <v>-22950</v>
      </c>
      <c r="G104" s="10">
        <f t="shared" ref="G104:P104" si="9">F104</f>
        <v>-22950</v>
      </c>
      <c r="H104" s="10">
        <f t="shared" si="9"/>
        <v>-22950</v>
      </c>
      <c r="I104" s="10">
        <f t="shared" si="9"/>
        <v>-22950</v>
      </c>
      <c r="J104" s="10">
        <f t="shared" si="9"/>
        <v>-22950</v>
      </c>
      <c r="K104" s="10">
        <f t="shared" si="9"/>
        <v>-22950</v>
      </c>
      <c r="L104" s="10">
        <f t="shared" si="9"/>
        <v>-22950</v>
      </c>
      <c r="M104" s="10">
        <f t="shared" si="9"/>
        <v>-22950</v>
      </c>
      <c r="N104" s="10">
        <f t="shared" si="9"/>
        <v>-22950</v>
      </c>
      <c r="O104" s="10">
        <f t="shared" si="9"/>
        <v>-22950</v>
      </c>
      <c r="P104" s="10">
        <f t="shared" si="9"/>
        <v>-22950</v>
      </c>
      <c r="Q104" s="13">
        <f t="shared" ref="Q104:Q118" si="10">SUM(E104:P104)</f>
        <v>-275400</v>
      </c>
    </row>
    <row r="105" spans="2:17" x14ac:dyDescent="0.2">
      <c r="B105" s="2" t="s">
        <v>137</v>
      </c>
      <c r="C105" s="6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3"/>
    </row>
    <row r="106" spans="2:17" x14ac:dyDescent="0.2">
      <c r="B106" s="3" t="s">
        <v>138</v>
      </c>
      <c r="C106" s="6" t="s">
        <v>4</v>
      </c>
      <c r="E106" s="10">
        <f>-E135</f>
        <v>-918.56822998387156</v>
      </c>
      <c r="F106" s="10">
        <f t="shared" ref="F106:P106" si="11">-F135</f>
        <v>-848.25426388922961</v>
      </c>
      <c r="G106" s="10">
        <f t="shared" si="11"/>
        <v>-776.86382820494259</v>
      </c>
      <c r="H106" s="10">
        <f t="shared" si="11"/>
        <v>-704.38044275158404</v>
      </c>
      <c r="I106" s="10">
        <f t="shared" si="11"/>
        <v>-630.78737504690673</v>
      </c>
      <c r="J106" s="10">
        <f t="shared" si="11"/>
        <v>-556.06763644321984</v>
      </c>
      <c r="K106" s="10">
        <f t="shared" si="11"/>
        <v>-480.20397820563227</v>
      </c>
      <c r="L106" s="10">
        <f t="shared" si="11"/>
        <v>-403.1788875302546</v>
      </c>
      <c r="M106" s="10">
        <f t="shared" si="11"/>
        <v>-324.97458350144308</v>
      </c>
      <c r="N106" s="10">
        <f t="shared" si="11"/>
        <v>-245.57301298715046</v>
      </c>
      <c r="O106" s="10">
        <f t="shared" si="11"/>
        <v>-164.95584647143696</v>
      </c>
      <c r="P106" s="10">
        <f t="shared" si="11"/>
        <v>-83.104473823179234</v>
      </c>
      <c r="Q106" s="13">
        <f>SUM(E106:P106)</f>
        <v>-6136.9125588388515</v>
      </c>
    </row>
    <row r="107" spans="2:17" x14ac:dyDescent="0.2">
      <c r="B107" s="2" t="s">
        <v>112</v>
      </c>
      <c r="C107" s="18" t="s">
        <v>4</v>
      </c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</row>
    <row r="108" spans="2:17" x14ac:dyDescent="0.2">
      <c r="B108" s="3" t="s">
        <v>16</v>
      </c>
      <c r="C108" s="6" t="s">
        <v>4</v>
      </c>
      <c r="D108" s="3" t="s">
        <v>126</v>
      </c>
      <c r="E108" s="10"/>
      <c r="F108" s="10">
        <f>-E33</f>
        <v>-450</v>
      </c>
      <c r="G108" s="10">
        <f>F108</f>
        <v>-450</v>
      </c>
      <c r="H108" s="10">
        <f t="shared" ref="H108:P108" si="12">G108</f>
        <v>-450</v>
      </c>
      <c r="I108" s="10">
        <f t="shared" si="12"/>
        <v>-450</v>
      </c>
      <c r="J108" s="10">
        <f t="shared" si="12"/>
        <v>-450</v>
      </c>
      <c r="K108" s="10">
        <f t="shared" si="12"/>
        <v>-450</v>
      </c>
      <c r="L108" s="10">
        <f t="shared" si="12"/>
        <v>-450</v>
      </c>
      <c r="M108" s="10">
        <f t="shared" si="12"/>
        <v>-450</v>
      </c>
      <c r="N108" s="10">
        <f t="shared" si="12"/>
        <v>-450</v>
      </c>
      <c r="O108" s="10">
        <f t="shared" si="12"/>
        <v>-450</v>
      </c>
      <c r="P108" s="10">
        <f t="shared" si="12"/>
        <v>-450</v>
      </c>
      <c r="Q108" s="13">
        <f t="shared" si="10"/>
        <v>-4950</v>
      </c>
    </row>
    <row r="109" spans="2:17" x14ac:dyDescent="0.2">
      <c r="B109" s="3" t="s">
        <v>79</v>
      </c>
      <c r="C109" s="6" t="s">
        <v>4</v>
      </c>
      <c r="D109" s="3" t="s">
        <v>126</v>
      </c>
      <c r="E109" s="10">
        <f>-E34</f>
        <v>-200</v>
      </c>
      <c r="F109" s="10">
        <f>E109</f>
        <v>-200</v>
      </c>
      <c r="G109" s="10">
        <f t="shared" ref="G109:P109" si="13">F109</f>
        <v>-200</v>
      </c>
      <c r="H109" s="10">
        <f t="shared" si="13"/>
        <v>-200</v>
      </c>
      <c r="I109" s="10">
        <f t="shared" si="13"/>
        <v>-200</v>
      </c>
      <c r="J109" s="10">
        <f t="shared" si="13"/>
        <v>-200</v>
      </c>
      <c r="K109" s="10">
        <f t="shared" si="13"/>
        <v>-200</v>
      </c>
      <c r="L109" s="10">
        <f t="shared" si="13"/>
        <v>-200</v>
      </c>
      <c r="M109" s="10">
        <f t="shared" si="13"/>
        <v>-200</v>
      </c>
      <c r="N109" s="10">
        <f t="shared" si="13"/>
        <v>-200</v>
      </c>
      <c r="O109" s="10">
        <f t="shared" si="13"/>
        <v>-200</v>
      </c>
      <c r="P109" s="10">
        <f t="shared" si="13"/>
        <v>-200</v>
      </c>
      <c r="Q109" s="13">
        <f t="shared" si="10"/>
        <v>-2400</v>
      </c>
    </row>
    <row r="110" spans="2:17" x14ac:dyDescent="0.2">
      <c r="B110" s="3" t="s">
        <v>80</v>
      </c>
      <c r="C110" s="6" t="s">
        <v>4</v>
      </c>
      <c r="E110" s="10">
        <f>-E35</f>
        <v>-50</v>
      </c>
      <c r="F110" s="10">
        <f t="shared" ref="F110:P110" si="14">E110</f>
        <v>-50</v>
      </c>
      <c r="G110" s="10">
        <f t="shared" si="14"/>
        <v>-50</v>
      </c>
      <c r="H110" s="10">
        <f t="shared" si="14"/>
        <v>-50</v>
      </c>
      <c r="I110" s="10">
        <f t="shared" si="14"/>
        <v>-50</v>
      </c>
      <c r="J110" s="10">
        <f t="shared" si="14"/>
        <v>-50</v>
      </c>
      <c r="K110" s="10">
        <f t="shared" si="14"/>
        <v>-50</v>
      </c>
      <c r="L110" s="10">
        <f t="shared" si="14"/>
        <v>-50</v>
      </c>
      <c r="M110" s="10">
        <f t="shared" si="14"/>
        <v>-50</v>
      </c>
      <c r="N110" s="10">
        <f t="shared" si="14"/>
        <v>-50</v>
      </c>
      <c r="O110" s="10">
        <f t="shared" si="14"/>
        <v>-50</v>
      </c>
      <c r="P110" s="10">
        <f t="shared" si="14"/>
        <v>-50</v>
      </c>
      <c r="Q110" s="13">
        <f t="shared" si="10"/>
        <v>-600</v>
      </c>
    </row>
    <row r="111" spans="2:17" x14ac:dyDescent="0.2">
      <c r="B111" s="3" t="s">
        <v>81</v>
      </c>
      <c r="C111" s="6" t="s">
        <v>4</v>
      </c>
      <c r="E111" s="10">
        <f>-E36</f>
        <v>-50</v>
      </c>
      <c r="F111" s="10">
        <f t="shared" ref="F111:P111" si="15">E111</f>
        <v>-50</v>
      </c>
      <c r="G111" s="10">
        <f t="shared" si="15"/>
        <v>-50</v>
      </c>
      <c r="H111" s="10">
        <f t="shared" si="15"/>
        <v>-50</v>
      </c>
      <c r="I111" s="10">
        <f t="shared" si="15"/>
        <v>-50</v>
      </c>
      <c r="J111" s="10">
        <f t="shared" si="15"/>
        <v>-50</v>
      </c>
      <c r="K111" s="10">
        <f t="shared" si="15"/>
        <v>-50</v>
      </c>
      <c r="L111" s="10">
        <f t="shared" si="15"/>
        <v>-50</v>
      </c>
      <c r="M111" s="10">
        <f t="shared" si="15"/>
        <v>-50</v>
      </c>
      <c r="N111" s="10">
        <f t="shared" si="15"/>
        <v>-50</v>
      </c>
      <c r="O111" s="10">
        <f t="shared" si="15"/>
        <v>-50</v>
      </c>
      <c r="P111" s="10">
        <f t="shared" si="15"/>
        <v>-50</v>
      </c>
      <c r="Q111" s="13">
        <f t="shared" si="10"/>
        <v>-600</v>
      </c>
    </row>
    <row r="112" spans="2:17" x14ac:dyDescent="0.2">
      <c r="B112" s="2" t="s">
        <v>17</v>
      </c>
      <c r="C112" s="18" t="s">
        <v>4</v>
      </c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3"/>
    </row>
    <row r="113" spans="2:17" x14ac:dyDescent="0.2">
      <c r="B113" s="3" t="s">
        <v>18</v>
      </c>
      <c r="C113" s="6" t="s">
        <v>4</v>
      </c>
      <c r="D113" s="3" t="s">
        <v>127</v>
      </c>
      <c r="E113" s="10">
        <f>-E40</f>
        <v>-600</v>
      </c>
      <c r="F113" s="10">
        <f>E113</f>
        <v>-600</v>
      </c>
      <c r="G113" s="10">
        <f t="shared" ref="G113:P113" si="16">F113</f>
        <v>-600</v>
      </c>
      <c r="H113" s="10">
        <f t="shared" si="16"/>
        <v>-600</v>
      </c>
      <c r="I113" s="10">
        <f t="shared" si="16"/>
        <v>-600</v>
      </c>
      <c r="J113" s="10">
        <f t="shared" si="16"/>
        <v>-600</v>
      </c>
      <c r="K113" s="10">
        <f t="shared" si="16"/>
        <v>-600</v>
      </c>
      <c r="L113" s="10">
        <f t="shared" si="16"/>
        <v>-600</v>
      </c>
      <c r="M113" s="10">
        <f t="shared" si="16"/>
        <v>-600</v>
      </c>
      <c r="N113" s="10">
        <f t="shared" si="16"/>
        <v>-600</v>
      </c>
      <c r="O113" s="10">
        <f t="shared" si="16"/>
        <v>-600</v>
      </c>
      <c r="P113" s="10">
        <f t="shared" si="16"/>
        <v>-600</v>
      </c>
      <c r="Q113" s="13">
        <f t="shared" si="10"/>
        <v>-7200</v>
      </c>
    </row>
    <row r="114" spans="2:17" x14ac:dyDescent="0.2">
      <c r="B114" s="3" t="s">
        <v>19</v>
      </c>
      <c r="C114" s="6" t="s">
        <v>4</v>
      </c>
      <c r="D114" s="3" t="s">
        <v>127</v>
      </c>
      <c r="E114" s="10">
        <f>-E41</f>
        <v>-400</v>
      </c>
      <c r="F114" s="10">
        <f t="shared" ref="F114:P118" si="17">E114</f>
        <v>-400</v>
      </c>
      <c r="G114" s="10">
        <f t="shared" si="17"/>
        <v>-400</v>
      </c>
      <c r="H114" s="10">
        <f t="shared" si="17"/>
        <v>-400</v>
      </c>
      <c r="I114" s="10">
        <f t="shared" si="17"/>
        <v>-400</v>
      </c>
      <c r="J114" s="10">
        <f t="shared" si="17"/>
        <v>-400</v>
      </c>
      <c r="K114" s="10">
        <f t="shared" si="17"/>
        <v>-400</v>
      </c>
      <c r="L114" s="10">
        <f t="shared" si="17"/>
        <v>-400</v>
      </c>
      <c r="M114" s="10">
        <f t="shared" si="17"/>
        <v>-400</v>
      </c>
      <c r="N114" s="10">
        <f t="shared" si="17"/>
        <v>-400</v>
      </c>
      <c r="O114" s="10">
        <f t="shared" si="17"/>
        <v>-400</v>
      </c>
      <c r="P114" s="10">
        <f t="shared" si="17"/>
        <v>-400</v>
      </c>
      <c r="Q114" s="13">
        <f t="shared" si="10"/>
        <v>-4800</v>
      </c>
    </row>
    <row r="115" spans="2:17" x14ac:dyDescent="0.2">
      <c r="B115" s="3" t="s">
        <v>83</v>
      </c>
      <c r="C115" s="6" t="s">
        <v>4</v>
      </c>
      <c r="E115" s="10">
        <f>-E42</f>
        <v>-4800</v>
      </c>
      <c r="F115" s="10">
        <f t="shared" si="17"/>
        <v>-4800</v>
      </c>
      <c r="G115" s="10">
        <f t="shared" si="17"/>
        <v>-4800</v>
      </c>
      <c r="H115" s="10">
        <f t="shared" si="17"/>
        <v>-4800</v>
      </c>
      <c r="I115" s="10">
        <f t="shared" si="17"/>
        <v>-4800</v>
      </c>
      <c r="J115" s="10">
        <f t="shared" si="17"/>
        <v>-4800</v>
      </c>
      <c r="K115" s="10">
        <f t="shared" si="17"/>
        <v>-4800</v>
      </c>
      <c r="L115" s="10">
        <f t="shared" si="17"/>
        <v>-4800</v>
      </c>
      <c r="M115" s="10">
        <f t="shared" si="17"/>
        <v>-4800</v>
      </c>
      <c r="N115" s="10">
        <f t="shared" si="17"/>
        <v>-4800</v>
      </c>
      <c r="O115" s="10">
        <f t="shared" si="17"/>
        <v>-4800</v>
      </c>
      <c r="P115" s="10">
        <f t="shared" si="17"/>
        <v>-4800</v>
      </c>
      <c r="Q115" s="13">
        <f t="shared" si="10"/>
        <v>-57600</v>
      </c>
    </row>
    <row r="116" spans="2:17" x14ac:dyDescent="0.2">
      <c r="B116" s="3" t="s">
        <v>20</v>
      </c>
      <c r="C116" s="6" t="s">
        <v>4</v>
      </c>
      <c r="D116" s="3" t="s">
        <v>127</v>
      </c>
      <c r="E116" s="10">
        <f>-E43</f>
        <v>-4800</v>
      </c>
      <c r="F116" s="10">
        <f t="shared" si="17"/>
        <v>-4800</v>
      </c>
      <c r="G116" s="10">
        <f t="shared" si="17"/>
        <v>-4800</v>
      </c>
      <c r="H116" s="10">
        <f t="shared" si="17"/>
        <v>-4800</v>
      </c>
      <c r="I116" s="10">
        <f t="shared" si="17"/>
        <v>-4800</v>
      </c>
      <c r="J116" s="10">
        <f t="shared" si="17"/>
        <v>-4800</v>
      </c>
      <c r="K116" s="10">
        <f t="shared" si="17"/>
        <v>-4800</v>
      </c>
      <c r="L116" s="10">
        <f t="shared" si="17"/>
        <v>-4800</v>
      </c>
      <c r="M116" s="10">
        <f t="shared" si="17"/>
        <v>-4800</v>
      </c>
      <c r="N116" s="10">
        <f t="shared" si="17"/>
        <v>-4800</v>
      </c>
      <c r="O116" s="10">
        <f t="shared" si="17"/>
        <v>-4800</v>
      </c>
      <c r="P116" s="10">
        <f t="shared" si="17"/>
        <v>-4800</v>
      </c>
      <c r="Q116" s="13">
        <f t="shared" si="10"/>
        <v>-57600</v>
      </c>
    </row>
    <row r="117" spans="2:17" x14ac:dyDescent="0.2">
      <c r="B117" s="3" t="s">
        <v>113</v>
      </c>
      <c r="C117" s="6" t="s">
        <v>4</v>
      </c>
      <c r="E117" s="10">
        <f>-F75</f>
        <v>-264.75</v>
      </c>
      <c r="F117" s="10">
        <f t="shared" si="17"/>
        <v>-264.75</v>
      </c>
      <c r="G117" s="10">
        <f t="shared" si="17"/>
        <v>-264.75</v>
      </c>
      <c r="H117" s="10">
        <f t="shared" si="17"/>
        <v>-264.75</v>
      </c>
      <c r="I117" s="10">
        <f t="shared" si="17"/>
        <v>-264.75</v>
      </c>
      <c r="J117" s="10">
        <f t="shared" si="17"/>
        <v>-264.75</v>
      </c>
      <c r="K117" s="10">
        <f t="shared" si="17"/>
        <v>-264.75</v>
      </c>
      <c r="L117" s="10">
        <f t="shared" si="17"/>
        <v>-264.75</v>
      </c>
      <c r="M117" s="10">
        <f t="shared" si="17"/>
        <v>-264.75</v>
      </c>
      <c r="N117" s="10">
        <f t="shared" si="17"/>
        <v>-264.75</v>
      </c>
      <c r="O117" s="10">
        <f t="shared" si="17"/>
        <v>-264.75</v>
      </c>
      <c r="P117" s="10">
        <f t="shared" si="17"/>
        <v>-264.75</v>
      </c>
      <c r="Q117" s="13">
        <f t="shared" si="10"/>
        <v>-3177</v>
      </c>
    </row>
    <row r="118" spans="2:17" x14ac:dyDescent="0.2">
      <c r="B118" s="2" t="s">
        <v>111</v>
      </c>
      <c r="C118" s="6" t="s">
        <v>4</v>
      </c>
      <c r="E118" s="22">
        <f>SUM(E104:E117)</f>
        <v>-35033.318229983866</v>
      </c>
      <c r="F118" s="22">
        <f t="shared" si="17"/>
        <v>-35033.318229983866</v>
      </c>
      <c r="G118" s="22">
        <f t="shared" si="17"/>
        <v>-35033.318229983866</v>
      </c>
      <c r="H118" s="22">
        <f t="shared" si="17"/>
        <v>-35033.318229983866</v>
      </c>
      <c r="I118" s="22">
        <f t="shared" si="17"/>
        <v>-35033.318229983866</v>
      </c>
      <c r="J118" s="22">
        <f t="shared" si="17"/>
        <v>-35033.318229983866</v>
      </c>
      <c r="K118" s="22">
        <f t="shared" si="17"/>
        <v>-35033.318229983866</v>
      </c>
      <c r="L118" s="22">
        <f t="shared" si="17"/>
        <v>-35033.318229983866</v>
      </c>
      <c r="M118" s="22">
        <f t="shared" si="17"/>
        <v>-35033.318229983866</v>
      </c>
      <c r="N118" s="22">
        <f t="shared" si="17"/>
        <v>-35033.318229983866</v>
      </c>
      <c r="O118" s="22">
        <f t="shared" si="17"/>
        <v>-35033.318229983866</v>
      </c>
      <c r="P118" s="22">
        <f t="shared" si="17"/>
        <v>-35033.318229983866</v>
      </c>
      <c r="Q118" s="13">
        <f t="shared" si="10"/>
        <v>-420399.81875980628</v>
      </c>
    </row>
    <row r="119" spans="2:17" x14ac:dyDescent="0.2">
      <c r="C119" s="6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</row>
    <row r="120" spans="2:17" x14ac:dyDescent="0.2">
      <c r="B120" s="2" t="s">
        <v>114</v>
      </c>
      <c r="C120" s="18" t="s">
        <v>4</v>
      </c>
      <c r="E120" s="22">
        <f>E101+E118</f>
        <v>-35033.318229983866</v>
      </c>
      <c r="F120" s="22">
        <f t="shared" ref="F120:P120" si="18">F101+F118</f>
        <v>62669.081770016128</v>
      </c>
      <c r="G120" s="22">
        <f t="shared" si="18"/>
        <v>-35033.318229983866</v>
      </c>
      <c r="H120" s="22">
        <f t="shared" si="18"/>
        <v>62669.081770016128</v>
      </c>
      <c r="I120" s="22">
        <f t="shared" si="18"/>
        <v>-35033.318229983866</v>
      </c>
      <c r="J120" s="22">
        <f t="shared" si="18"/>
        <v>62669.081770016128</v>
      </c>
      <c r="K120" s="22">
        <f t="shared" si="18"/>
        <v>-35033.318229983866</v>
      </c>
      <c r="L120" s="22">
        <f t="shared" si="18"/>
        <v>62669.081770016128</v>
      </c>
      <c r="M120" s="22">
        <f t="shared" si="18"/>
        <v>-35033.318229983866</v>
      </c>
      <c r="N120" s="22">
        <f t="shared" si="18"/>
        <v>62669.081770016128</v>
      </c>
      <c r="O120" s="22">
        <f t="shared" si="18"/>
        <v>-35033.318229983866</v>
      </c>
      <c r="P120" s="22">
        <f t="shared" si="18"/>
        <v>62669.081770016128</v>
      </c>
      <c r="Q120" s="13">
        <f t="shared" ref="Q120:Q124" si="19">SUM(E120:P120)</f>
        <v>165814.58124019357</v>
      </c>
    </row>
    <row r="121" spans="2:17" x14ac:dyDescent="0.2"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3">
        <f t="shared" si="19"/>
        <v>0</v>
      </c>
    </row>
    <row r="122" spans="2:17" x14ac:dyDescent="0.2">
      <c r="B122" s="3" t="s">
        <v>116</v>
      </c>
      <c r="C122" s="6" t="s">
        <v>4</v>
      </c>
      <c r="E122" s="10">
        <f>-IF((E101+E109+E113+E114+E116+E108)&gt;0,(E101+E109+E113+E114+E116+E108)*18%,0)</f>
        <v>0</v>
      </c>
      <c r="F122" s="10">
        <f t="shared" ref="F122:N122" si="20">-IF((F101+F109+F113+F114+F116+F108)&gt;0,(F101+F109+F113+F114+F116+F108)*18%,0)</f>
        <v>-16425.431999999997</v>
      </c>
      <c r="G122" s="10">
        <f t="shared" si="20"/>
        <v>0</v>
      </c>
      <c r="H122" s="10">
        <f t="shared" si="20"/>
        <v>-16425.431999999997</v>
      </c>
      <c r="I122" s="10">
        <f t="shared" si="20"/>
        <v>0</v>
      </c>
      <c r="J122" s="10">
        <f t="shared" si="20"/>
        <v>-16425.431999999997</v>
      </c>
      <c r="K122" s="10">
        <f t="shared" si="20"/>
        <v>0</v>
      </c>
      <c r="L122" s="10">
        <f t="shared" si="20"/>
        <v>-16425.431999999997</v>
      </c>
      <c r="M122" s="10">
        <f t="shared" si="20"/>
        <v>0</v>
      </c>
      <c r="N122" s="10">
        <f t="shared" si="20"/>
        <v>-16425.431999999997</v>
      </c>
      <c r="O122" s="10">
        <f t="shared" ref="O122:P122" si="21">-IF((O101+O109+O113+O114+O116)&gt;0,(O101+O109+O113+O114+O116)*18%,0)</f>
        <v>0</v>
      </c>
      <c r="P122" s="10">
        <f t="shared" si="21"/>
        <v>-16506.431999999997</v>
      </c>
      <c r="Q122" s="13">
        <f t="shared" si="19"/>
        <v>-98633.59199999999</v>
      </c>
    </row>
    <row r="123" spans="2:17" x14ac:dyDescent="0.2">
      <c r="B123" s="3" t="s">
        <v>117</v>
      </c>
      <c r="C123" s="6" t="s">
        <v>4</v>
      </c>
      <c r="E123" s="10">
        <f>-IF(E101&gt;0,E101*0.2%,0)</f>
        <v>0</v>
      </c>
      <c r="F123" s="10">
        <f t="shared" ref="F123:P123" si="22">-IF(F101&gt;0,F101*0.2%,0)</f>
        <v>-195.40479999999999</v>
      </c>
      <c r="G123" s="10">
        <f t="shared" si="22"/>
        <v>0</v>
      </c>
      <c r="H123" s="10">
        <f t="shared" si="22"/>
        <v>-195.40479999999999</v>
      </c>
      <c r="I123" s="10">
        <f t="shared" si="22"/>
        <v>0</v>
      </c>
      <c r="J123" s="10">
        <f t="shared" si="22"/>
        <v>-195.40479999999999</v>
      </c>
      <c r="K123" s="10">
        <f t="shared" si="22"/>
        <v>0</v>
      </c>
      <c r="L123" s="10">
        <f t="shared" si="22"/>
        <v>-195.40479999999999</v>
      </c>
      <c r="M123" s="10">
        <f t="shared" si="22"/>
        <v>0</v>
      </c>
      <c r="N123" s="10">
        <f t="shared" si="22"/>
        <v>-195.40479999999999</v>
      </c>
      <c r="O123" s="10">
        <f t="shared" si="22"/>
        <v>0</v>
      </c>
      <c r="P123" s="10">
        <f t="shared" si="22"/>
        <v>-195.40479999999999</v>
      </c>
      <c r="Q123" s="13">
        <f t="shared" si="19"/>
        <v>-1172.4287999999999</v>
      </c>
    </row>
    <row r="124" spans="2:17" x14ac:dyDescent="0.2">
      <c r="B124" s="2" t="s">
        <v>118</v>
      </c>
      <c r="C124" s="18" t="s">
        <v>4</v>
      </c>
      <c r="E124" s="10">
        <f>SUM(E122:E123)</f>
        <v>0</v>
      </c>
      <c r="F124" s="10">
        <f t="shared" ref="F124:P124" si="23">SUM(F122:F123)</f>
        <v>-16620.836799999997</v>
      </c>
      <c r="G124" s="10">
        <f t="shared" si="23"/>
        <v>0</v>
      </c>
      <c r="H124" s="10">
        <f t="shared" si="23"/>
        <v>-16620.836799999997</v>
      </c>
      <c r="I124" s="10">
        <f t="shared" si="23"/>
        <v>0</v>
      </c>
      <c r="J124" s="10">
        <f t="shared" si="23"/>
        <v>-16620.836799999997</v>
      </c>
      <c r="K124" s="10">
        <f t="shared" si="23"/>
        <v>0</v>
      </c>
      <c r="L124" s="10">
        <f t="shared" si="23"/>
        <v>-16620.836799999997</v>
      </c>
      <c r="M124" s="10">
        <f t="shared" si="23"/>
        <v>0</v>
      </c>
      <c r="N124" s="10">
        <f t="shared" si="23"/>
        <v>-16620.836799999997</v>
      </c>
      <c r="O124" s="10">
        <f t="shared" si="23"/>
        <v>0</v>
      </c>
      <c r="P124" s="10">
        <f t="shared" si="23"/>
        <v>-16701.836799999997</v>
      </c>
      <c r="Q124" s="13">
        <f t="shared" si="19"/>
        <v>-99806.020799999969</v>
      </c>
    </row>
    <row r="125" spans="2:17" x14ac:dyDescent="0.2"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</row>
    <row r="126" spans="2:17" x14ac:dyDescent="0.2">
      <c r="B126" s="2" t="s">
        <v>120</v>
      </c>
      <c r="C126" s="18" t="s">
        <v>4</v>
      </c>
      <c r="D126" s="22">
        <f>-C81-C92</f>
        <v>-57405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8" spans="2:17" x14ac:dyDescent="0.2">
      <c r="B128" s="2" t="s">
        <v>119</v>
      </c>
      <c r="C128" s="34" t="s">
        <v>4</v>
      </c>
      <c r="D128" s="22">
        <f>D120+D124+D126</f>
        <v>-57405</v>
      </c>
      <c r="E128" s="22">
        <f t="shared" ref="E128:Q128" si="24">E120+E124+E126</f>
        <v>-35033.318229983866</v>
      </c>
      <c r="F128" s="22">
        <f t="shared" si="24"/>
        <v>46048.244970016131</v>
      </c>
      <c r="G128" s="22">
        <f t="shared" si="24"/>
        <v>-35033.318229983866</v>
      </c>
      <c r="H128" s="22">
        <f t="shared" si="24"/>
        <v>46048.244970016131</v>
      </c>
      <c r="I128" s="22">
        <f t="shared" si="24"/>
        <v>-35033.318229983866</v>
      </c>
      <c r="J128" s="22">
        <f t="shared" si="24"/>
        <v>46048.244970016131</v>
      </c>
      <c r="K128" s="22">
        <f t="shared" si="24"/>
        <v>-35033.318229983866</v>
      </c>
      <c r="L128" s="22">
        <f t="shared" si="24"/>
        <v>46048.244970016131</v>
      </c>
      <c r="M128" s="22">
        <f t="shared" si="24"/>
        <v>-35033.318229983866</v>
      </c>
      <c r="N128" s="22">
        <f t="shared" si="24"/>
        <v>46048.244970016131</v>
      </c>
      <c r="O128" s="22">
        <f t="shared" si="24"/>
        <v>-35033.318229983866</v>
      </c>
      <c r="P128" s="22">
        <f t="shared" si="24"/>
        <v>45967.244970016131</v>
      </c>
      <c r="Q128" s="22">
        <f t="shared" si="24"/>
        <v>66008.5604401936</v>
      </c>
    </row>
    <row r="130" spans="2:16" x14ac:dyDescent="0.2">
      <c r="B130" s="3" t="s">
        <v>123</v>
      </c>
      <c r="C130" s="30">
        <f>NPV(C133,E128:P128)+D128</f>
        <v>3473.6880038216696</v>
      </c>
    </row>
    <row r="132" spans="2:16" x14ac:dyDescent="0.2">
      <c r="B132" s="3" t="s">
        <v>122</v>
      </c>
      <c r="C132" s="23">
        <v>0.1</v>
      </c>
    </row>
    <row r="133" spans="2:16" x14ac:dyDescent="0.2">
      <c r="B133" s="3" t="s">
        <v>121</v>
      </c>
      <c r="C133" s="23">
        <f>((1+C132)^(1/12))-1</f>
        <v>7.9741404289037643E-3</v>
      </c>
    </row>
    <row r="135" spans="2:16" x14ac:dyDescent="0.2">
      <c r="B135" s="3" t="s">
        <v>136</v>
      </c>
      <c r="E135" s="10">
        <v>918.56822998387156</v>
      </c>
      <c r="F135" s="10">
        <v>848.25426388922961</v>
      </c>
      <c r="G135" s="10">
        <v>776.86382820494259</v>
      </c>
      <c r="H135" s="10">
        <v>704.38044275158404</v>
      </c>
      <c r="I135" s="10">
        <v>630.78737504690673</v>
      </c>
      <c r="J135" s="10">
        <v>556.06763644321984</v>
      </c>
      <c r="K135" s="10">
        <v>480.20397820563227</v>
      </c>
      <c r="L135" s="10">
        <v>403.1788875302546</v>
      </c>
      <c r="M135" s="10">
        <v>324.97458350144308</v>
      </c>
      <c r="N135" s="10">
        <v>245.57301298715046</v>
      </c>
      <c r="O135" s="10">
        <v>164.95584647143696</v>
      </c>
      <c r="P135" s="10">
        <v>83.104473823179234</v>
      </c>
    </row>
    <row r="137" spans="2:16" x14ac:dyDescent="0.2">
      <c r="C137" s="3" t="s">
        <v>128</v>
      </c>
    </row>
    <row r="138" spans="2:16" x14ac:dyDescent="0.2">
      <c r="B138" s="3">
        <v>1</v>
      </c>
      <c r="C138" s="3" t="s">
        <v>129</v>
      </c>
    </row>
    <row r="139" spans="2:16" x14ac:dyDescent="0.2">
      <c r="B139" s="3">
        <v>2</v>
      </c>
    </row>
    <row r="146" spans="7:7" x14ac:dyDescent="0.2">
      <c r="G146" s="10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5" sqref="B5"/>
    </sheetView>
  </sheetViews>
  <sheetFormatPr baseColWidth="10" defaultColWidth="9.140625" defaultRowHeight="15" x14ac:dyDescent="0.25"/>
  <cols>
    <col min="2" max="2" width="95.28515625" customWidth="1"/>
  </cols>
  <sheetData>
    <row r="2" spans="1:2" x14ac:dyDescent="0.25">
      <c r="A2">
        <v>1</v>
      </c>
      <c r="B2" t="s">
        <v>133</v>
      </c>
    </row>
    <row r="3" spans="1:2" x14ac:dyDescent="0.25">
      <c r="A3">
        <v>2</v>
      </c>
      <c r="B3" t="s">
        <v>134</v>
      </c>
    </row>
    <row r="4" spans="1:2" x14ac:dyDescent="0.25">
      <c r="A4">
        <v>3</v>
      </c>
      <c r="B4" t="s"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"/>
  <sheetViews>
    <sheetView workbookViewId="0">
      <selection activeCell="D4" sqref="D4:E6"/>
    </sheetView>
  </sheetViews>
  <sheetFormatPr baseColWidth="10" defaultColWidth="9.140625" defaultRowHeight="15" x14ac:dyDescent="0.25"/>
  <sheetData>
    <row r="5" spans="5:5" x14ac:dyDescent="0.25">
      <c r="E5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br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pek</dc:creator>
  <cp:lastModifiedBy>Usuario</cp:lastModifiedBy>
  <dcterms:created xsi:type="dcterms:W3CDTF">2015-07-15T01:25:18Z</dcterms:created>
  <dcterms:modified xsi:type="dcterms:W3CDTF">2015-07-27T15:58:47Z</dcterms:modified>
</cp:coreProperties>
</file>