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ropbox\Mine\Spring2018\Module4\"/>
    </mc:Choice>
  </mc:AlternateContent>
  <bookViews>
    <workbookView xWindow="360" yWindow="60" windowWidth="11340" windowHeight="6030"/>
  </bookViews>
  <sheets>
    <sheet name="Template (centralize all)" sheetId="4" r:id="rId1"/>
  </sheets>
  <calcPr calcId="162913"/>
</workbook>
</file>

<file path=xl/calcChain.xml><?xml version="1.0" encoding="utf-8"?>
<calcChain xmlns="http://schemas.openxmlformats.org/spreadsheetml/2006/main">
  <c r="K11" i="4" l="1"/>
  <c r="M40" i="4" l="1"/>
  <c r="L39" i="4"/>
  <c r="M32" i="4"/>
  <c r="M25" i="4"/>
  <c r="L19" i="4"/>
  <c r="M26" i="4"/>
  <c r="M20" i="4"/>
  <c r="J32" i="4"/>
  <c r="G1" i="4"/>
  <c r="D52" i="4"/>
  <c r="D53" i="4"/>
  <c r="D54" i="4"/>
  <c r="M11" i="4"/>
  <c r="N11" i="4"/>
  <c r="N12" i="4"/>
  <c r="K13" i="4"/>
  <c r="N13" i="4"/>
  <c r="K18" i="4"/>
  <c r="N18" i="4"/>
  <c r="K19" i="4"/>
  <c r="N19" i="4"/>
  <c r="K20" i="4"/>
  <c r="N20" i="4"/>
  <c r="M24" i="4"/>
  <c r="L24" i="4"/>
  <c r="K24" i="4"/>
  <c r="N24" i="4"/>
  <c r="N25" i="4"/>
  <c r="K26" i="4"/>
  <c r="N26" i="4"/>
  <c r="N31" i="4"/>
  <c r="K32" i="4"/>
  <c r="N32" i="4"/>
  <c r="I47" i="4"/>
  <c r="K33" i="4"/>
  <c r="N33" i="4"/>
  <c r="M38" i="4"/>
  <c r="I45" i="4"/>
  <c r="N38" i="4"/>
  <c r="I46" i="4"/>
  <c r="N39" i="4"/>
  <c r="K40" i="4"/>
  <c r="N40" i="4"/>
  <c r="D45" i="4"/>
  <c r="D46" i="4"/>
  <c r="D47" i="4"/>
  <c r="L26" i="4"/>
  <c r="K39" i="4"/>
  <c r="K25" i="4"/>
  <c r="K12" i="4"/>
  <c r="F47" i="4"/>
  <c r="D55" i="4"/>
  <c r="G5" i="4" s="1"/>
  <c r="G7" i="4" s="1"/>
  <c r="K57" i="4" s="1"/>
  <c r="M12" i="4"/>
  <c r="J31" i="4"/>
  <c r="M31" i="4"/>
  <c r="K31" i="4"/>
  <c r="L40" i="4"/>
  <c r="J25" i="4"/>
  <c r="F46" i="4"/>
  <c r="K38" i="4"/>
  <c r="L38" i="4"/>
  <c r="F45" i="4"/>
  <c r="G45" i="4"/>
  <c r="M45" i="4" s="1"/>
  <c r="J33" i="4"/>
  <c r="M33" i="4"/>
  <c r="L18" i="4"/>
  <c r="M18" i="4"/>
  <c r="J24" i="4" l="1"/>
  <c r="L25" i="4"/>
  <c r="L33" i="4"/>
  <c r="J40" i="4"/>
  <c r="J38" i="4"/>
  <c r="L31" i="4"/>
  <c r="O53" i="4"/>
  <c r="E52" i="4"/>
  <c r="M39" i="4"/>
  <c r="J39" i="4"/>
  <c r="J34" i="4"/>
  <c r="L32" i="4"/>
  <c r="M19" i="4"/>
  <c r="J11" i="4"/>
  <c r="L11" i="4"/>
  <c r="H45" i="4"/>
  <c r="L20" i="4"/>
  <c r="J20" i="4"/>
  <c r="G47" i="4"/>
  <c r="M47" i="4" s="1"/>
  <c r="J26" i="4"/>
  <c r="J18" i="4"/>
  <c r="J19" i="4"/>
  <c r="H46" i="4"/>
  <c r="L12" i="4"/>
  <c r="J12" i="4"/>
  <c r="L13" i="4"/>
  <c r="H47" i="4"/>
  <c r="J13" i="4"/>
  <c r="G46" i="4"/>
  <c r="M46" i="4" s="1"/>
  <c r="M13" i="4"/>
  <c r="J27" i="4" l="1"/>
  <c r="J41" i="4"/>
  <c r="J14" i="4"/>
  <c r="L53" i="4"/>
  <c r="L68" i="4"/>
  <c r="O68" i="4" s="1"/>
  <c r="N53" i="4"/>
  <c r="O52" i="4"/>
  <c r="O54" i="4"/>
  <c r="J47" i="4"/>
  <c r="L45" i="4"/>
  <c r="J46" i="4"/>
  <c r="J21" i="4"/>
  <c r="J45" i="4"/>
  <c r="L47" i="4"/>
  <c r="L46" i="4"/>
  <c r="N54" i="4" l="1"/>
  <c r="L54" i="4"/>
  <c r="N52" i="4"/>
  <c r="L52" i="4"/>
  <c r="J53" i="4"/>
  <c r="M53" i="4"/>
  <c r="J48" i="4"/>
  <c r="K53" i="4" l="1"/>
  <c r="J52" i="4"/>
  <c r="K52" i="4" s="1"/>
  <c r="M52" i="4"/>
  <c r="L67" i="4"/>
  <c r="O67" i="4" s="1"/>
  <c r="M54" i="4"/>
  <c r="J54" i="4"/>
  <c r="K54" i="4" s="1"/>
  <c r="L69" i="4"/>
  <c r="O69" i="4" s="1"/>
  <c r="K55" i="4" l="1"/>
  <c r="J55" i="4"/>
  <c r="G57" i="4" s="1"/>
  <c r="J61" i="4" l="1"/>
</calcChain>
</file>

<file path=xl/comments1.xml><?xml version="1.0" encoding="utf-8"?>
<comments xmlns="http://schemas.openxmlformats.org/spreadsheetml/2006/main">
  <authors>
    <author>Osadchiy, Nikolay</author>
    <author>Niko</author>
  </authors>
  <commentList>
    <comment ref="G1" authorId="0" shapeId="0">
      <text>
        <r>
          <rPr>
            <b/>
            <sz val="9"/>
            <color indexed="81"/>
            <rFont val="Tahoma"/>
            <family val="2"/>
          </rPr>
          <t>Osadchiy, Nikolay:</t>
        </r>
        <r>
          <rPr>
            <sz val="9"/>
            <color indexed="81"/>
            <rFont val="Tahoma"/>
            <family val="2"/>
          </rPr>
          <t xml:space="preserve">
Enter in cell K49</t>
        </r>
      </text>
    </comment>
    <comment ref="E4" authorId="1" shapeId="0">
      <text>
        <r>
          <rPr>
            <b/>
            <sz val="9"/>
            <color indexed="81"/>
            <rFont val="Tahoma"/>
            <family val="2"/>
            <charset val="204"/>
          </rPr>
          <t>Niko:</t>
        </r>
        <r>
          <rPr>
            <sz val="9"/>
            <color indexed="81"/>
            <rFont val="Tahoma"/>
            <family val="2"/>
            <charset val="204"/>
          </rPr>
          <t xml:space="preserve">
=D4
</t>
        </r>
      </text>
    </comment>
    <comment ref="G9" authorId="1" shapeId="0">
      <text>
        <r>
          <rPr>
            <b/>
            <sz val="9"/>
            <color indexed="81"/>
            <rFont val="Tahoma"/>
            <family val="2"/>
            <charset val="204"/>
          </rPr>
          <t>Niko:</t>
        </r>
        <r>
          <rPr>
            <sz val="9"/>
            <color indexed="81"/>
            <rFont val="Tahoma"/>
            <family val="2"/>
            <charset val="204"/>
          </rPr>
          <t xml:space="preserve">
to account for lead time, note that average unit spends L days in transit and T/2 days in inventory, so L+T/2 in total, incurring holding costs</t>
        </r>
      </text>
    </comment>
  </commentList>
</comments>
</file>

<file path=xl/sharedStrings.xml><?xml version="1.0" encoding="utf-8"?>
<sst xmlns="http://schemas.openxmlformats.org/spreadsheetml/2006/main" count="132" uniqueCount="50">
  <si>
    <t>Region 1</t>
  </si>
  <si>
    <t>Holding Cost/day</t>
  </si>
  <si>
    <t>Days per year</t>
  </si>
  <si>
    <t>Supply Leadtime (days)</t>
  </si>
  <si>
    <t>Review Period (days)</t>
  </si>
  <si>
    <t>Transportation cost/unit</t>
  </si>
  <si>
    <t>No</t>
  </si>
  <si>
    <t>Part</t>
  </si>
  <si>
    <t>Mean</t>
  </si>
  <si>
    <t>Std dev</t>
  </si>
  <si>
    <t>ss</t>
  </si>
  <si>
    <t>CSL</t>
  </si>
  <si>
    <t>Cycle Stock</t>
  </si>
  <si>
    <t>z*stddev*sqrt(T+L)</t>
  </si>
  <si>
    <t>Inventory Cost</t>
  </si>
  <si>
    <t>H*(Cycle + ss)</t>
  </si>
  <si>
    <t>Transport Cost</t>
  </si>
  <si>
    <t>Per part per day</t>
  </si>
  <si>
    <t>Warehouse cost</t>
  </si>
  <si>
    <t>Total</t>
  </si>
  <si>
    <t>per year</t>
  </si>
  <si>
    <t>Region 2</t>
  </si>
  <si>
    <t>Region 3</t>
  </si>
  <si>
    <t>Region 4</t>
  </si>
  <si>
    <t>Region 5</t>
  </si>
  <si>
    <t>CDC Cost</t>
  </si>
  <si>
    <t>All Regions</t>
  </si>
  <si>
    <t>Centralized</t>
  </si>
  <si>
    <t>Correlation</t>
  </si>
  <si>
    <t>Central Transp cost</t>
  </si>
  <si>
    <t>Total Demand served</t>
  </si>
  <si>
    <t>Saving per year</t>
  </si>
  <si>
    <t>Net Investment</t>
  </si>
  <si>
    <t>Total Cost/year</t>
  </si>
  <si>
    <t>ROI</t>
  </si>
  <si>
    <t>OUL</t>
  </si>
  <si>
    <t>UNIT COST</t>
  </si>
  <si>
    <t>DAYS OF INV</t>
  </si>
  <si>
    <t>PER YEAR</t>
  </si>
  <si>
    <t>CV</t>
  </si>
  <si>
    <t>(I)</t>
  </si>
  <si>
    <t>Avg. Demand (II)</t>
  </si>
  <si>
    <t xml:space="preserve">No. of parts </t>
  </si>
  <si>
    <t>(III)</t>
  </si>
  <si>
    <t>Total Savings (I)*(III)</t>
  </si>
  <si>
    <t>(II)*(III)</t>
  </si>
  <si>
    <t>Savings per part</t>
  </si>
  <si>
    <t>Total Demand</t>
  </si>
  <si>
    <t>CENTRALIZE ALL</t>
  </si>
  <si>
    <t>D(T/2+L)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</si>
</sst>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&quot;$&quot;#,##0_);[Red]\(&quot;$&quot;#,##0\)"/>
    <numFmt numFmtId="164" formatCode="&quot;$&quot;#,##0.00"/>
  </numFmts>
  <fonts count="10" x14ac:knownFonts="1">
    <font>
      <sz val="10"/>
      <name val="Arial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0"/>
      <name val="Calibri"/>
      <family val="2"/>
      <charset val="204"/>
      <scheme val="minor"/>
    </font>
    <font>
      <sz val="10"/>
      <color theme="0" tint="-0.14999847407452621"/>
      <name val="Calibri"/>
      <family val="2"/>
      <charset val="204"/>
      <scheme val="minor"/>
    </font>
    <font>
      <b/>
      <sz val="10"/>
      <name val="Calibri"/>
      <family val="2"/>
      <charset val="204"/>
      <scheme val="minor"/>
    </font>
    <font>
      <u/>
      <sz val="10"/>
      <name val="Calibri"/>
      <family val="2"/>
      <charset val="204"/>
      <scheme val="minor"/>
    </font>
    <font>
      <sz val="10"/>
      <color theme="0"/>
      <name val="Calibri"/>
      <family val="2"/>
      <charset val="20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3" fillId="0" borderId="0" xfId="0" applyFont="1"/>
    <xf numFmtId="0" fontId="3" fillId="2" borderId="0" xfId="0" applyFont="1" applyFill="1"/>
    <xf numFmtId="0" fontId="4" fillId="0" borderId="5" xfId="0" applyFont="1" applyFill="1" applyBorder="1"/>
    <xf numFmtId="0" fontId="5" fillId="0" borderId="0" xfId="0" applyFont="1"/>
    <xf numFmtId="0" fontId="3" fillId="0" borderId="0" xfId="0" applyFont="1" applyBorder="1" applyAlignment="1">
      <alignment horizontal="center"/>
    </xf>
    <xf numFmtId="0" fontId="3" fillId="0" borderId="1" xfId="0" quotePrefix="1" applyFont="1" applyBorder="1"/>
    <xf numFmtId="0" fontId="3" fillId="0" borderId="1" xfId="0" applyFont="1" applyBorder="1"/>
    <xf numFmtId="0" fontId="3" fillId="0" borderId="0" xfId="0" applyFont="1" applyBorder="1"/>
    <xf numFmtId="0" fontId="3" fillId="0" borderId="2" xfId="0" applyFont="1" applyBorder="1" applyAlignment="1">
      <alignment horizontal="right"/>
    </xf>
    <xf numFmtId="0" fontId="3" fillId="0" borderId="2" xfId="0" applyFont="1" applyBorder="1"/>
    <xf numFmtId="2" fontId="3" fillId="0" borderId="2" xfId="0" applyNumberFormat="1" applyFont="1" applyBorder="1"/>
    <xf numFmtId="164" fontId="3" fillId="0" borderId="2" xfId="0" applyNumberFormat="1" applyFont="1" applyBorder="1"/>
    <xf numFmtId="2" fontId="3" fillId="0" borderId="6" xfId="0" applyNumberFormat="1" applyFont="1" applyBorder="1"/>
    <xf numFmtId="164" fontId="3" fillId="0" borderId="0" xfId="0" applyNumberFormat="1" applyFont="1"/>
    <xf numFmtId="4" fontId="3" fillId="0" borderId="0" xfId="0" applyNumberFormat="1" applyFont="1"/>
    <xf numFmtId="4" fontId="6" fillId="0" borderId="0" xfId="0" applyNumberFormat="1" applyFont="1"/>
    <xf numFmtId="164" fontId="6" fillId="0" borderId="0" xfId="0" applyNumberFormat="1" applyFont="1"/>
    <xf numFmtId="0" fontId="3" fillId="0" borderId="4" xfId="0" applyFont="1" applyBorder="1"/>
    <xf numFmtId="0" fontId="3" fillId="0" borderId="2" xfId="0" applyFont="1" applyBorder="1" applyAlignment="1">
      <alignment horizontal="center"/>
    </xf>
    <xf numFmtId="2" fontId="3" fillId="0" borderId="2" xfId="0" applyNumberFormat="1" applyFont="1" applyBorder="1" applyAlignment="1">
      <alignment horizontal="center"/>
    </xf>
    <xf numFmtId="164" fontId="3" fillId="0" borderId="3" xfId="0" applyNumberFormat="1" applyFont="1" applyBorder="1"/>
    <xf numFmtId="2" fontId="3" fillId="0" borderId="0" xfId="0" applyNumberFormat="1" applyFont="1"/>
    <xf numFmtId="10" fontId="3" fillId="0" borderId="0" xfId="0" applyNumberFormat="1" applyFont="1"/>
    <xf numFmtId="0" fontId="7" fillId="3" borderId="0" xfId="0" applyFont="1" applyFill="1"/>
    <xf numFmtId="6" fontId="7" fillId="3" borderId="0" xfId="0" applyNumberFormat="1" applyFont="1" applyFill="1"/>
    <xf numFmtId="3" fontId="7" fillId="3" borderId="0" xfId="0" applyNumberFormat="1" applyFont="1" applyFill="1"/>
    <xf numFmtId="2" fontId="3" fillId="0" borderId="7" xfId="0" applyNumberFormat="1" applyFont="1" applyBorder="1"/>
    <xf numFmtId="2" fontId="3" fillId="0" borderId="0" xfId="0" applyNumberFormat="1" applyFont="1" applyBorder="1"/>
    <xf numFmtId="0" fontId="3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Q69"/>
  <sheetViews>
    <sheetView tabSelected="1" zoomScale="75" zoomScaleNormal="75" workbookViewId="0">
      <selection activeCell="I2" sqref="I2"/>
    </sheetView>
  </sheetViews>
  <sheetFormatPr defaultRowHeight="12.75" x14ac:dyDescent="0.2"/>
  <cols>
    <col min="1" max="2" width="9.140625" style="1"/>
    <col min="3" max="3" width="11.7109375" style="1" customWidth="1"/>
    <col min="4" max="5" width="9.140625" style="1"/>
    <col min="6" max="6" width="18" style="1" customWidth="1"/>
    <col min="7" max="7" width="17.85546875" style="1" customWidth="1"/>
    <col min="8" max="8" width="14.28515625" style="1" customWidth="1"/>
    <col min="9" max="9" width="13.42578125" style="1" customWidth="1"/>
    <col min="10" max="10" width="20" style="1" customWidth="1"/>
    <col min="11" max="11" width="14" style="1" customWidth="1"/>
    <col min="12" max="12" width="12.140625" style="1" customWidth="1"/>
    <col min="13" max="13" width="12.5703125" style="1" customWidth="1"/>
    <col min="14" max="14" width="9.140625" style="1"/>
    <col min="15" max="15" width="10.28515625" style="1" customWidth="1"/>
    <col min="16" max="16384" width="9.140625" style="1"/>
  </cols>
  <sheetData>
    <row r="1" spans="2:14" ht="13.5" thickBot="1" x14ac:dyDescent="0.25">
      <c r="B1" s="1" t="s">
        <v>2</v>
      </c>
      <c r="D1" s="2">
        <v>365</v>
      </c>
      <c r="F1" s="1" t="s">
        <v>28</v>
      </c>
      <c r="G1" s="3">
        <f>+K49</f>
        <v>0</v>
      </c>
      <c r="I1" s="4" t="s">
        <v>48</v>
      </c>
    </row>
    <row r="2" spans="2:14" x14ac:dyDescent="0.2">
      <c r="B2" s="1" t="s">
        <v>1</v>
      </c>
      <c r="D2" s="2">
        <v>0.15</v>
      </c>
    </row>
    <row r="3" spans="2:14" x14ac:dyDescent="0.2">
      <c r="B3" s="1" t="s">
        <v>5</v>
      </c>
      <c r="D3" s="2">
        <v>0.19</v>
      </c>
      <c r="F3" s="1" t="s">
        <v>29</v>
      </c>
      <c r="G3" s="2">
        <v>0.28999999999999998</v>
      </c>
    </row>
    <row r="4" spans="2:14" x14ac:dyDescent="0.2">
      <c r="B4" s="1" t="s">
        <v>3</v>
      </c>
      <c r="D4" s="2">
        <v>5</v>
      </c>
      <c r="E4" s="1">
        <v>5</v>
      </c>
    </row>
    <row r="5" spans="2:14" x14ac:dyDescent="0.2">
      <c r="B5" s="1" t="s">
        <v>4</v>
      </c>
      <c r="D5" s="2">
        <v>6</v>
      </c>
      <c r="F5" s="1" t="s">
        <v>30</v>
      </c>
      <c r="G5" s="1">
        <f>+D55*D1</f>
        <v>690616.5</v>
      </c>
    </row>
    <row r="6" spans="2:14" x14ac:dyDescent="0.2">
      <c r="B6" s="1" t="s">
        <v>11</v>
      </c>
      <c r="D6" s="2">
        <v>0.95</v>
      </c>
    </row>
    <row r="7" spans="2:14" x14ac:dyDescent="0.2">
      <c r="B7" s="1" t="s">
        <v>18</v>
      </c>
      <c r="D7" s="2">
        <v>50000</v>
      </c>
      <c r="F7" s="1" t="s">
        <v>25</v>
      </c>
      <c r="G7" s="1">
        <f>IF(G5&lt;400000,G5*2,800000+(G5-400000)*1.5)</f>
        <v>1235924.75</v>
      </c>
      <c r="H7" s="29" t="s">
        <v>17</v>
      </c>
      <c r="I7" s="29"/>
      <c r="J7" s="1" t="s">
        <v>19</v>
      </c>
    </row>
    <row r="8" spans="2:14" x14ac:dyDescent="0.2">
      <c r="H8" s="5"/>
      <c r="I8" s="5"/>
      <c r="J8" s="1" t="s">
        <v>20</v>
      </c>
    </row>
    <row r="9" spans="2:14" x14ac:dyDescent="0.2">
      <c r="B9" s="4" t="s">
        <v>0</v>
      </c>
      <c r="F9" s="6" t="s">
        <v>13</v>
      </c>
      <c r="G9" s="7" t="s">
        <v>49</v>
      </c>
      <c r="H9" s="8" t="s">
        <v>15</v>
      </c>
      <c r="L9" s="1" t="s">
        <v>36</v>
      </c>
    </row>
    <row r="10" spans="2:14" x14ac:dyDescent="0.2">
      <c r="B10" s="1" t="s">
        <v>6</v>
      </c>
      <c r="C10" s="1" t="s">
        <v>7</v>
      </c>
      <c r="D10" s="1" t="s">
        <v>8</v>
      </c>
      <c r="E10" s="1" t="s">
        <v>9</v>
      </c>
      <c r="F10" s="1" t="s">
        <v>10</v>
      </c>
      <c r="G10" s="1" t="s">
        <v>12</v>
      </c>
      <c r="H10" s="1" t="s">
        <v>14</v>
      </c>
      <c r="I10" s="1" t="s">
        <v>16</v>
      </c>
      <c r="K10" s="1" t="s">
        <v>35</v>
      </c>
      <c r="L10" s="1" t="s">
        <v>38</v>
      </c>
      <c r="M10" s="1" t="s">
        <v>37</v>
      </c>
      <c r="N10" s="9" t="s">
        <v>39</v>
      </c>
    </row>
    <row r="11" spans="2:14" x14ac:dyDescent="0.2">
      <c r="B11" s="10">
        <v>10</v>
      </c>
      <c r="C11" s="10">
        <v>1</v>
      </c>
      <c r="D11" s="11">
        <v>35.479999999999997</v>
      </c>
      <c r="E11" s="11">
        <v>6.98</v>
      </c>
      <c r="F11" s="11"/>
      <c r="G11" s="10"/>
      <c r="H11" s="11"/>
      <c r="I11" s="11"/>
      <c r="J11" s="12">
        <f>+SUM(H11:I11)*$D$1*B11</f>
        <v>0</v>
      </c>
      <c r="K11" s="11">
        <f>+D11*($D$4+$D$5)+F11</f>
        <v>390.28</v>
      </c>
      <c r="L11" s="11">
        <f>+(H11+I11)/D11</f>
        <v>0</v>
      </c>
      <c r="M11" s="13">
        <f>+(F11+G11)/D11</f>
        <v>0</v>
      </c>
      <c r="N11" s="11">
        <f>+E11/D11</f>
        <v>0.19673055242390081</v>
      </c>
    </row>
    <row r="12" spans="2:14" x14ac:dyDescent="0.2">
      <c r="B12" s="10">
        <v>20</v>
      </c>
      <c r="C12" s="10">
        <v>3</v>
      </c>
      <c r="D12" s="11">
        <v>2.48</v>
      </c>
      <c r="E12" s="11">
        <v>3.16</v>
      </c>
      <c r="F12" s="11"/>
      <c r="G12" s="10"/>
      <c r="H12" s="11"/>
      <c r="I12" s="11"/>
      <c r="J12" s="12">
        <f>+SUM(H12:I12)*$D$1*B12</f>
        <v>0</v>
      </c>
      <c r="K12" s="11">
        <f>+D12*($D$4+$D$5)+F12</f>
        <v>27.28</v>
      </c>
      <c r="L12" s="11">
        <f>+(H12+I12)/D12</f>
        <v>0</v>
      </c>
      <c r="M12" s="13">
        <f>+(F12+G12)/D12</f>
        <v>0</v>
      </c>
      <c r="N12" s="11">
        <f>+E12/D12</f>
        <v>1.2741935483870968</v>
      </c>
    </row>
    <row r="13" spans="2:14" x14ac:dyDescent="0.2">
      <c r="B13" s="10">
        <v>70</v>
      </c>
      <c r="C13" s="10">
        <v>7</v>
      </c>
      <c r="D13" s="11">
        <v>0.48</v>
      </c>
      <c r="E13" s="11">
        <v>1.98</v>
      </c>
      <c r="F13" s="11"/>
      <c r="G13" s="10"/>
      <c r="H13" s="11"/>
      <c r="I13" s="11"/>
      <c r="J13" s="12">
        <f>+SUM(H13:I13)*$D$1*B13</f>
        <v>0</v>
      </c>
      <c r="K13" s="11">
        <f>+D13*($D$4+$D$5)+F13</f>
        <v>5.2799999999999994</v>
      </c>
      <c r="L13" s="11">
        <f>+(H13+I13)/D13</f>
        <v>0</v>
      </c>
      <c r="M13" s="13">
        <f>+(F13+G13)/D13</f>
        <v>0</v>
      </c>
      <c r="N13" s="11">
        <f>+E13/D13</f>
        <v>4.125</v>
      </c>
    </row>
    <row r="14" spans="2:14" x14ac:dyDescent="0.2">
      <c r="J14" s="14">
        <f>SUM(J11:J13)+$D$7</f>
        <v>50000</v>
      </c>
    </row>
    <row r="16" spans="2:14" x14ac:dyDescent="0.2">
      <c r="B16" s="4" t="s">
        <v>21</v>
      </c>
      <c r="F16" s="6" t="s">
        <v>13</v>
      </c>
      <c r="G16" s="7" t="s">
        <v>49</v>
      </c>
      <c r="H16" s="8" t="s">
        <v>15</v>
      </c>
      <c r="L16" s="1" t="s">
        <v>36</v>
      </c>
    </row>
    <row r="17" spans="2:14" x14ac:dyDescent="0.2">
      <c r="B17" s="1" t="s">
        <v>6</v>
      </c>
      <c r="C17" s="1" t="s">
        <v>7</v>
      </c>
      <c r="D17" s="1" t="s">
        <v>8</v>
      </c>
      <c r="E17" s="1" t="s">
        <v>9</v>
      </c>
      <c r="F17" s="1" t="s">
        <v>10</v>
      </c>
      <c r="G17" s="1" t="s">
        <v>12</v>
      </c>
      <c r="H17" s="1" t="s">
        <v>14</v>
      </c>
      <c r="I17" s="1" t="s">
        <v>16</v>
      </c>
      <c r="K17" s="1" t="s">
        <v>35</v>
      </c>
      <c r="L17" s="1" t="s">
        <v>38</v>
      </c>
      <c r="M17" s="1" t="s">
        <v>37</v>
      </c>
      <c r="N17" s="9" t="s">
        <v>39</v>
      </c>
    </row>
    <row r="18" spans="2:14" x14ac:dyDescent="0.2">
      <c r="B18" s="10">
        <v>10</v>
      </c>
      <c r="C18" s="10">
        <v>1</v>
      </c>
      <c r="D18" s="11">
        <v>22.61</v>
      </c>
      <c r="E18" s="11">
        <v>6.48</v>
      </c>
      <c r="F18" s="11"/>
      <c r="G18" s="10"/>
      <c r="H18" s="11"/>
      <c r="I18" s="11"/>
      <c r="J18" s="12">
        <f>+SUM(H18:I18)*$D$1*B18</f>
        <v>0</v>
      </c>
      <c r="K18" s="11">
        <f>+D18*($D$4+$D$5)+F18</f>
        <v>248.70999999999998</v>
      </c>
      <c r="L18" s="11">
        <f>+(H18+I18)/D18</f>
        <v>0</v>
      </c>
      <c r="M18" s="11">
        <f>+(F18+G18)/D18</f>
        <v>0</v>
      </c>
      <c r="N18" s="11">
        <f>+E18/D18</f>
        <v>0.28659885006634234</v>
      </c>
    </row>
    <row r="19" spans="2:14" x14ac:dyDescent="0.2">
      <c r="B19" s="10">
        <v>20</v>
      </c>
      <c r="C19" s="10">
        <v>3</v>
      </c>
      <c r="D19" s="11">
        <v>4.1500000000000004</v>
      </c>
      <c r="E19" s="11">
        <v>6.2</v>
      </c>
      <c r="F19" s="11"/>
      <c r="G19" s="10"/>
      <c r="H19" s="11"/>
      <c r="I19" s="11"/>
      <c r="J19" s="12">
        <f>+SUM(H19:I19)*$D$1*B19</f>
        <v>0</v>
      </c>
      <c r="K19" s="11">
        <f>+D19*($D$4+$D$5)+F19</f>
        <v>45.650000000000006</v>
      </c>
      <c r="L19" s="11">
        <f>+(H19+I19)/D19</f>
        <v>0</v>
      </c>
      <c r="M19" s="11">
        <f>+(F19+G19)/D19</f>
        <v>0</v>
      </c>
      <c r="N19" s="11">
        <f>+E19/D19</f>
        <v>1.4939759036144578</v>
      </c>
    </row>
    <row r="20" spans="2:14" x14ac:dyDescent="0.2">
      <c r="B20" s="10">
        <v>70</v>
      </c>
      <c r="C20" s="10">
        <v>7</v>
      </c>
      <c r="D20" s="11">
        <v>0.73</v>
      </c>
      <c r="E20" s="11">
        <v>1.42</v>
      </c>
      <c r="F20" s="11"/>
      <c r="G20" s="10"/>
      <c r="H20" s="11"/>
      <c r="I20" s="11"/>
      <c r="J20" s="12">
        <f>+SUM(H20:I20)*$D$1*B20</f>
        <v>0</v>
      </c>
      <c r="K20" s="11">
        <f>+D20*($D$4+$D$5)+F20</f>
        <v>8.0299999999999994</v>
      </c>
      <c r="L20" s="11">
        <f>+(H20+I20)/D20</f>
        <v>0</v>
      </c>
      <c r="M20" s="11">
        <f>+(F20+G20)/D20</f>
        <v>0</v>
      </c>
      <c r="N20" s="11">
        <f>+E20/D20</f>
        <v>1.9452054794520548</v>
      </c>
    </row>
    <row r="21" spans="2:14" x14ac:dyDescent="0.2">
      <c r="J21" s="14">
        <f>SUM(J18:J20)+$D$7</f>
        <v>50000</v>
      </c>
    </row>
    <row r="22" spans="2:14" x14ac:dyDescent="0.2">
      <c r="B22" s="4" t="s">
        <v>22</v>
      </c>
      <c r="F22" s="6" t="s">
        <v>13</v>
      </c>
      <c r="G22" s="7" t="s">
        <v>49</v>
      </c>
      <c r="H22" s="8" t="s">
        <v>15</v>
      </c>
      <c r="L22" s="1" t="s">
        <v>36</v>
      </c>
    </row>
    <row r="23" spans="2:14" x14ac:dyDescent="0.2">
      <c r="B23" s="1" t="s">
        <v>6</v>
      </c>
      <c r="C23" s="1" t="s">
        <v>7</v>
      </c>
      <c r="D23" s="1" t="s">
        <v>8</v>
      </c>
      <c r="E23" s="1" t="s">
        <v>9</v>
      </c>
      <c r="F23" s="1" t="s">
        <v>10</v>
      </c>
      <c r="G23" s="1" t="s">
        <v>12</v>
      </c>
      <c r="H23" s="1" t="s">
        <v>14</v>
      </c>
      <c r="I23" s="1" t="s">
        <v>16</v>
      </c>
      <c r="K23" s="1" t="s">
        <v>35</v>
      </c>
      <c r="L23" s="1" t="s">
        <v>38</v>
      </c>
      <c r="M23" s="1" t="s">
        <v>37</v>
      </c>
      <c r="N23" s="9" t="s">
        <v>39</v>
      </c>
    </row>
    <row r="24" spans="2:14" x14ac:dyDescent="0.2">
      <c r="B24" s="10">
        <v>10</v>
      </c>
      <c r="C24" s="10">
        <v>1</v>
      </c>
      <c r="D24" s="11">
        <v>17.66</v>
      </c>
      <c r="E24" s="11">
        <v>5.26</v>
      </c>
      <c r="F24" s="11"/>
      <c r="G24" s="10"/>
      <c r="H24" s="11"/>
      <c r="I24" s="11"/>
      <c r="J24" s="12">
        <f>+SUM(H24:I24)*$D$1*B24</f>
        <v>0</v>
      </c>
      <c r="K24" s="11">
        <f>+D24*($D$4+$D$5)+F24</f>
        <v>194.26</v>
      </c>
      <c r="L24" s="11">
        <f>+(H24+I24)/D24</f>
        <v>0</v>
      </c>
      <c r="M24" s="11">
        <f>+(F24+G24)/D24</f>
        <v>0</v>
      </c>
      <c r="N24" s="11">
        <f>+E24/D24</f>
        <v>0.29784824462061155</v>
      </c>
    </row>
    <row r="25" spans="2:14" x14ac:dyDescent="0.2">
      <c r="B25" s="10">
        <v>20</v>
      </c>
      <c r="C25" s="10">
        <v>3</v>
      </c>
      <c r="D25" s="11">
        <v>6.15</v>
      </c>
      <c r="E25" s="11">
        <v>6.39</v>
      </c>
      <c r="F25" s="11"/>
      <c r="G25" s="10"/>
      <c r="H25" s="11"/>
      <c r="I25" s="11"/>
      <c r="J25" s="12">
        <f>+SUM(H25:I25)*$D$1*B25</f>
        <v>0</v>
      </c>
      <c r="K25" s="11">
        <f>+D25*($D$4+$D$5)+F25</f>
        <v>67.650000000000006</v>
      </c>
      <c r="L25" s="11">
        <f>+(H25+I25)/D25</f>
        <v>0</v>
      </c>
      <c r="M25" s="11">
        <f>+(F25+G25)/D25</f>
        <v>0</v>
      </c>
      <c r="N25" s="11">
        <f>+E25/D25</f>
        <v>1.0390243902439023</v>
      </c>
    </row>
    <row r="26" spans="2:14" x14ac:dyDescent="0.2">
      <c r="B26" s="10">
        <v>70</v>
      </c>
      <c r="C26" s="10">
        <v>7</v>
      </c>
      <c r="D26" s="11">
        <v>0.8</v>
      </c>
      <c r="E26" s="11">
        <v>2.39</v>
      </c>
      <c r="F26" s="11"/>
      <c r="G26" s="10"/>
      <c r="H26" s="11"/>
      <c r="I26" s="11"/>
      <c r="J26" s="12">
        <f>+SUM(H26:I26)*$D$1*B26</f>
        <v>0</v>
      </c>
      <c r="K26" s="11">
        <f>+D26*($D$4+$D$5)+F26</f>
        <v>8.8000000000000007</v>
      </c>
      <c r="L26" s="11">
        <f>+(H26+I26)/D26</f>
        <v>0</v>
      </c>
      <c r="M26" s="11">
        <f>+(F26+G26)/D26</f>
        <v>0</v>
      </c>
      <c r="N26" s="11">
        <f>+E26/D26</f>
        <v>2.9874999999999998</v>
      </c>
    </row>
    <row r="27" spans="2:14" x14ac:dyDescent="0.2">
      <c r="J27" s="14">
        <f>SUM(J24:J26)+$D$7</f>
        <v>50000</v>
      </c>
    </row>
    <row r="29" spans="2:14" x14ac:dyDescent="0.2">
      <c r="B29" s="4" t="s">
        <v>23</v>
      </c>
      <c r="F29" s="6" t="s">
        <v>13</v>
      </c>
      <c r="G29" s="7" t="s">
        <v>49</v>
      </c>
      <c r="H29" s="8" t="s">
        <v>15</v>
      </c>
      <c r="L29" s="1" t="s">
        <v>36</v>
      </c>
    </row>
    <row r="30" spans="2:14" x14ac:dyDescent="0.2">
      <c r="B30" s="1" t="s">
        <v>6</v>
      </c>
      <c r="C30" s="1" t="s">
        <v>7</v>
      </c>
      <c r="D30" s="1" t="s">
        <v>8</v>
      </c>
      <c r="E30" s="1" t="s">
        <v>9</v>
      </c>
      <c r="F30" s="1" t="s">
        <v>10</v>
      </c>
      <c r="G30" s="1" t="s">
        <v>12</v>
      </c>
      <c r="H30" s="1" t="s">
        <v>14</v>
      </c>
      <c r="I30" s="1" t="s">
        <v>16</v>
      </c>
      <c r="K30" s="1" t="s">
        <v>35</v>
      </c>
      <c r="L30" s="1" t="s">
        <v>38</v>
      </c>
      <c r="M30" s="1" t="s">
        <v>37</v>
      </c>
      <c r="N30" s="9" t="s">
        <v>39</v>
      </c>
    </row>
    <row r="31" spans="2:14" x14ac:dyDescent="0.2">
      <c r="B31" s="10">
        <v>10</v>
      </c>
      <c r="C31" s="10">
        <v>1</v>
      </c>
      <c r="D31" s="11">
        <v>11.81</v>
      </c>
      <c r="E31" s="11">
        <v>3.48</v>
      </c>
      <c r="F31" s="11"/>
      <c r="G31" s="10"/>
      <c r="H31" s="11"/>
      <c r="I31" s="11"/>
      <c r="J31" s="12">
        <f>+SUM(H31:I31)*$D$1*B31</f>
        <v>0</v>
      </c>
      <c r="K31" s="11">
        <f>+D31*($D$4+$D$5)+F31</f>
        <v>129.91</v>
      </c>
      <c r="L31" s="11">
        <f>+(H31+I31)/D31</f>
        <v>0</v>
      </c>
      <c r="M31" s="11">
        <f>+(F31+G31)/D31</f>
        <v>0</v>
      </c>
      <c r="N31" s="11">
        <f>+E31/D31</f>
        <v>0.29466553767993225</v>
      </c>
    </row>
    <row r="32" spans="2:14" x14ac:dyDescent="0.2">
      <c r="B32" s="10">
        <v>20</v>
      </c>
      <c r="C32" s="10">
        <v>3</v>
      </c>
      <c r="D32" s="11">
        <v>6.16</v>
      </c>
      <c r="E32" s="11">
        <v>6.76</v>
      </c>
      <c r="F32" s="11"/>
      <c r="G32" s="10"/>
      <c r="H32" s="11"/>
      <c r="I32" s="11"/>
      <c r="J32" s="12">
        <f>+SUM(H32:I32)*$D$1*B32</f>
        <v>0</v>
      </c>
      <c r="K32" s="11">
        <f>+D32*($D$4+$D$5)+F32</f>
        <v>67.760000000000005</v>
      </c>
      <c r="L32" s="11">
        <f>+(H32+I32)/D32</f>
        <v>0</v>
      </c>
      <c r="M32" s="11">
        <f>+(F32+G32)/D32</f>
        <v>0</v>
      </c>
      <c r="N32" s="11">
        <f>+E32/D32</f>
        <v>1.0974025974025974</v>
      </c>
    </row>
    <row r="33" spans="2:14" x14ac:dyDescent="0.2">
      <c r="B33" s="10">
        <v>70</v>
      </c>
      <c r="C33" s="10">
        <v>7</v>
      </c>
      <c r="D33" s="11">
        <v>1.94</v>
      </c>
      <c r="E33" s="11">
        <v>3.76</v>
      </c>
      <c r="F33" s="11"/>
      <c r="G33" s="10"/>
      <c r="H33" s="11"/>
      <c r="I33" s="11"/>
      <c r="J33" s="12">
        <f>+SUM(H33:I33)*$D$1*B33</f>
        <v>0</v>
      </c>
      <c r="K33" s="11">
        <f>+D33*($D$4+$D$5)+F33</f>
        <v>21.34</v>
      </c>
      <c r="L33" s="11">
        <f>+(H33+I33)/D33</f>
        <v>0</v>
      </c>
      <c r="M33" s="11">
        <f>+(F33+G33)/D33</f>
        <v>0</v>
      </c>
      <c r="N33" s="11">
        <f>+E33/D33</f>
        <v>1.9381443298969072</v>
      </c>
    </row>
    <row r="34" spans="2:14" x14ac:dyDescent="0.2">
      <c r="J34" s="14">
        <f>SUM(J31:J33)+$D$7</f>
        <v>50000</v>
      </c>
    </row>
    <row r="36" spans="2:14" x14ac:dyDescent="0.2">
      <c r="B36" s="4" t="s">
        <v>24</v>
      </c>
      <c r="F36" s="6" t="s">
        <v>13</v>
      </c>
      <c r="G36" s="7" t="s">
        <v>49</v>
      </c>
      <c r="H36" s="8" t="s">
        <v>15</v>
      </c>
      <c r="L36" s="1" t="s">
        <v>36</v>
      </c>
    </row>
    <row r="37" spans="2:14" x14ac:dyDescent="0.2">
      <c r="B37" s="1" t="s">
        <v>6</v>
      </c>
      <c r="C37" s="1" t="s">
        <v>7</v>
      </c>
      <c r="D37" s="1" t="s">
        <v>8</v>
      </c>
      <c r="E37" s="1" t="s">
        <v>9</v>
      </c>
      <c r="F37" s="1" t="s">
        <v>10</v>
      </c>
      <c r="G37" s="1" t="s">
        <v>12</v>
      </c>
      <c r="H37" s="1" t="s">
        <v>14</v>
      </c>
      <c r="I37" s="1" t="s">
        <v>16</v>
      </c>
      <c r="K37" s="1" t="s">
        <v>35</v>
      </c>
      <c r="L37" s="1" t="s">
        <v>38</v>
      </c>
      <c r="M37" s="1" t="s">
        <v>37</v>
      </c>
      <c r="N37" s="9" t="s">
        <v>39</v>
      </c>
    </row>
    <row r="38" spans="2:14" x14ac:dyDescent="0.2">
      <c r="B38" s="10">
        <v>10</v>
      </c>
      <c r="C38" s="10">
        <v>1</v>
      </c>
      <c r="D38" s="11">
        <v>3.36</v>
      </c>
      <c r="E38" s="11">
        <v>4.49</v>
      </c>
      <c r="F38" s="11"/>
      <c r="G38" s="10"/>
      <c r="H38" s="11"/>
      <c r="I38" s="11"/>
      <c r="J38" s="12">
        <f>+SUM(H38:I38)*$D$1*B38</f>
        <v>0</v>
      </c>
      <c r="K38" s="11">
        <f>+D38*($D$4+$D$5)+F38</f>
        <v>36.96</v>
      </c>
      <c r="L38" s="11">
        <f>+(H38+I38)/D38</f>
        <v>0</v>
      </c>
      <c r="M38" s="11">
        <f>+(F38+G38)/D38</f>
        <v>0</v>
      </c>
      <c r="N38" s="11">
        <f>+E38/D38</f>
        <v>1.3363095238095239</v>
      </c>
    </row>
    <row r="39" spans="2:14" x14ac:dyDescent="0.2">
      <c r="B39" s="10">
        <v>20</v>
      </c>
      <c r="C39" s="10">
        <v>3</v>
      </c>
      <c r="D39" s="11">
        <v>7.49</v>
      </c>
      <c r="E39" s="11">
        <v>3.56</v>
      </c>
      <c r="F39" s="11"/>
      <c r="G39" s="10"/>
      <c r="H39" s="11"/>
      <c r="I39" s="11"/>
      <c r="J39" s="12">
        <f>+SUM(H39:I39)*$D$1*B39</f>
        <v>0</v>
      </c>
      <c r="K39" s="11">
        <f>+D39*($D$4+$D$5)+F39</f>
        <v>82.39</v>
      </c>
      <c r="L39" s="11">
        <f>+(H39+I39)/D39</f>
        <v>0</v>
      </c>
      <c r="M39" s="11">
        <f>+(F39+G39)/D39</f>
        <v>0</v>
      </c>
      <c r="N39" s="11">
        <f>+E39/D39</f>
        <v>0.47530040053404538</v>
      </c>
    </row>
    <row r="40" spans="2:14" x14ac:dyDescent="0.2">
      <c r="B40" s="10">
        <v>70</v>
      </c>
      <c r="C40" s="10">
        <v>7</v>
      </c>
      <c r="D40" s="11">
        <v>2.54</v>
      </c>
      <c r="E40" s="11">
        <v>3.98</v>
      </c>
      <c r="F40" s="11"/>
      <c r="G40" s="10"/>
      <c r="H40" s="11"/>
      <c r="I40" s="11"/>
      <c r="J40" s="12">
        <f>+SUM(H40:I40)*$D$1*B40</f>
        <v>0</v>
      </c>
      <c r="K40" s="11">
        <f>+D40*($D$4+$D$5)+F40</f>
        <v>27.94</v>
      </c>
      <c r="L40" s="11">
        <f>+(H40+I40)/D40</f>
        <v>0</v>
      </c>
      <c r="M40" s="11">
        <f>+(F40+G40)/D40</f>
        <v>0</v>
      </c>
      <c r="N40" s="11">
        <f>+E40/D40</f>
        <v>1.5669291338582676</v>
      </c>
    </row>
    <row r="41" spans="2:14" x14ac:dyDescent="0.2">
      <c r="J41" s="14">
        <f>SUM(J38:J40)+$D$7</f>
        <v>50000</v>
      </c>
    </row>
    <row r="43" spans="2:14" x14ac:dyDescent="0.2">
      <c r="L43" s="1" t="s">
        <v>36</v>
      </c>
    </row>
    <row r="44" spans="2:14" x14ac:dyDescent="0.2">
      <c r="B44" s="4" t="s">
        <v>26</v>
      </c>
      <c r="L44" s="1" t="s">
        <v>38</v>
      </c>
      <c r="M44" s="1" t="s">
        <v>37</v>
      </c>
    </row>
    <row r="45" spans="2:14" x14ac:dyDescent="0.2">
      <c r="C45" s="10">
        <v>1</v>
      </c>
      <c r="D45" s="15">
        <f>D38+D31+D24+D18+D11</f>
        <v>90.919999999999987</v>
      </c>
      <c r="E45" s="15"/>
      <c r="F45" s="15">
        <f t="shared" ref="F45:J47" si="0">F38+F31+F24+F18+F11</f>
        <v>0</v>
      </c>
      <c r="G45" s="15">
        <f t="shared" si="0"/>
        <v>0</v>
      </c>
      <c r="H45" s="15">
        <f t="shared" si="0"/>
        <v>0</v>
      </c>
      <c r="I45" s="15">
        <f t="shared" si="0"/>
        <v>0</v>
      </c>
      <c r="J45" s="14">
        <f t="shared" si="0"/>
        <v>0</v>
      </c>
      <c r="K45" s="28"/>
      <c r="L45" s="27">
        <f>+(H45+I45)/D45</f>
        <v>0</v>
      </c>
      <c r="M45" s="11">
        <f>+(F45+G45)/D45</f>
        <v>0</v>
      </c>
    </row>
    <row r="46" spans="2:14" x14ac:dyDescent="0.2">
      <c r="C46" s="10">
        <v>3</v>
      </c>
      <c r="D46" s="15">
        <f>D39+D32+D25+D19+D12</f>
        <v>26.430000000000003</v>
      </c>
      <c r="E46" s="15"/>
      <c r="F46" s="15">
        <f t="shared" si="0"/>
        <v>0</v>
      </c>
      <c r="G46" s="15">
        <f t="shared" si="0"/>
        <v>0</v>
      </c>
      <c r="H46" s="15">
        <f t="shared" si="0"/>
        <v>0</v>
      </c>
      <c r="I46" s="15">
        <f t="shared" si="0"/>
        <v>0</v>
      </c>
      <c r="J46" s="14">
        <f t="shared" si="0"/>
        <v>0</v>
      </c>
      <c r="K46" s="28"/>
      <c r="L46" s="27">
        <f>+(H46+I46)/D46</f>
        <v>0</v>
      </c>
      <c r="M46" s="11">
        <f>+(F46+G46)/D46</f>
        <v>0</v>
      </c>
    </row>
    <row r="47" spans="2:14" x14ac:dyDescent="0.2">
      <c r="C47" s="10">
        <v>7</v>
      </c>
      <c r="D47" s="16">
        <f>D40+D33+D26+D20+D13</f>
        <v>6.49</v>
      </c>
      <c r="E47" s="16"/>
      <c r="F47" s="16">
        <f t="shared" si="0"/>
        <v>0</v>
      </c>
      <c r="G47" s="16">
        <f t="shared" si="0"/>
        <v>0</v>
      </c>
      <c r="H47" s="16">
        <f t="shared" si="0"/>
        <v>0</v>
      </c>
      <c r="I47" s="16">
        <f t="shared" si="0"/>
        <v>0</v>
      </c>
      <c r="J47" s="17">
        <f t="shared" si="0"/>
        <v>0</v>
      </c>
      <c r="K47" s="28"/>
      <c r="L47" s="27">
        <f>+(H47+I47)/D47</f>
        <v>0</v>
      </c>
      <c r="M47" s="11">
        <f>+(F47+G47)/D47</f>
        <v>0</v>
      </c>
    </row>
    <row r="48" spans="2:14" x14ac:dyDescent="0.2">
      <c r="J48" s="17">
        <f>SUM(J45:J47)</f>
        <v>0</v>
      </c>
      <c r="K48" s="28"/>
      <c r="L48" s="27"/>
      <c r="M48" s="11"/>
    </row>
    <row r="49" spans="2:17" x14ac:dyDescent="0.2">
      <c r="J49" s="1" t="s">
        <v>28</v>
      </c>
      <c r="K49" s="2">
        <v>0</v>
      </c>
    </row>
    <row r="50" spans="2:17" x14ac:dyDescent="0.2">
      <c r="B50" s="4" t="s">
        <v>27</v>
      </c>
      <c r="M50" s="1" t="s">
        <v>36</v>
      </c>
    </row>
    <row r="51" spans="2:17" ht="13.5" thickBot="1" x14ac:dyDescent="0.25">
      <c r="B51" s="1" t="s">
        <v>6</v>
      </c>
      <c r="C51" s="1" t="s">
        <v>7</v>
      </c>
      <c r="D51" s="1" t="s">
        <v>8</v>
      </c>
      <c r="E51" s="1" t="s">
        <v>9</v>
      </c>
      <c r="F51" s="1" t="s">
        <v>10</v>
      </c>
      <c r="G51" s="1" t="s">
        <v>12</v>
      </c>
      <c r="H51" s="1" t="s">
        <v>14</v>
      </c>
      <c r="I51" s="1" t="s">
        <v>16</v>
      </c>
      <c r="K51" s="18" t="s">
        <v>31</v>
      </c>
      <c r="L51" s="1" t="s">
        <v>35</v>
      </c>
      <c r="M51" s="1" t="s">
        <v>38</v>
      </c>
      <c r="N51" s="1" t="s">
        <v>37</v>
      </c>
      <c r="O51" s="19" t="s">
        <v>39</v>
      </c>
    </row>
    <row r="52" spans="2:17" x14ac:dyDescent="0.2">
      <c r="B52" s="10">
        <v>10</v>
      </c>
      <c r="C52" s="10">
        <v>1</v>
      </c>
      <c r="D52" s="11">
        <f>D11+D18+D24+D31+D38</f>
        <v>90.92</v>
      </c>
      <c r="E52" s="11">
        <f>+(E11^2+E18^2+E24^2+E31^2+E38^2+2*$G$1*(E11*E18+E11*E24+E11*E31+E11*E38+E18*E24+E18*E31+E18*E38+E24*E31+E24*E38+E31*E38))^0.5</f>
        <v>12.27391135702063</v>
      </c>
      <c r="F52" s="11"/>
      <c r="G52" s="10"/>
      <c r="H52" s="11"/>
      <c r="I52" s="11"/>
      <c r="J52" s="12">
        <f>+SUM(H52:I52)*$D$1*B52</f>
        <v>0</v>
      </c>
      <c r="K52" s="14">
        <f>+J45-J52</f>
        <v>0</v>
      </c>
      <c r="L52" s="11">
        <f>+D52*($D$4+$D$5)+F52</f>
        <v>1000.12</v>
      </c>
      <c r="M52" s="11">
        <f>+(I52+H52)/D52</f>
        <v>0</v>
      </c>
      <c r="N52" s="13">
        <f>+(G52+F52)/D52</f>
        <v>0</v>
      </c>
      <c r="O52" s="20">
        <f>+E52/D52</f>
        <v>0.13499682530818993</v>
      </c>
    </row>
    <row r="53" spans="2:17" x14ac:dyDescent="0.2">
      <c r="B53" s="10">
        <v>20</v>
      </c>
      <c r="C53" s="10">
        <v>3</v>
      </c>
      <c r="D53" s="11">
        <f>D12+D19+D25+D32+D39</f>
        <v>26.43</v>
      </c>
      <c r="E53" s="11"/>
      <c r="F53" s="11"/>
      <c r="G53" s="10"/>
      <c r="H53" s="11"/>
      <c r="I53" s="11"/>
      <c r="J53" s="12">
        <f>+SUM(H53:I53)*$D$1*B53</f>
        <v>0</v>
      </c>
      <c r="K53" s="14">
        <f>+J46-J53</f>
        <v>0</v>
      </c>
      <c r="L53" s="11">
        <f>+D53*($D$4+$D$5)+F53</f>
        <v>290.73</v>
      </c>
      <c r="M53" s="11">
        <f>+(I53+H53)/D53</f>
        <v>0</v>
      </c>
      <c r="N53" s="13">
        <f>+(G53+F53)/D53</f>
        <v>0</v>
      </c>
      <c r="O53" s="20">
        <f>+E53/D53</f>
        <v>0</v>
      </c>
    </row>
    <row r="54" spans="2:17" ht="13.5" thickBot="1" x14ac:dyDescent="0.25">
      <c r="B54" s="10">
        <v>70</v>
      </c>
      <c r="C54" s="10">
        <v>7</v>
      </c>
      <c r="D54" s="11">
        <f>D13+D20+D26+D33+D40</f>
        <v>6.49</v>
      </c>
      <c r="E54" s="11"/>
      <c r="F54" s="11"/>
      <c r="G54" s="10"/>
      <c r="H54" s="11"/>
      <c r="I54" s="11"/>
      <c r="J54" s="12">
        <f>+SUM(H54:I54)*$D$1*B54</f>
        <v>0</v>
      </c>
      <c r="K54" s="21">
        <f>+J47-J54</f>
        <v>0</v>
      </c>
      <c r="L54" s="11">
        <f>+D54*($D$4+$D$5)+F54</f>
        <v>71.39</v>
      </c>
      <c r="M54" s="11">
        <f>+(I54+H54)/D54</f>
        <v>0</v>
      </c>
      <c r="N54" s="13">
        <f>+(G54+F54)/D54</f>
        <v>0</v>
      </c>
      <c r="O54" s="20">
        <f>+E54/D54</f>
        <v>0</v>
      </c>
    </row>
    <row r="55" spans="2:17" x14ac:dyDescent="0.2">
      <c r="D55" s="22">
        <f>+D52*B52+B53*D53+D54*B54</f>
        <v>1892.1000000000001</v>
      </c>
      <c r="J55" s="14">
        <f>SUM(J52:J54)</f>
        <v>0</v>
      </c>
      <c r="K55" s="14">
        <f>SUM(K52:K54)</f>
        <v>0</v>
      </c>
    </row>
    <row r="57" spans="2:17" x14ac:dyDescent="0.2">
      <c r="F57" s="1" t="s">
        <v>33</v>
      </c>
      <c r="G57" s="14">
        <f>+J55</f>
        <v>0</v>
      </c>
      <c r="J57" s="1" t="s">
        <v>32</v>
      </c>
      <c r="K57" s="14">
        <f>+G7-5*D7</f>
        <v>985924.75</v>
      </c>
    </row>
    <row r="58" spans="2:17" x14ac:dyDescent="0.2">
      <c r="K58" s="14"/>
    </row>
    <row r="59" spans="2:17" x14ac:dyDescent="0.2">
      <c r="K59" s="14"/>
    </row>
    <row r="60" spans="2:17" x14ac:dyDescent="0.2">
      <c r="K60" s="14"/>
      <c r="M60" s="23"/>
    </row>
    <row r="61" spans="2:17" x14ac:dyDescent="0.2">
      <c r="I61" s="1" t="s">
        <v>34</v>
      </c>
      <c r="J61" s="23">
        <f>+K55/K57</f>
        <v>0</v>
      </c>
    </row>
    <row r="63" spans="2:17" x14ac:dyDescent="0.2">
      <c r="K63" s="24" t="s">
        <v>7</v>
      </c>
      <c r="L63" s="24" t="s">
        <v>46</v>
      </c>
      <c r="M63" s="24"/>
      <c r="N63" s="24"/>
      <c r="O63" s="24"/>
      <c r="P63" s="24"/>
      <c r="Q63" s="24"/>
    </row>
    <row r="64" spans="2:17" x14ac:dyDescent="0.2">
      <c r="K64" s="24" t="s">
        <v>40</v>
      </c>
      <c r="L64" s="24" t="s">
        <v>41</v>
      </c>
      <c r="M64" s="24" t="s">
        <v>42</v>
      </c>
      <c r="N64" s="24"/>
      <c r="O64" s="24"/>
      <c r="P64" s="24"/>
      <c r="Q64" s="24"/>
    </row>
    <row r="65" spans="11:17" x14ac:dyDescent="0.2">
      <c r="K65" s="24" t="s">
        <v>43</v>
      </c>
      <c r="L65" s="24" t="s">
        <v>44</v>
      </c>
      <c r="M65" s="24"/>
      <c r="N65" s="24" t="s">
        <v>47</v>
      </c>
      <c r="O65" s="24"/>
      <c r="P65" s="24"/>
      <c r="Q65" s="24"/>
    </row>
    <row r="66" spans="11:17" x14ac:dyDescent="0.2">
      <c r="K66" s="24" t="s">
        <v>45</v>
      </c>
      <c r="L66" s="24"/>
      <c r="M66" s="24"/>
      <c r="N66" s="24"/>
      <c r="O66" s="24"/>
      <c r="P66" s="24"/>
      <c r="Q66" s="24"/>
    </row>
    <row r="67" spans="11:17" x14ac:dyDescent="0.2">
      <c r="K67" s="24">
        <v>1</v>
      </c>
      <c r="L67" s="25">
        <f>+(H45+I45-H52-I52)*365</f>
        <v>0</v>
      </c>
      <c r="M67" s="26">
        <v>33186</v>
      </c>
      <c r="N67" s="24">
        <v>10</v>
      </c>
      <c r="O67" s="25">
        <f>+L67*N67</f>
        <v>0</v>
      </c>
      <c r="P67" s="24"/>
      <c r="Q67" s="26">
        <v>331858</v>
      </c>
    </row>
    <row r="68" spans="11:17" x14ac:dyDescent="0.2">
      <c r="K68" s="24">
        <v>3</v>
      </c>
      <c r="L68" s="25">
        <f>+(H46+I46-H53-I53)*365</f>
        <v>0</v>
      </c>
      <c r="M68" s="26">
        <v>9647</v>
      </c>
      <c r="N68" s="24">
        <v>20</v>
      </c>
      <c r="O68" s="25">
        <f>+L68*N68</f>
        <v>0</v>
      </c>
      <c r="P68" s="24"/>
      <c r="Q68" s="26">
        <v>192339</v>
      </c>
    </row>
    <row r="69" spans="11:17" x14ac:dyDescent="0.2">
      <c r="K69" s="24">
        <v>7</v>
      </c>
      <c r="L69" s="25">
        <f>+(H47+I47-H54-I54)*365</f>
        <v>0</v>
      </c>
      <c r="M69" s="26">
        <v>2369</v>
      </c>
      <c r="N69" s="24">
        <v>70</v>
      </c>
      <c r="O69" s="25">
        <f>+L69*N69</f>
        <v>0</v>
      </c>
      <c r="P69" s="24"/>
      <c r="Q69" s="26">
        <v>165820</v>
      </c>
    </row>
  </sheetData>
  <mergeCells count="1">
    <mergeCell ref="H7:I7"/>
  </mergeCells>
  <phoneticPr fontId="0" type="noConversion"/>
  <pageMargins left="0.52" right="0.54" top="0.56000000000000005" bottom="0.53" header="0.5" footer="0.5"/>
  <pageSetup scale="75" orientation="landscape" horizontalDpi="360" verticalDpi="360" r:id="rId1"/>
  <headerFooter alignWithMargins="0">
    <oddHeader>&amp;RCentralized</oddHead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 (centralize all)</vt:lpstr>
    </vt:vector>
  </TitlesOfParts>
  <Company>New York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</dc:creator>
  <cp:lastModifiedBy>Osadchiy, Nikolay</cp:lastModifiedBy>
  <cp:lastPrinted>2005-10-17T19:16:11Z</cp:lastPrinted>
  <dcterms:created xsi:type="dcterms:W3CDTF">2002-02-18T23:57:54Z</dcterms:created>
  <dcterms:modified xsi:type="dcterms:W3CDTF">2018-03-05T15:35:26Z</dcterms:modified>
</cp:coreProperties>
</file>