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ec0dc90bf9ae7b/FIB/Q4/EEE/PECs/PEC5/"/>
    </mc:Choice>
  </mc:AlternateContent>
  <xr:revisionPtr revIDLastSave="0" documentId="12_ncr:500000_{9A099901-9B1E-4EEF-A726-0093B4BCAB33}" xr6:coauthVersionLast="31" xr6:coauthVersionMax="45" xr10:uidLastSave="{00000000-0000-0000-0000-000000000000}"/>
  <bookViews>
    <workbookView xWindow="0" yWindow="0" windowWidth="28320" windowHeight="11520" xr2:uid="{FDD5C4E3-4F29-44B7-AEE6-99144EAF0297}"/>
  </bookViews>
  <sheets>
    <sheet name="PEC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1" i="1" l="1"/>
  <c r="B103" i="1"/>
  <c r="B121" i="1"/>
  <c r="A60" i="1"/>
  <c r="B116" i="1" l="1"/>
  <c r="B118" i="1"/>
  <c r="B117" i="1"/>
  <c r="C142" i="1"/>
  <c r="A139" i="1"/>
  <c r="B69" i="1"/>
  <c r="C80" i="1"/>
  <c r="C74" i="1"/>
  <c r="B160" i="1" l="1"/>
  <c r="B159" i="1" l="1"/>
  <c r="B146" i="1"/>
  <c r="B148" i="1" s="1"/>
  <c r="B145" i="1"/>
  <c r="F145" i="1"/>
  <c r="D145" i="1"/>
  <c r="C138" i="1"/>
  <c r="C141" i="1"/>
  <c r="B110" i="1"/>
  <c r="B115" i="1" s="1"/>
  <c r="C113" i="1"/>
  <c r="C122" i="1"/>
  <c r="B114" i="1"/>
  <c r="B109" i="1"/>
  <c r="F146" i="1" l="1"/>
  <c r="F148" i="1" s="1"/>
  <c r="D148" i="1"/>
  <c r="B153" i="1" s="1"/>
  <c r="D146" i="1"/>
  <c r="B112" i="1"/>
  <c r="J159" i="1" l="1"/>
  <c r="J160" i="1" s="1"/>
  <c r="I159" i="1"/>
  <c r="I160" i="1" s="1"/>
  <c r="L159" i="1"/>
  <c r="L160" i="1" s="1"/>
  <c r="K159" i="1"/>
  <c r="K160" i="1" s="1"/>
  <c r="H159" i="1"/>
  <c r="H160" i="1" s="1"/>
  <c r="E159" i="1"/>
  <c r="E160" i="1" s="1"/>
  <c r="G159" i="1"/>
  <c r="G160" i="1" s="1"/>
  <c r="F159" i="1"/>
  <c r="F160" i="1" s="1"/>
  <c r="C159" i="1"/>
  <c r="D159" i="1"/>
  <c r="D160" i="1" s="1"/>
  <c r="B97" i="1"/>
  <c r="D77" i="1"/>
  <c r="C62" i="1"/>
  <c r="E94" i="1"/>
  <c r="E93" i="1"/>
  <c r="E92" i="1"/>
  <c r="C59" i="1"/>
  <c r="E29" i="1"/>
  <c r="E28" i="1"/>
  <c r="H19" i="1"/>
  <c r="H26" i="1" s="1"/>
  <c r="E19" i="1"/>
  <c r="E17" i="1"/>
  <c r="E16" i="1"/>
  <c r="E15" i="1"/>
  <c r="H14" i="1"/>
  <c r="E14" i="1"/>
  <c r="H11" i="1"/>
  <c r="B166" i="1" l="1"/>
  <c r="M159" i="1"/>
  <c r="C160" i="1"/>
  <c r="M160" i="1" s="1"/>
  <c r="B164" i="1"/>
  <c r="E11" i="1"/>
  <c r="E26" i="1"/>
  <c r="B68" i="1"/>
  <c r="E30" i="1"/>
</calcChain>
</file>

<file path=xl/sharedStrings.xml><?xml version="1.0" encoding="utf-8"?>
<sst xmlns="http://schemas.openxmlformats.org/spreadsheetml/2006/main" count="208" uniqueCount="138">
  <si>
    <t>1.</t>
  </si>
  <si>
    <t>ACTIU</t>
  </si>
  <si>
    <t>PASSIU</t>
  </si>
  <si>
    <t>Actiu no Corrent</t>
  </si>
  <si>
    <t>Patrimoni Net</t>
  </si>
  <si>
    <t>Terreny</t>
  </si>
  <si>
    <t>Capital Social</t>
  </si>
  <si>
    <t>Edifici</t>
  </si>
  <si>
    <t>Ref Locals</t>
  </si>
  <si>
    <t>Passiu no Corrent</t>
  </si>
  <si>
    <t>Mobiliari</t>
  </si>
  <si>
    <t>Crèdit 4 anys</t>
  </si>
  <si>
    <t>Equipaments</t>
  </si>
  <si>
    <t>Obertura+Constitució</t>
  </si>
  <si>
    <t>Actiu Corrent</t>
  </si>
  <si>
    <t>Passiu Corrent</t>
  </si>
  <si>
    <t>Materies P</t>
  </si>
  <si>
    <t>Polissa de crèdit</t>
  </si>
  <si>
    <t>Banc</t>
  </si>
  <si>
    <t>Proveidors</t>
  </si>
  <si>
    <t>Suma</t>
  </si>
  <si>
    <t>Actiu corrent</t>
  </si>
  <si>
    <t>Passiu corrent</t>
  </si>
  <si>
    <t>Fons Maniobra</t>
  </si>
  <si>
    <t>Empresa financerament equilibrada</t>
  </si>
  <si>
    <t>2.</t>
  </si>
  <si>
    <t>3.</t>
  </si>
  <si>
    <t>Classificació de costos</t>
  </si>
  <si>
    <t>Director general i de finances</t>
  </si>
  <si>
    <t>director comercial</t>
  </si>
  <si>
    <t>director de compres, producció i logística</t>
  </si>
  <si>
    <t>director de rrhh</t>
  </si>
  <si>
    <t>transportistes</t>
  </si>
  <si>
    <t>operaris</t>
  </si>
  <si>
    <t>administratius</t>
  </si>
  <si>
    <t>teleoperadors</t>
  </si>
  <si>
    <t>materies primeres</t>
  </si>
  <si>
    <t>publicitat</t>
  </si>
  <si>
    <t>serveis prof externs</t>
  </si>
  <si>
    <t>despeses generals</t>
  </si>
  <si>
    <t>despeses financeres</t>
  </si>
  <si>
    <t>amortitzacions</t>
  </si>
  <si>
    <t>Botigues</t>
  </si>
  <si>
    <t>Obrador i seu central</t>
  </si>
  <si>
    <t>directe/indirecte respecte el producte</t>
  </si>
  <si>
    <t>fix/variable</t>
  </si>
  <si>
    <t>lloguer</t>
  </si>
  <si>
    <t>personal</t>
  </si>
  <si>
    <t>cost fabricació producte venut</t>
  </si>
  <si>
    <t xml:space="preserve">fix </t>
  </si>
  <si>
    <t>indirecte</t>
  </si>
  <si>
    <t>variable</t>
  </si>
  <si>
    <t>poden fer hores extra</t>
  </si>
  <si>
    <t>en funció de la demada i indirecte perquè es treballa en més d'un producte</t>
  </si>
  <si>
    <t>indirecte perquè és sobre més d'un producte</t>
  </si>
  <si>
    <t>suposem que si augmenta la producció no demanem  més crèdit</t>
  </si>
  <si>
    <t>fix</t>
  </si>
  <si>
    <t xml:space="preserve">variable </t>
  </si>
  <si>
    <t>no és variable pel fet que es contractin més persones en funció de la demanda, sinó per les hores extra que poden fer els treballadors de les botigues</t>
  </si>
  <si>
    <t>4.</t>
  </si>
  <si>
    <t>BAI = Ingressos - CostosVariables - CostosFixes</t>
  </si>
  <si>
    <t>I</t>
  </si>
  <si>
    <t>CV</t>
  </si>
  <si>
    <t>personal(botiga)</t>
  </si>
  <si>
    <t>CF</t>
  </si>
  <si>
    <t>amortitzacions obrador</t>
  </si>
  <si>
    <t>amortitzacions botiga</t>
  </si>
  <si>
    <t>despeses generals obrador</t>
  </si>
  <si>
    <t>despeses generals botigues</t>
  </si>
  <si>
    <t>5.</t>
  </si>
  <si>
    <t>beneficis que aporta una botiga</t>
  </si>
  <si>
    <t>DAO</t>
  </si>
  <si>
    <t>DAB</t>
  </si>
  <si>
    <t>mp</t>
  </si>
  <si>
    <t>beneficis anuals empresa / numero de botigues</t>
  </si>
  <si>
    <t>6.</t>
  </si>
  <si>
    <t>reformes + mobiliari + equipaments + obertura i constitucio</t>
  </si>
  <si>
    <t>cost obertura botiga</t>
  </si>
  <si>
    <t>cost anual botiga</t>
  </si>
  <si>
    <t>ingressos botiga</t>
  </si>
  <si>
    <t>beneficis</t>
  </si>
  <si>
    <t xml:space="preserve"> &gt; 0  surt molt rendible obrir una nova botiga</t>
  </si>
  <si>
    <t>7.</t>
  </si>
  <si>
    <t>venda mitjana</t>
  </si>
  <si>
    <t>costos fixes</t>
  </si>
  <si>
    <t>costos variables/unitat</t>
  </si>
  <si>
    <t>marge contribució de la botiga</t>
  </si>
  <si>
    <t>unitats a punt d'equilibri = F /(p-v)</t>
  </si>
  <si>
    <t>unitats</t>
  </si>
  <si>
    <t>Vendes</t>
  </si>
  <si>
    <t>Costos variables</t>
  </si>
  <si>
    <t>Marge de Contribució</t>
  </si>
  <si>
    <t>Costos fixos</t>
  </si>
  <si>
    <t>Resultat</t>
  </si>
  <si>
    <t>vendes per dia en cada botiga</t>
  </si>
  <si>
    <t>diaris per botiga</t>
  </si>
  <si>
    <t>pensem que es viable fer 34 comandes de mitjana en un dia</t>
  </si>
  <si>
    <t>8.</t>
  </si>
  <si>
    <t>Inversió inicial</t>
  </si>
  <si>
    <t>Fluxes nets anuals</t>
  </si>
  <si>
    <t>Nombre d'anys</t>
  </si>
  <si>
    <t>i</t>
  </si>
  <si>
    <t>Període</t>
  </si>
  <si>
    <t>FN</t>
  </si>
  <si>
    <t>VA</t>
  </si>
  <si>
    <t>VAN</t>
  </si>
  <si>
    <t>&gt; 0</t>
  </si>
  <si>
    <t>Convé invertir</t>
  </si>
  <si>
    <t>TIR</t>
  </si>
  <si>
    <t>&gt; i</t>
  </si>
  <si>
    <t>cost fabricació</t>
  </si>
  <si>
    <t>despeses anuals antigues - amortizacions antigues + amortitzacions noves</t>
  </si>
  <si>
    <t>BAI abans de la botiga a barcelona</t>
  </si>
  <si>
    <t>BAI després obrir botiga</t>
  </si>
  <si>
    <t>amb impostos --&gt;</t>
  </si>
  <si>
    <t xml:space="preserve">es pagen </t>
  </si>
  <si>
    <t>d'impostos</t>
  </si>
  <si>
    <t>Diferència</t>
  </si>
  <si>
    <t xml:space="preserve">més de beneficis </t>
  </si>
  <si>
    <t>Beneficis</t>
  </si>
  <si>
    <t>9.</t>
  </si>
  <si>
    <t>BENEFICIS NETS + AMORTITZACIONS</t>
  </si>
  <si>
    <t>10.</t>
  </si>
  <si>
    <t>Si s'està en una època de creixement econòmic molt probablement seria més aconsellable endeutar-se, ja que a major endeutament major rendiment. Ara bé, si no estem en una època de bon rendiment econòmic és molt més aconsellable finançament propi o endeutar-se el mínim possible, ja que a menor endeutament, menor seran les pèrdues en cas que n'hi hagi</t>
  </si>
  <si>
    <t>FONT GONZÁLEZ, ARNAU</t>
  </si>
  <si>
    <t>MENDOZA VANDRELL, LLUIS</t>
  </si>
  <si>
    <t>SERRA SORS, NIL</t>
  </si>
  <si>
    <t>PEC5                        grup 30</t>
  </si>
  <si>
    <t>Quick&amp;Fresh es finança amb 880000€ de capital social, un crèdit bancari de 582000€ i amb una pòlissa de crèdit amb un import límit de 100000€ (de la qual es disposa inicialment de 35000€). El capital social és de titularitat pròpia i el termini de devolució és de llarg termini i de generació externa. El crèdit bancari és de titularitat aliena, termini de devolució a llarg termini i generació externa. La pòlissa de crèdit és de titularitat aliena, termini de devolució de curt termini i de generació externa. Sí, ens sembla equilibrada ja que el fons de maniobra és de 63000 € --&gt; 120.000 + 49.000 - 35000 - 71000 = 63000€</t>
  </si>
  <si>
    <t>despeses anuals obrador</t>
  </si>
  <si>
    <t>despeses anuals botiga</t>
  </si>
  <si>
    <t>hem de sumar el cost fabricació producte(mp+operaris) perquè si no estaria duplicat</t>
  </si>
  <si>
    <t xml:space="preserve"> ingressos botiga - cost personal - cost fabricació producte venut</t>
  </si>
  <si>
    <t>Càlcul de costos fixes i variables per propers exercicis</t>
  </si>
  <si>
    <t>costos variables (€) /(ingressos (€) /preu Mitja Per Unitat (€/unitat)) --&gt; (€/unitat)</t>
  </si>
  <si>
    <t>comandes/(dia·botiga)</t>
  </si>
  <si>
    <t>despeses anuals botiga (no la de barcelona)</t>
  </si>
  <si>
    <t>no surt 0 exacte perquè les unitats estan aproximades a l'alça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</si>
</sst>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\ _€_-;\-* #,##0\ _€_-;_-* &quot;-&quot;??\ _€_-;_-@_-"/>
    <numFmt numFmtId="167" formatCode="0.0%"/>
    <numFmt numFmtId="168" formatCode="0.0"/>
    <numFmt numFmtId="169" formatCode="#,##0.0\ &quot;€&quot;;[Red]\-#,##0.0\ &quot;€&quot;"/>
    <numFmt numFmtId="170" formatCode="_-* #,##0.00\ [$€-C0A]_-;\-* #,##0.00\ [$€-C0A]_-;_-* &quot;-&quot;??\ [$€-C0A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/>
    <xf numFmtId="165" fontId="7" fillId="0" borderId="0" xfId="0" applyNumberFormat="1" applyFont="1"/>
    <xf numFmtId="166" fontId="5" fillId="0" borderId="0" xfId="1" applyNumberFormat="1" applyFont="1"/>
    <xf numFmtId="165" fontId="5" fillId="0" borderId="0" xfId="2" applyFont="1"/>
    <xf numFmtId="165" fontId="7" fillId="0" borderId="0" xfId="2" applyFont="1"/>
    <xf numFmtId="166" fontId="7" fillId="0" borderId="0" xfId="1" applyNumberFormat="1" applyFont="1"/>
    <xf numFmtId="0" fontId="8" fillId="0" borderId="0" xfId="0" applyFont="1"/>
    <xf numFmtId="0" fontId="9" fillId="0" borderId="0" xfId="0" applyFont="1"/>
    <xf numFmtId="165" fontId="5" fillId="0" borderId="0" xfId="0" applyNumberFormat="1" applyFont="1"/>
    <xf numFmtId="2" fontId="5" fillId="0" borderId="0" xfId="0" applyNumberFormat="1" applyFont="1"/>
    <xf numFmtId="3" fontId="7" fillId="0" borderId="0" xfId="0" applyNumberFormat="1" applyFont="1"/>
    <xf numFmtId="0" fontId="5" fillId="0" borderId="0" xfId="0" applyFont="1" applyAlignment="1">
      <alignment horizontal="right"/>
    </xf>
    <xf numFmtId="167" fontId="5" fillId="0" borderId="0" xfId="3" applyNumberFormat="1" applyFont="1"/>
    <xf numFmtId="168" fontId="5" fillId="0" borderId="0" xfId="0" applyNumberFormat="1" applyFont="1"/>
    <xf numFmtId="170" fontId="5" fillId="0" borderId="0" xfId="0" applyNumberFormat="1" applyFont="1"/>
    <xf numFmtId="169" fontId="7" fillId="0" borderId="0" xfId="0" applyNumberFormat="1" applyFont="1"/>
    <xf numFmtId="164" fontId="5" fillId="0" borderId="0" xfId="0" applyNumberFormat="1" applyFont="1"/>
    <xf numFmtId="167" fontId="7" fillId="0" borderId="0" xfId="3" applyNumberFormat="1" applyFont="1"/>
    <xf numFmtId="0" fontId="5" fillId="0" borderId="0" xfId="0" applyFont="1" applyAlignment="1">
      <alignment horizontal="center"/>
    </xf>
    <xf numFmtId="170" fontId="7" fillId="0" borderId="0" xfId="0" applyNumberFormat="1" applyFont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A042-D1A8-4D5A-8002-22F22D3E15B5}">
  <dimension ref="A1:M170"/>
  <sheetViews>
    <sheetView tabSelected="1" topLeftCell="A155" zoomScale="115" zoomScaleNormal="115" workbookViewId="0">
      <selection activeCell="E167" sqref="E167"/>
    </sheetView>
  </sheetViews>
  <sheetFormatPr defaultColWidth="11.42578125" defaultRowHeight="15.75" x14ac:dyDescent="0.25"/>
  <cols>
    <col min="1" max="1" width="44.7109375" style="5" customWidth="1"/>
    <col min="2" max="13" width="20.7109375" style="5" customWidth="1"/>
  </cols>
  <sheetData>
    <row r="1" spans="1:13" s="2" customFormat="1" x14ac:dyDescent="0.25">
      <c r="A1" s="5" t="s">
        <v>127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s="2" customFormat="1" x14ac:dyDescent="0.25">
      <c r="A2" s="5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s="2" customFormat="1" x14ac:dyDescent="0.25">
      <c r="A3" s="5" t="s">
        <v>125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5" t="s">
        <v>126</v>
      </c>
    </row>
    <row r="5" spans="1:13" s="2" customFormat="1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ht="28.5" x14ac:dyDescent="0.45">
      <c r="A6" s="3" t="s">
        <v>0</v>
      </c>
    </row>
    <row r="7" spans="1:13" ht="182.85" customHeight="1" x14ac:dyDescent="0.25">
      <c r="A7" s="28" t="s">
        <v>128</v>
      </c>
      <c r="B7" s="28"/>
    </row>
    <row r="8" spans="1:13" s="2" customFormat="1" ht="23.85" customHeight="1" x14ac:dyDescent="0.25">
      <c r="A8" s="4" t="s">
        <v>25</v>
      </c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 x14ac:dyDescent="0.25">
      <c r="D9" s="7" t="s">
        <v>1</v>
      </c>
      <c r="G9" s="7" t="s">
        <v>2</v>
      </c>
    </row>
    <row r="10" spans="1:13" x14ac:dyDescent="0.25">
      <c r="D10" s="7"/>
      <c r="G10" s="7"/>
    </row>
    <row r="11" spans="1:13" x14ac:dyDescent="0.25">
      <c r="D11" s="7" t="s">
        <v>3</v>
      </c>
      <c r="E11" s="8">
        <f>SUM(E12:E17)</f>
        <v>1399000</v>
      </c>
      <c r="G11" s="7" t="s">
        <v>4</v>
      </c>
      <c r="H11" s="8">
        <f>H12</f>
        <v>880000</v>
      </c>
    </row>
    <row r="12" spans="1:13" x14ac:dyDescent="0.25">
      <c r="D12" s="9" t="s">
        <v>5</v>
      </c>
      <c r="E12" s="10">
        <v>210000</v>
      </c>
      <c r="F12" s="9"/>
      <c r="G12" s="9" t="s">
        <v>6</v>
      </c>
      <c r="H12" s="10">
        <v>880000</v>
      </c>
    </row>
    <row r="13" spans="1:13" x14ac:dyDescent="0.25">
      <c r="D13" s="9" t="s">
        <v>7</v>
      </c>
      <c r="E13" s="10">
        <v>420000</v>
      </c>
      <c r="F13" s="9"/>
      <c r="H13" s="10"/>
    </row>
    <row r="14" spans="1:13" x14ac:dyDescent="0.25">
      <c r="D14" s="9" t="s">
        <v>8</v>
      </c>
      <c r="E14" s="10">
        <f>32000*5</f>
        <v>160000</v>
      </c>
      <c r="F14" s="9"/>
      <c r="G14" s="7" t="s">
        <v>9</v>
      </c>
      <c r="H14" s="11">
        <f>H15</f>
        <v>582000</v>
      </c>
    </row>
    <row r="15" spans="1:13" x14ac:dyDescent="0.25">
      <c r="D15" s="9" t="s">
        <v>10</v>
      </c>
      <c r="E15" s="10">
        <f>37000 + 29500*5</f>
        <v>184500</v>
      </c>
      <c r="F15" s="9"/>
      <c r="G15" s="9" t="s">
        <v>11</v>
      </c>
      <c r="H15" s="10">
        <v>582000</v>
      </c>
    </row>
    <row r="16" spans="1:13" x14ac:dyDescent="0.25">
      <c r="D16" s="9" t="s">
        <v>12</v>
      </c>
      <c r="E16" s="10">
        <f>305000 + 14700*5</f>
        <v>378500</v>
      </c>
      <c r="F16" s="9"/>
      <c r="G16" s="9"/>
      <c r="H16" s="10"/>
    </row>
    <row r="17" spans="1:8" x14ac:dyDescent="0.25">
      <c r="D17" s="9" t="s">
        <v>13</v>
      </c>
      <c r="E17" s="10">
        <f>21000 + 5000*5</f>
        <v>46000</v>
      </c>
      <c r="F17" s="9"/>
      <c r="G17" s="9"/>
      <c r="H17" s="10"/>
    </row>
    <row r="18" spans="1:8" x14ac:dyDescent="0.25">
      <c r="D18" s="9"/>
      <c r="E18" s="10"/>
      <c r="F18" s="9"/>
      <c r="G18" s="9"/>
      <c r="H18" s="10"/>
    </row>
    <row r="19" spans="1:8" x14ac:dyDescent="0.25">
      <c r="D19" s="12" t="s">
        <v>14</v>
      </c>
      <c r="E19" s="11">
        <f>E20+E21</f>
        <v>169000</v>
      </c>
      <c r="F19" s="9"/>
      <c r="G19" s="12" t="s">
        <v>15</v>
      </c>
      <c r="H19" s="11">
        <f>H20+H21</f>
        <v>106000</v>
      </c>
    </row>
    <row r="20" spans="1:8" x14ac:dyDescent="0.25">
      <c r="D20" s="9" t="s">
        <v>16</v>
      </c>
      <c r="E20" s="10">
        <v>120000</v>
      </c>
      <c r="F20" s="9"/>
      <c r="G20" s="9" t="s">
        <v>17</v>
      </c>
      <c r="H20" s="10">
        <v>35000</v>
      </c>
    </row>
    <row r="21" spans="1:8" x14ac:dyDescent="0.25">
      <c r="D21" s="9" t="s">
        <v>18</v>
      </c>
      <c r="E21" s="10">
        <v>49000</v>
      </c>
      <c r="F21" s="9"/>
      <c r="G21" s="9" t="s">
        <v>19</v>
      </c>
      <c r="H21" s="10">
        <v>71000</v>
      </c>
    </row>
    <row r="22" spans="1:8" x14ac:dyDescent="0.25">
      <c r="D22" s="9"/>
      <c r="E22" s="10"/>
      <c r="F22" s="9"/>
      <c r="G22" s="9"/>
      <c r="H22" s="10"/>
    </row>
    <row r="23" spans="1:8" x14ac:dyDescent="0.25">
      <c r="D23" s="9"/>
      <c r="E23" s="10"/>
      <c r="F23" s="9"/>
      <c r="G23" s="9"/>
      <c r="H23" s="10"/>
    </row>
    <row r="24" spans="1:8" x14ac:dyDescent="0.25">
      <c r="D24" s="9"/>
      <c r="E24" s="10"/>
      <c r="F24" s="9"/>
      <c r="G24" s="9"/>
      <c r="H24" s="10"/>
    </row>
    <row r="25" spans="1:8" x14ac:dyDescent="0.25">
      <c r="D25" s="9"/>
      <c r="E25" s="10"/>
      <c r="F25" s="9"/>
      <c r="G25" s="9"/>
      <c r="H25" s="10"/>
    </row>
    <row r="26" spans="1:8" x14ac:dyDescent="0.25">
      <c r="D26" s="12" t="s">
        <v>20</v>
      </c>
      <c r="E26" s="11">
        <f>SUM(E12:E24)-E19</f>
        <v>1568000</v>
      </c>
      <c r="F26" s="12"/>
      <c r="G26" s="12"/>
      <c r="H26" s="11">
        <f>SUM(H12:H24)-H14-H19</f>
        <v>1568000</v>
      </c>
    </row>
    <row r="27" spans="1:8" x14ac:dyDescent="0.25">
      <c r="D27" s="9"/>
      <c r="E27" s="10"/>
      <c r="F27" s="9"/>
      <c r="G27" s="9"/>
      <c r="H27" s="9"/>
    </row>
    <row r="28" spans="1:8" x14ac:dyDescent="0.25">
      <c r="D28" s="9" t="s">
        <v>21</v>
      </c>
      <c r="E28" s="10">
        <f>SUM(E20:E24)</f>
        <v>169000</v>
      </c>
      <c r="F28" s="9"/>
      <c r="G28" s="9"/>
      <c r="H28" s="9"/>
    </row>
    <row r="29" spans="1:8" x14ac:dyDescent="0.25">
      <c r="D29" s="9" t="s">
        <v>22</v>
      </c>
      <c r="E29" s="10">
        <f>SUM(H20:H22)</f>
        <v>106000</v>
      </c>
      <c r="F29" s="9"/>
      <c r="G29" s="9"/>
      <c r="H29" s="9"/>
    </row>
    <row r="30" spans="1:8" x14ac:dyDescent="0.25">
      <c r="D30" s="12" t="s">
        <v>23</v>
      </c>
      <c r="E30" s="11">
        <f>+E28-E29</f>
        <v>63000</v>
      </c>
      <c r="F30" s="9" t="s">
        <v>24</v>
      </c>
      <c r="G30" s="9"/>
      <c r="H30" s="9"/>
    </row>
    <row r="32" spans="1:8" ht="28.5" x14ac:dyDescent="0.45">
      <c r="A32" s="3" t="s">
        <v>26</v>
      </c>
    </row>
    <row r="33" spans="1:4" x14ac:dyDescent="0.25">
      <c r="A33" s="7" t="s">
        <v>27</v>
      </c>
      <c r="B33" s="7" t="s">
        <v>45</v>
      </c>
      <c r="C33" s="7" t="s">
        <v>44</v>
      </c>
    </row>
    <row r="34" spans="1:4" x14ac:dyDescent="0.25">
      <c r="A34" s="13" t="s">
        <v>43</v>
      </c>
    </row>
    <row r="35" spans="1:4" x14ac:dyDescent="0.25">
      <c r="A35" s="5" t="s">
        <v>28</v>
      </c>
      <c r="B35" s="5" t="s">
        <v>49</v>
      </c>
      <c r="C35" s="5" t="s">
        <v>50</v>
      </c>
    </row>
    <row r="36" spans="1:4" x14ac:dyDescent="0.25">
      <c r="A36" s="5" t="s">
        <v>29</v>
      </c>
      <c r="B36" s="5" t="s">
        <v>49</v>
      </c>
      <c r="C36" s="5" t="s">
        <v>50</v>
      </c>
    </row>
    <row r="37" spans="1:4" x14ac:dyDescent="0.25">
      <c r="A37" s="5" t="s">
        <v>30</v>
      </c>
      <c r="B37" s="5" t="s">
        <v>49</v>
      </c>
      <c r="C37" s="5" t="s">
        <v>50</v>
      </c>
    </row>
    <row r="38" spans="1:4" x14ac:dyDescent="0.25">
      <c r="A38" s="5" t="s">
        <v>31</v>
      </c>
      <c r="B38" s="5" t="s">
        <v>49</v>
      </c>
      <c r="C38" s="5" t="s">
        <v>50</v>
      </c>
    </row>
    <row r="39" spans="1:4" x14ac:dyDescent="0.25">
      <c r="A39" s="5" t="s">
        <v>32</v>
      </c>
      <c r="B39" s="5" t="s">
        <v>51</v>
      </c>
      <c r="C39" s="5" t="s">
        <v>50</v>
      </c>
      <c r="D39" s="5" t="s">
        <v>52</v>
      </c>
    </row>
    <row r="40" spans="1:4" x14ac:dyDescent="0.25">
      <c r="A40" s="5" t="s">
        <v>33</v>
      </c>
      <c r="B40" s="5" t="s">
        <v>51</v>
      </c>
      <c r="C40" s="5" t="s">
        <v>50</v>
      </c>
      <c r="D40" s="5" t="s">
        <v>52</v>
      </c>
    </row>
    <row r="41" spans="1:4" x14ac:dyDescent="0.25">
      <c r="A41" s="5" t="s">
        <v>34</v>
      </c>
      <c r="B41" s="5" t="s">
        <v>49</v>
      </c>
      <c r="C41" s="5" t="s">
        <v>50</v>
      </c>
    </row>
    <row r="42" spans="1:4" x14ac:dyDescent="0.25">
      <c r="A42" s="5" t="s">
        <v>35</v>
      </c>
      <c r="B42" s="5" t="s">
        <v>49</v>
      </c>
      <c r="C42" s="5" t="s">
        <v>50</v>
      </c>
    </row>
    <row r="43" spans="1:4" x14ac:dyDescent="0.25">
      <c r="A43" s="5" t="s">
        <v>36</v>
      </c>
      <c r="B43" s="5" t="s">
        <v>51</v>
      </c>
      <c r="C43" s="5" t="s">
        <v>50</v>
      </c>
      <c r="D43" s="5" t="s">
        <v>53</v>
      </c>
    </row>
    <row r="44" spans="1:4" x14ac:dyDescent="0.25">
      <c r="A44" s="5" t="s">
        <v>37</v>
      </c>
      <c r="B44" s="5" t="s">
        <v>49</v>
      </c>
      <c r="C44" s="5" t="s">
        <v>50</v>
      </c>
    </row>
    <row r="45" spans="1:4" x14ac:dyDescent="0.25">
      <c r="A45" s="5" t="s">
        <v>38</v>
      </c>
      <c r="B45" s="5" t="s">
        <v>49</v>
      </c>
      <c r="C45" s="5" t="s">
        <v>50</v>
      </c>
    </row>
    <row r="46" spans="1:4" x14ac:dyDescent="0.25">
      <c r="A46" s="5" t="s">
        <v>39</v>
      </c>
      <c r="B46" s="5" t="s">
        <v>56</v>
      </c>
      <c r="C46" s="5" t="s">
        <v>50</v>
      </c>
      <c r="D46" s="5" t="s">
        <v>54</v>
      </c>
    </row>
    <row r="47" spans="1:4" x14ac:dyDescent="0.25">
      <c r="A47" s="5" t="s">
        <v>40</v>
      </c>
      <c r="B47" s="5" t="s">
        <v>49</v>
      </c>
      <c r="C47" s="5" t="s">
        <v>50</v>
      </c>
      <c r="D47" s="5" t="s">
        <v>55</v>
      </c>
    </row>
    <row r="48" spans="1:4" x14ac:dyDescent="0.25">
      <c r="A48" s="5" t="s">
        <v>41</v>
      </c>
      <c r="B48" s="5" t="s">
        <v>56</v>
      </c>
      <c r="C48" s="5" t="s">
        <v>50</v>
      </c>
      <c r="D48" s="5" t="s">
        <v>54</v>
      </c>
    </row>
    <row r="50" spans="1:4" x14ac:dyDescent="0.25">
      <c r="A50" s="13" t="s">
        <v>42</v>
      </c>
    </row>
    <row r="51" spans="1:4" x14ac:dyDescent="0.25">
      <c r="A51" s="5" t="s">
        <v>46</v>
      </c>
      <c r="B51" s="5" t="s">
        <v>56</v>
      </c>
      <c r="C51" s="5" t="s">
        <v>50</v>
      </c>
      <c r="D51" s="5" t="s">
        <v>54</v>
      </c>
    </row>
    <row r="52" spans="1:4" x14ac:dyDescent="0.25">
      <c r="A52" s="5" t="s">
        <v>47</v>
      </c>
      <c r="B52" s="5" t="s">
        <v>57</v>
      </c>
      <c r="C52" s="5" t="s">
        <v>50</v>
      </c>
      <c r="D52" s="5" t="s">
        <v>58</v>
      </c>
    </row>
    <row r="53" spans="1:4" x14ac:dyDescent="0.25">
      <c r="A53" s="5" t="s">
        <v>39</v>
      </c>
      <c r="B53" s="5" t="s">
        <v>56</v>
      </c>
      <c r="C53" s="5" t="s">
        <v>50</v>
      </c>
      <c r="D53" s="5" t="s">
        <v>54</v>
      </c>
    </row>
    <row r="54" spans="1:4" x14ac:dyDescent="0.25">
      <c r="A54" s="5" t="s">
        <v>48</v>
      </c>
      <c r="B54" s="5" t="s">
        <v>57</v>
      </c>
      <c r="C54" s="5" t="s">
        <v>50</v>
      </c>
      <c r="D54" s="5" t="s">
        <v>54</v>
      </c>
    </row>
    <row r="55" spans="1:4" x14ac:dyDescent="0.25">
      <c r="A55" s="5" t="s">
        <v>41</v>
      </c>
      <c r="B55" s="5" t="s">
        <v>56</v>
      </c>
      <c r="C55" s="5" t="s">
        <v>50</v>
      </c>
      <c r="D55" s="5" t="s">
        <v>54</v>
      </c>
    </row>
    <row r="57" spans="1:4" ht="28.5" x14ac:dyDescent="0.45">
      <c r="A57" s="3" t="s">
        <v>59</v>
      </c>
    </row>
    <row r="59" spans="1:4" x14ac:dyDescent="0.25">
      <c r="A59" s="7" t="s">
        <v>60</v>
      </c>
      <c r="B59" s="7" t="s">
        <v>61</v>
      </c>
      <c r="C59" s="11">
        <f>675000*5</f>
        <v>3375000</v>
      </c>
    </row>
    <row r="60" spans="1:4" x14ac:dyDescent="0.25">
      <c r="A60" s="8">
        <f>C59-C61-C62*5+C63+C64</f>
        <v>184626</v>
      </c>
      <c r="C60" s="10"/>
    </row>
    <row r="61" spans="1:4" x14ac:dyDescent="0.25">
      <c r="B61" s="5" t="s">
        <v>71</v>
      </c>
      <c r="C61" s="10">
        <v>2150974</v>
      </c>
      <c r="D61" s="5" t="s">
        <v>129</v>
      </c>
    </row>
    <row r="62" spans="1:4" x14ac:dyDescent="0.25">
      <c r="B62" s="5" t="s">
        <v>72</v>
      </c>
      <c r="C62" s="10">
        <f>521350</f>
        <v>521350</v>
      </c>
      <c r="D62" s="5" t="s">
        <v>130</v>
      </c>
    </row>
    <row r="63" spans="1:4" x14ac:dyDescent="0.25">
      <c r="B63" s="5" t="s">
        <v>73</v>
      </c>
      <c r="C63" s="10">
        <v>1383750</v>
      </c>
    </row>
    <row r="64" spans="1:4" x14ac:dyDescent="0.25">
      <c r="B64" s="5" t="s">
        <v>33</v>
      </c>
      <c r="C64" s="10">
        <v>183600</v>
      </c>
      <c r="D64" s="5" t="s">
        <v>131</v>
      </c>
    </row>
    <row r="67" spans="1:4" ht="28.5" x14ac:dyDescent="0.45">
      <c r="A67" s="3" t="s">
        <v>69</v>
      </c>
    </row>
    <row r="68" spans="1:4" x14ac:dyDescent="0.25">
      <c r="A68" s="5" t="s">
        <v>70</v>
      </c>
      <c r="B68" s="8">
        <f>A60/5</f>
        <v>36925.199999999997</v>
      </c>
      <c r="C68" s="5" t="s">
        <v>74</v>
      </c>
    </row>
    <row r="69" spans="1:4" x14ac:dyDescent="0.25">
      <c r="A69" s="5" t="s">
        <v>86</v>
      </c>
      <c r="B69" s="8">
        <f>C59/5 - 141560 - 313470</f>
        <v>219970</v>
      </c>
      <c r="C69" s="5" t="s">
        <v>132</v>
      </c>
    </row>
    <row r="72" spans="1:4" x14ac:dyDescent="0.25">
      <c r="B72" s="14" t="s">
        <v>133</v>
      </c>
    </row>
    <row r="74" spans="1:4" x14ac:dyDescent="0.25">
      <c r="B74" s="7" t="s">
        <v>62</v>
      </c>
      <c r="C74" s="8">
        <f>SUM(D75:D78)</f>
        <v>2327750</v>
      </c>
    </row>
    <row r="75" spans="1:4" x14ac:dyDescent="0.25">
      <c r="C75" s="5" t="s">
        <v>32</v>
      </c>
      <c r="D75" s="10">
        <v>52600</v>
      </c>
    </row>
    <row r="76" spans="1:4" x14ac:dyDescent="0.25">
      <c r="C76" s="5" t="s">
        <v>33</v>
      </c>
      <c r="D76" s="10">
        <v>183600</v>
      </c>
    </row>
    <row r="77" spans="1:4" x14ac:dyDescent="0.25">
      <c r="C77" s="5" t="s">
        <v>63</v>
      </c>
      <c r="D77" s="10">
        <f>(141560)*5</f>
        <v>707800</v>
      </c>
    </row>
    <row r="78" spans="1:4" x14ac:dyDescent="0.25">
      <c r="C78" s="5" t="s">
        <v>36</v>
      </c>
      <c r="D78" s="10">
        <v>1383750</v>
      </c>
    </row>
    <row r="79" spans="1:4" x14ac:dyDescent="0.25">
      <c r="D79" s="10"/>
    </row>
    <row r="80" spans="1:4" x14ac:dyDescent="0.25">
      <c r="B80" s="7" t="s">
        <v>64</v>
      </c>
      <c r="C80" s="8">
        <f>SUM(E81:E94)</f>
        <v>862624</v>
      </c>
      <c r="D80" s="10"/>
    </row>
    <row r="81" spans="1:5" x14ac:dyDescent="0.25">
      <c r="C81" s="5" t="s">
        <v>28</v>
      </c>
      <c r="E81" s="10">
        <v>78900</v>
      </c>
    </row>
    <row r="82" spans="1:5" x14ac:dyDescent="0.25">
      <c r="C82" s="5" t="s">
        <v>29</v>
      </c>
      <c r="E82" s="10">
        <v>72500</v>
      </c>
    </row>
    <row r="83" spans="1:5" x14ac:dyDescent="0.25">
      <c r="C83" s="5" t="s">
        <v>30</v>
      </c>
      <c r="E83" s="10">
        <v>64000</v>
      </c>
    </row>
    <row r="84" spans="1:5" x14ac:dyDescent="0.25">
      <c r="C84" s="5" t="s">
        <v>31</v>
      </c>
      <c r="E84" s="10">
        <v>55500</v>
      </c>
    </row>
    <row r="85" spans="1:5" x14ac:dyDescent="0.25">
      <c r="C85" s="5" t="s">
        <v>34</v>
      </c>
      <c r="E85" s="10">
        <v>46800</v>
      </c>
    </row>
    <row r="86" spans="1:5" x14ac:dyDescent="0.25">
      <c r="C86" s="5" t="s">
        <v>35</v>
      </c>
      <c r="E86" s="10">
        <v>41400</v>
      </c>
    </row>
    <row r="87" spans="1:5" x14ac:dyDescent="0.25">
      <c r="C87" s="5" t="s">
        <v>37</v>
      </c>
      <c r="E87" s="10">
        <v>37500</v>
      </c>
    </row>
    <row r="88" spans="1:5" x14ac:dyDescent="0.25">
      <c r="C88" s="5" t="s">
        <v>38</v>
      </c>
      <c r="E88" s="10">
        <v>14000</v>
      </c>
    </row>
    <row r="89" spans="1:5" x14ac:dyDescent="0.25">
      <c r="C89" s="5" t="s">
        <v>67</v>
      </c>
      <c r="E89" s="10">
        <v>45000</v>
      </c>
    </row>
    <row r="90" spans="1:5" x14ac:dyDescent="0.25">
      <c r="C90" s="5" t="s">
        <v>40</v>
      </c>
      <c r="E90" s="10">
        <v>34424</v>
      </c>
    </row>
    <row r="91" spans="1:5" x14ac:dyDescent="0.25">
      <c r="C91" s="5" t="s">
        <v>65</v>
      </c>
      <c r="E91" s="10">
        <v>41000</v>
      </c>
    </row>
    <row r="92" spans="1:5" x14ac:dyDescent="0.25">
      <c r="C92" s="5" t="s">
        <v>46</v>
      </c>
      <c r="E92" s="10">
        <f>38400*5</f>
        <v>192000</v>
      </c>
    </row>
    <row r="93" spans="1:5" x14ac:dyDescent="0.25">
      <c r="C93" s="5" t="s">
        <v>68</v>
      </c>
      <c r="E93" s="10">
        <f>19800*5</f>
        <v>99000</v>
      </c>
    </row>
    <row r="94" spans="1:5" x14ac:dyDescent="0.25">
      <c r="C94" s="5" t="s">
        <v>66</v>
      </c>
      <c r="E94" s="10">
        <f>8120*5</f>
        <v>40600</v>
      </c>
    </row>
    <row r="96" spans="1:5" ht="28.5" x14ac:dyDescent="0.45">
      <c r="A96" s="3" t="s">
        <v>75</v>
      </c>
    </row>
    <row r="97" spans="1:4" x14ac:dyDescent="0.25">
      <c r="A97" s="5" t="s">
        <v>77</v>
      </c>
      <c r="B97" s="10">
        <f>32000 + 29500 + 14700 + 5000</f>
        <v>81200</v>
      </c>
    </row>
    <row r="98" spans="1:4" x14ac:dyDescent="0.25">
      <c r="B98" s="5" t="s">
        <v>76</v>
      </c>
    </row>
    <row r="99" spans="1:4" x14ac:dyDescent="0.25">
      <c r="A99" s="5" t="s">
        <v>78</v>
      </c>
      <c r="B99" s="10">
        <v>521350</v>
      </c>
    </row>
    <row r="101" spans="1:4" x14ac:dyDescent="0.25">
      <c r="A101" s="5" t="s">
        <v>79</v>
      </c>
      <c r="B101" s="10">
        <v>675000</v>
      </c>
    </row>
    <row r="103" spans="1:4" x14ac:dyDescent="0.25">
      <c r="A103" s="7" t="s">
        <v>80</v>
      </c>
      <c r="B103" s="11">
        <f>B101-B99-B97</f>
        <v>72450</v>
      </c>
      <c r="C103" s="5" t="s">
        <v>81</v>
      </c>
    </row>
    <row r="106" spans="1:4" ht="28.5" x14ac:dyDescent="0.45">
      <c r="A106" s="3" t="s">
        <v>82</v>
      </c>
    </row>
    <row r="108" spans="1:4" x14ac:dyDescent="0.25">
      <c r="A108" s="5" t="s">
        <v>83</v>
      </c>
      <c r="B108" s="10">
        <v>53</v>
      </c>
    </row>
    <row r="109" spans="1:4" x14ac:dyDescent="0.25">
      <c r="A109" s="5" t="s">
        <v>84</v>
      </c>
      <c r="B109" s="15">
        <f>C80</f>
        <v>862624</v>
      </c>
    </row>
    <row r="110" spans="1:4" x14ac:dyDescent="0.25">
      <c r="A110" s="5" t="s">
        <v>85</v>
      </c>
      <c r="B110" s="15">
        <f>C74/(C59/B108)</f>
        <v>36.554296296296293</v>
      </c>
      <c r="C110" s="5" t="s">
        <v>134</v>
      </c>
    </row>
    <row r="112" spans="1:4" x14ac:dyDescent="0.25">
      <c r="A112" s="5" t="s">
        <v>87</v>
      </c>
      <c r="B112" s="16">
        <f xml:space="preserve"> B109/(B108-B110)</f>
        <v>52452.848205317598</v>
      </c>
      <c r="C112" s="7">
        <v>52453</v>
      </c>
      <c r="D112" s="7" t="s">
        <v>88</v>
      </c>
    </row>
    <row r="113" spans="1:4" x14ac:dyDescent="0.25">
      <c r="C113" s="15">
        <f>B108*C112</f>
        <v>2780009</v>
      </c>
    </row>
    <row r="114" spans="1:4" x14ac:dyDescent="0.25">
      <c r="A114" s="5" t="s">
        <v>89</v>
      </c>
      <c r="B114" s="10">
        <f>C112*B108</f>
        <v>2780009</v>
      </c>
    </row>
    <row r="115" spans="1:4" x14ac:dyDescent="0.25">
      <c r="A115" s="5" t="s">
        <v>90</v>
      </c>
      <c r="B115" s="10">
        <f>-C112*B110</f>
        <v>-1917382.5036296295</v>
      </c>
    </row>
    <row r="116" spans="1:4" x14ac:dyDescent="0.25">
      <c r="A116" s="7" t="s">
        <v>91</v>
      </c>
      <c r="B116" s="11">
        <f>+B114+B115</f>
        <v>862626.4963703705</v>
      </c>
    </row>
    <row r="117" spans="1:4" x14ac:dyDescent="0.25">
      <c r="A117" s="5" t="s">
        <v>92</v>
      </c>
      <c r="B117" s="10">
        <f>-B109</f>
        <v>-862624</v>
      </c>
    </row>
    <row r="118" spans="1:4" x14ac:dyDescent="0.25">
      <c r="A118" s="7" t="s">
        <v>93</v>
      </c>
      <c r="B118" s="17">
        <f>+B116+B117</f>
        <v>2.4963703704997897</v>
      </c>
      <c r="C118" s="5" t="s">
        <v>137</v>
      </c>
    </row>
    <row r="121" spans="1:4" x14ac:dyDescent="0.25">
      <c r="A121" s="5" t="s">
        <v>94</v>
      </c>
      <c r="B121" s="5">
        <f>C112/5/310</f>
        <v>33.840645161290325</v>
      </c>
      <c r="C121" s="5">
        <v>34</v>
      </c>
      <c r="D121" s="5" t="s">
        <v>135</v>
      </c>
    </row>
    <row r="122" spans="1:4" x14ac:dyDescent="0.25">
      <c r="C122" s="15">
        <f>B108*C121</f>
        <v>1802</v>
      </c>
      <c r="D122" s="5" t="s">
        <v>95</v>
      </c>
    </row>
    <row r="124" spans="1:4" x14ac:dyDescent="0.25">
      <c r="A124" s="5" t="s">
        <v>96</v>
      </c>
    </row>
    <row r="127" spans="1:4" ht="28.5" x14ac:dyDescent="0.45">
      <c r="A127" s="3" t="s">
        <v>97</v>
      </c>
    </row>
    <row r="128" spans="1:4" x14ac:dyDescent="0.25">
      <c r="B128" s="10"/>
    </row>
    <row r="129" spans="1:13" x14ac:dyDescent="0.25">
      <c r="A129" s="5" t="s">
        <v>77</v>
      </c>
      <c r="B129" s="10">
        <v>195000</v>
      </c>
    </row>
    <row r="130" spans="1:13" x14ac:dyDescent="0.25">
      <c r="B130" s="5" t="s">
        <v>76</v>
      </c>
    </row>
    <row r="131" spans="1:13" x14ac:dyDescent="0.25">
      <c r="A131" s="5" t="s">
        <v>78</v>
      </c>
      <c r="B131" s="10">
        <f>521350-8120+195000/10</f>
        <v>532730</v>
      </c>
      <c r="C131" s="5" t="s">
        <v>111</v>
      </c>
    </row>
    <row r="133" spans="1:13" x14ac:dyDescent="0.25">
      <c r="A133" s="5" t="s">
        <v>79</v>
      </c>
      <c r="B133" s="10">
        <v>675000</v>
      </c>
    </row>
    <row r="135" spans="1:13" x14ac:dyDescent="0.25">
      <c r="A135" s="7"/>
      <c r="B135" s="11"/>
    </row>
    <row r="138" spans="1:13" x14ac:dyDescent="0.25">
      <c r="A138" s="7" t="s">
        <v>60</v>
      </c>
      <c r="B138" s="7" t="s">
        <v>61</v>
      </c>
      <c r="C138" s="11">
        <f>675000*6</f>
        <v>4050000</v>
      </c>
    </row>
    <row r="139" spans="1:13" x14ac:dyDescent="0.25">
      <c r="A139" s="8">
        <f>C138-C140-C141*5-B131+C142</f>
        <v>640366</v>
      </c>
      <c r="C139" s="10"/>
    </row>
    <row r="140" spans="1:13" x14ac:dyDescent="0.25">
      <c r="B140" s="5" t="s">
        <v>71</v>
      </c>
      <c r="C140" s="10">
        <v>2150974</v>
      </c>
      <c r="D140" s="5" t="s">
        <v>129</v>
      </c>
    </row>
    <row r="141" spans="1:13" x14ac:dyDescent="0.25">
      <c r="B141" s="5" t="s">
        <v>72</v>
      </c>
      <c r="C141" s="10">
        <f>521350</f>
        <v>521350</v>
      </c>
      <c r="D141" s="5" t="s">
        <v>136</v>
      </c>
    </row>
    <row r="142" spans="1:13" x14ac:dyDescent="0.25">
      <c r="B142" s="5" t="s">
        <v>110</v>
      </c>
      <c r="C142" s="10">
        <f>313470*6</f>
        <v>1880820</v>
      </c>
    </row>
    <row r="143" spans="1:13" s="1" customFormat="1" x14ac:dyDescent="0.25">
      <c r="A143" s="5"/>
      <c r="B143" s="5"/>
      <c r="C143" s="10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x14ac:dyDescent="0.25">
      <c r="C144" s="10"/>
      <c r="D144" s="7" t="s">
        <v>119</v>
      </c>
    </row>
    <row r="145" spans="1:13" x14ac:dyDescent="0.25">
      <c r="A145" s="7" t="s">
        <v>112</v>
      </c>
      <c r="B145" s="15">
        <f>A60</f>
        <v>184626</v>
      </c>
      <c r="C145" s="5" t="s">
        <v>114</v>
      </c>
      <c r="D145" s="15">
        <f>B145*0.7</f>
        <v>129238.2</v>
      </c>
      <c r="E145" s="18" t="s">
        <v>115</v>
      </c>
      <c r="F145" s="15">
        <f>B145*0.3</f>
        <v>55387.799999999996</v>
      </c>
      <c r="G145" s="5" t="s">
        <v>116</v>
      </c>
    </row>
    <row r="146" spans="1:13" x14ac:dyDescent="0.25">
      <c r="A146" s="7" t="s">
        <v>113</v>
      </c>
      <c r="B146" s="15">
        <f>A139</f>
        <v>640366</v>
      </c>
      <c r="C146" s="5" t="s">
        <v>114</v>
      </c>
      <c r="D146" s="15">
        <f>B146*0.7</f>
        <v>448256.19999999995</v>
      </c>
      <c r="E146" s="18" t="s">
        <v>115</v>
      </c>
      <c r="F146" s="15">
        <f>B146*0.3</f>
        <v>192109.8</v>
      </c>
      <c r="G146" s="5" t="s">
        <v>116</v>
      </c>
    </row>
    <row r="148" spans="1:13" x14ac:dyDescent="0.25">
      <c r="A148" s="7" t="s">
        <v>117</v>
      </c>
      <c r="B148" s="15">
        <f>B146-B145</f>
        <v>455740</v>
      </c>
      <c r="D148" s="8">
        <f>B146-B145</f>
        <v>455740</v>
      </c>
      <c r="E148" s="5" t="s">
        <v>118</v>
      </c>
      <c r="F148" s="8">
        <f>F146-F145</f>
        <v>136722</v>
      </c>
      <c r="G148" s="5" t="s">
        <v>116</v>
      </c>
    </row>
    <row r="151" spans="1:13" ht="28.5" x14ac:dyDescent="0.45">
      <c r="A151" s="3" t="s">
        <v>120</v>
      </c>
    </row>
    <row r="152" spans="1:13" x14ac:dyDescent="0.25">
      <c r="A152" s="5" t="s">
        <v>98</v>
      </c>
      <c r="B152" s="10">
        <v>195000</v>
      </c>
    </row>
    <row r="153" spans="1:13" x14ac:dyDescent="0.25">
      <c r="A153" s="5" t="s">
        <v>99</v>
      </c>
      <c r="B153" s="15">
        <f>D148+19500</f>
        <v>475240</v>
      </c>
      <c r="C153" s="5" t="s">
        <v>121</v>
      </c>
    </row>
    <row r="154" spans="1:13" x14ac:dyDescent="0.25">
      <c r="A154" s="5" t="s">
        <v>100</v>
      </c>
      <c r="B154" s="5">
        <v>10</v>
      </c>
    </row>
    <row r="155" spans="1:13" x14ac:dyDescent="0.25">
      <c r="A155" s="5" t="s">
        <v>101</v>
      </c>
      <c r="B155" s="19">
        <v>6.5000000000000002E-2</v>
      </c>
    </row>
    <row r="158" spans="1:13" x14ac:dyDescent="0.25">
      <c r="A158" s="5" t="s">
        <v>102</v>
      </c>
      <c r="B158" s="5">
        <v>0</v>
      </c>
      <c r="C158" s="5">
        <v>1</v>
      </c>
      <c r="D158" s="5">
        <v>2</v>
      </c>
      <c r="E158" s="5">
        <v>3</v>
      </c>
      <c r="F158" s="5">
        <v>4</v>
      </c>
      <c r="G158" s="5">
        <v>5</v>
      </c>
      <c r="H158" s="5">
        <v>6</v>
      </c>
      <c r="I158" s="5">
        <v>7</v>
      </c>
      <c r="J158" s="5">
        <v>8</v>
      </c>
      <c r="K158" s="5">
        <v>9</v>
      </c>
      <c r="L158" s="5">
        <v>10</v>
      </c>
      <c r="M158" s="26" t="s">
        <v>20</v>
      </c>
    </row>
    <row r="159" spans="1:13" x14ac:dyDescent="0.25">
      <c r="A159" s="5" t="s">
        <v>103</v>
      </c>
      <c r="B159" s="20">
        <f>-B152</f>
        <v>-195000</v>
      </c>
      <c r="C159" s="20">
        <f>B153</f>
        <v>475240</v>
      </c>
      <c r="D159" s="20">
        <f>B153</f>
        <v>475240</v>
      </c>
      <c r="E159" s="20">
        <f>B153</f>
        <v>475240</v>
      </c>
      <c r="F159" s="20">
        <f>B153</f>
        <v>475240</v>
      </c>
      <c r="G159" s="20">
        <f>B153</f>
        <v>475240</v>
      </c>
      <c r="H159" s="20">
        <f>B153</f>
        <v>475240</v>
      </c>
      <c r="I159" s="20">
        <f>B153</f>
        <v>475240</v>
      </c>
      <c r="J159" s="20">
        <f>B153</f>
        <v>475240</v>
      </c>
      <c r="K159" s="20">
        <f>B153</f>
        <v>475240</v>
      </c>
      <c r="L159" s="20">
        <f>B153</f>
        <v>475240</v>
      </c>
      <c r="M159" s="26">
        <f>SUM(B159:L159)</f>
        <v>4557400</v>
      </c>
    </row>
    <row r="160" spans="1:13" x14ac:dyDescent="0.25">
      <c r="A160" s="5" t="s">
        <v>104</v>
      </c>
      <c r="B160" s="20">
        <f t="shared" ref="B160:L160" si="0">+B159/(1+$B$155)^B158</f>
        <v>-195000</v>
      </c>
      <c r="C160" s="20">
        <f t="shared" si="0"/>
        <v>446234.74178403756</v>
      </c>
      <c r="D160" s="20">
        <f t="shared" si="0"/>
        <v>418999.75754369731</v>
      </c>
      <c r="E160" s="20">
        <f t="shared" si="0"/>
        <v>393427.00238844822</v>
      </c>
      <c r="F160" s="20">
        <f t="shared" si="0"/>
        <v>369415.0257168528</v>
      </c>
      <c r="G160" s="20">
        <f t="shared" si="0"/>
        <v>346868.56874821859</v>
      </c>
      <c r="H160" s="20">
        <f t="shared" si="0"/>
        <v>325698.18661804567</v>
      </c>
      <c r="I160" s="20">
        <f t="shared" si="0"/>
        <v>305819.89353807108</v>
      </c>
      <c r="J160" s="20">
        <f t="shared" si="0"/>
        <v>287154.82961321232</v>
      </c>
      <c r="K160" s="20">
        <f t="shared" si="0"/>
        <v>269628.94799362659</v>
      </c>
      <c r="L160" s="20">
        <f t="shared" si="0"/>
        <v>253172.72112077617</v>
      </c>
      <c r="M160" s="26">
        <f>SUM(B160:L160)</f>
        <v>3221419.6750649861</v>
      </c>
    </row>
    <row r="161" spans="1:12" x14ac:dyDescent="0.25">
      <c r="L161" s="21"/>
    </row>
    <row r="164" spans="1:12" x14ac:dyDescent="0.25">
      <c r="A164" s="7" t="s">
        <v>105</v>
      </c>
      <c r="B164" s="22">
        <f>B160+NPV(B155,C159,D159,E159,F159,G159,H159,I159,J159,K159,L159)</f>
        <v>3221419.6750649856</v>
      </c>
      <c r="C164" s="23" t="s">
        <v>106</v>
      </c>
      <c r="D164" s="5" t="s">
        <v>107</v>
      </c>
    </row>
    <row r="166" spans="1:12" x14ac:dyDescent="0.25">
      <c r="A166" s="7" t="s">
        <v>108</v>
      </c>
      <c r="B166" s="24">
        <f>IRR(B159:L159)</f>
        <v>2.4371176141898219</v>
      </c>
      <c r="C166" s="5" t="s">
        <v>109</v>
      </c>
      <c r="D166" s="5" t="s">
        <v>107</v>
      </c>
    </row>
    <row r="169" spans="1:12" ht="28.5" x14ac:dyDescent="0.45">
      <c r="A169" s="3" t="s">
        <v>122</v>
      </c>
    </row>
    <row r="170" spans="1:12" ht="102" customHeight="1" x14ac:dyDescent="0.25">
      <c r="A170" s="27" t="s">
        <v>123</v>
      </c>
      <c r="B170" s="27"/>
      <c r="C170" s="25"/>
    </row>
  </sheetData>
  <mergeCells count="2">
    <mergeCell ref="A170:B170"/>
    <mergeCell ref="A7:B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PEC5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 Font</dc:creator>
  <cp:lastModifiedBy>Ricard Guixaró</cp:lastModifiedBy>
  <dcterms:created xsi:type="dcterms:W3CDTF">2020-05-09T09:17:26Z</dcterms:created>
  <dcterms:modified xsi:type="dcterms:W3CDTF">2021-05-17T17:20:36Z</dcterms:modified>
</cp:coreProperties>
</file>