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sRazer\Dropbox\Notes\MECH 423 - Mechatronic Product Design\PROJECT\MECH423 Project GIT REPO\CyclingDAQ\Peripheral Code\Force Sensor\"/>
    </mc:Choice>
  </mc:AlternateContent>
  <xr:revisionPtr revIDLastSave="0" documentId="13_ncr:1_{1F16ADE6-8D48-4FC2-8C47-A5C3B2E26766}" xr6:coauthVersionLast="41" xr6:coauthVersionMax="41" xr10:uidLastSave="{00000000-0000-0000-0000-000000000000}"/>
  <bookViews>
    <workbookView xWindow="-10308" yWindow="4428" windowWidth="17280" windowHeight="8724" activeTab="3" xr2:uid="{55C83500-F648-47C6-B0AB-D5CA633E4192}"/>
  </bookViews>
  <sheets>
    <sheet name="Calibration" sheetId="1" r:id="rId1"/>
    <sheet name="Arduino" sheetId="2" r:id="rId2"/>
    <sheet name="MSP430" sheetId="3" r:id="rId3"/>
    <sheet name="Testing &amp; Final Calibr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2" i="4"/>
  <c r="Q2" i="4"/>
  <c r="R7" i="4"/>
  <c r="P7" i="4"/>
  <c r="N3" i="4"/>
  <c r="N2" i="4"/>
  <c r="N7" i="4"/>
  <c r="N6" i="4"/>
  <c r="R6" i="4" s="1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G3" i="4" l="1"/>
  <c r="G7" i="4"/>
  <c r="G11" i="4"/>
  <c r="G15" i="4"/>
  <c r="G4" i="4"/>
  <c r="G8" i="4"/>
  <c r="G12" i="4"/>
  <c r="G16" i="4"/>
  <c r="G5" i="4"/>
  <c r="G9" i="4"/>
  <c r="G13" i="4"/>
  <c r="G2" i="4"/>
  <c r="G6" i="4"/>
  <c r="G10" i="4"/>
  <c r="G14" i="4"/>
  <c r="P6" i="4"/>
  <c r="H6" i="3"/>
  <c r="F7" i="3"/>
  <c r="F8" i="3"/>
  <c r="F6" i="3"/>
  <c r="F3" i="3"/>
  <c r="F4" i="3"/>
  <c r="F2" i="3"/>
  <c r="H2" i="3" s="1"/>
  <c r="E7" i="3"/>
  <c r="E8" i="3"/>
  <c r="E6" i="3"/>
  <c r="E3" i="3"/>
  <c r="E4" i="3"/>
  <c r="E2" i="3"/>
  <c r="E2" i="2"/>
  <c r="I2" i="3" l="1"/>
  <c r="H8" i="3"/>
  <c r="I8" i="3"/>
  <c r="H7" i="3"/>
  <c r="I6" i="3"/>
  <c r="H4" i="3"/>
  <c r="I4" i="3"/>
  <c r="H3" i="3"/>
  <c r="I3" i="3"/>
  <c r="F3" i="2"/>
  <c r="H3" i="2" s="1"/>
  <c r="E3" i="2"/>
  <c r="I3" i="2" s="1"/>
  <c r="F2" i="2"/>
  <c r="H2" i="2" s="1"/>
  <c r="I2" i="2"/>
  <c r="J2" i="3" l="1"/>
  <c r="G8" i="3"/>
  <c r="G7" i="3"/>
  <c r="I7" i="3"/>
  <c r="J7" i="3" s="1"/>
  <c r="J3" i="3"/>
  <c r="J4" i="3"/>
  <c r="G6" i="3"/>
  <c r="J8" i="3"/>
  <c r="J6" i="3"/>
  <c r="G4" i="3"/>
  <c r="G2" i="3"/>
  <c r="G3" i="3"/>
  <c r="G2" i="2"/>
  <c r="G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tc={E9FA19CC-2026-4B7F-B8FC-10CDDFDB7253}</author>
    <author>tc={6F6BD617-27CB-40F8-A815-561C9B6C09C6}</author>
    <author>tc={7042F8DC-0326-4603-8611-8624BE808993}</author>
  </authors>
  <commentList>
    <comment ref="A4" authorId="0" shapeId="0" xr:uid="{E9FA19CC-2026-4B7F-B8FC-10CDDFDB725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Vcc on MSP430 was 3.6V</t>
      </text>
    </comment>
    <comment ref="J4" authorId="1" shapeId="0" xr:uid="{6F6BD617-27CB-40F8-A815-561C9B6C09C6}">
      <text>
        <t>[Threaded comment]
Your version of Excel allows you to read this threaded comment; however, any edits to it will get removed if the file is opened in a newer version of Excel. Learn more: https://go.microsoft.com/fwlink/?linkid=870924
Comment:
    will go with this setup</t>
      </text>
    </comment>
    <comment ref="A8" authorId="2" shapeId="0" xr:uid="{7042F8DC-0326-4603-8611-8624BE808993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Vcc on MSP430 was 3.6V</t>
      </text>
    </comment>
  </commentList>
</comments>
</file>

<file path=xl/sharedStrings.xml><?xml version="1.0" encoding="utf-8"?>
<sst xmlns="http://schemas.openxmlformats.org/spreadsheetml/2006/main" count="63" uniqueCount="45">
  <si>
    <t>Resistance [kOhm]</t>
  </si>
  <si>
    <t>Force [kg]</t>
  </si>
  <si>
    <t>3.3 [V]</t>
  </si>
  <si>
    <t>Vcc [V]</t>
  </si>
  <si>
    <t>R [kOhm]</t>
  </si>
  <si>
    <t>Need to select R to give largest range of Vo that ADC can accept for best resolution</t>
  </si>
  <si>
    <t>Load Min</t>
  </si>
  <si>
    <t>Load Max</t>
  </si>
  <si>
    <t>Vo max [V]</t>
  </si>
  <si>
    <t>Vo min [V]</t>
  </si>
  <si>
    <t>DeltaV</t>
  </si>
  <si>
    <t>ADC min</t>
  </si>
  <si>
    <t>ADC max</t>
  </si>
  <si>
    <t>Found that 40-50kOhm gives largest dV in 0-5V Vo range Arduino ADC can measure</t>
  </si>
  <si>
    <t>Vr-</t>
  </si>
  <si>
    <t>Vr+</t>
  </si>
  <si>
    <t>AVSS</t>
  </si>
  <si>
    <t>AVCC</t>
  </si>
  <si>
    <t>(measured)</t>
  </si>
  <si>
    <t>REF</t>
  </si>
  <si>
    <t>deltaADC</t>
  </si>
  <si>
    <t>Vr- = AVSS // Vr+ = AVCC</t>
  </si>
  <si>
    <t>Vr- = AVSS // Vr+ = REF</t>
  </si>
  <si>
    <t>Load Min [kg]</t>
  </si>
  <si>
    <t>Load Max [kg]</t>
  </si>
  <si>
    <t>Limitation to have 255 max value b/c 8 bits</t>
  </si>
  <si>
    <t>Voltage</t>
  </si>
  <si>
    <t>Approx ADC Value</t>
  </si>
  <si>
    <t>mm</t>
  </si>
  <si>
    <t>lever_long</t>
  </si>
  <si>
    <t>lever_short</t>
  </si>
  <si>
    <t>piston_master</t>
  </si>
  <si>
    <t>piston_caliper</t>
  </si>
  <si>
    <t>diam</t>
  </si>
  <si>
    <t>length</t>
  </si>
  <si>
    <t>area</t>
  </si>
  <si>
    <t>mm2</t>
  </si>
  <si>
    <t>m</t>
  </si>
  <si>
    <t>m2</t>
  </si>
  <si>
    <t>in2</t>
  </si>
  <si>
    <t>RATIO</t>
  </si>
  <si>
    <t>(torque multiplication)</t>
  </si>
  <si>
    <t>Line Pressure (psi)</t>
  </si>
  <si>
    <t>Calibration curve Force [kg]</t>
  </si>
  <si>
    <t>[lbs]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</si>
</sst>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Calibration!$B$2</c:f>
              <c:strCache>
                <c:ptCount val="1"/>
                <c:pt idx="0">
                  <c:v>Resistance [kOhm]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5"/>
            <c:backward val="0.2"/>
            <c:dispRSqr val="1"/>
            <c:dispEq val="1"/>
            <c:trendlineLbl>
              <c:layout>
                <c:manualLayout>
                  <c:x val="-0.24651071741032371"/>
                  <c:y val="-0.2445913531641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Calibration!$A$3:$A$16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Calibration!$B$3:$B$16</c:f>
              <c:numCache>
                <c:formatCode>General</c:formatCode>
                <c:ptCount val="14"/>
                <c:pt idx="0">
                  <c:v>230</c:v>
                </c:pt>
                <c:pt idx="1">
                  <c:v>100</c:v>
                </c:pt>
                <c:pt idx="2">
                  <c:v>70</c:v>
                </c:pt>
                <c:pt idx="3">
                  <c:v>60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6C-4F46-B0AE-D633495C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26624"/>
        <c:axId val="628120192"/>
      </c:scatterChart>
      <c:valAx>
        <c:axId val="7259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0192"/>
        <c:crosses val="autoZero"/>
        <c:crossBetween val="midCat"/>
      </c:valAx>
      <c:valAx>
        <c:axId val="628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Calibration Curve (Spec Sheet F</a:t>
            </a:r>
            <a:r>
              <a:rPr lang="en-US" baseline="0"/>
              <a:t> vs 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Calibration!$B$2</c:f>
              <c:strCache>
                <c:ptCount val="1"/>
                <c:pt idx="0">
                  <c:v>Resistance [kOhm]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5"/>
            <c:backward val="0.2"/>
            <c:dispRSqr val="1"/>
            <c:dispEq val="1"/>
            <c:trendlineLbl>
              <c:layout>
                <c:manualLayout>
                  <c:x val="-0.24651071741032371"/>
                  <c:y val="-0.2445913531641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Calibration!$A$3:$A$16</c:f>
              <c:numCache>
                <c:formatCode>General</c:formatCode>
                <c:ptCount val="14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17</c:v>
                </c:pt>
                <c:pt idx="12">
                  <c:v>20</c:v>
                </c:pt>
                <c:pt idx="13">
                  <c:v>22</c:v>
                </c:pt>
              </c:numCache>
            </c:numRef>
          </c:xVal>
          <c:yVal>
            <c:numRef>
              <c:f>Calibration!$B$3:$B$16</c:f>
              <c:numCache>
                <c:formatCode>General</c:formatCode>
                <c:ptCount val="14"/>
                <c:pt idx="0">
                  <c:v>230</c:v>
                </c:pt>
                <c:pt idx="1">
                  <c:v>100</c:v>
                </c:pt>
                <c:pt idx="2">
                  <c:v>70</c:v>
                </c:pt>
                <c:pt idx="3">
                  <c:v>60</c:v>
                </c:pt>
                <c:pt idx="4">
                  <c:v>45</c:v>
                </c:pt>
                <c:pt idx="5">
                  <c:v>40</c:v>
                </c:pt>
                <c:pt idx="6">
                  <c:v>35</c:v>
                </c:pt>
                <c:pt idx="7">
                  <c:v>30</c:v>
                </c:pt>
                <c:pt idx="8">
                  <c:v>26</c:v>
                </c:pt>
                <c:pt idx="9">
                  <c:v>24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56-4C1B-85D4-6BF40C95E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26624"/>
        <c:axId val="628120192"/>
      </c:scatterChart>
      <c:valAx>
        <c:axId val="7259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0192"/>
        <c:crosses val="autoZero"/>
        <c:crossBetween val="midCat"/>
      </c:valAx>
      <c:valAx>
        <c:axId val="628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Calibration Curve (F vs 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5"/>
            <c:backward val="0.2"/>
            <c:dispRSqr val="1"/>
            <c:dispEq val="1"/>
            <c:trendlineLbl>
              <c:layout>
                <c:manualLayout>
                  <c:x val="-0.24651071741032371"/>
                  <c:y val="-0.2445913531641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'Testing &amp; Final Calibration'!$A$2:$A$16</c:f>
              <c:numCache>
                <c:formatCode>General</c:formatCode>
                <c:ptCount val="1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20</c:v>
                </c:pt>
                <c:pt idx="14">
                  <c:v>22</c:v>
                </c:pt>
              </c:numCache>
            </c:numRef>
          </c:xVal>
          <c:yVal>
            <c:numRef>
              <c:f>'Testing &amp; Final Calibration'!$H$2:$H$16</c:f>
              <c:numCache>
                <c:formatCode>General</c:formatCode>
                <c:ptCount val="15"/>
                <c:pt idx="0">
                  <c:v>0</c:v>
                </c:pt>
                <c:pt idx="1">
                  <c:v>49.500000000000007</c:v>
                </c:pt>
                <c:pt idx="2">
                  <c:v>92.399999999999991</c:v>
                </c:pt>
                <c:pt idx="3">
                  <c:v>115.5</c:v>
                </c:pt>
                <c:pt idx="4">
                  <c:v>125.99999999999999</c:v>
                </c:pt>
                <c:pt idx="5">
                  <c:v>145.89473684210526</c:v>
                </c:pt>
                <c:pt idx="6">
                  <c:v>154</c:v>
                </c:pt>
                <c:pt idx="7">
                  <c:v>163.05882352941177</c:v>
                </c:pt>
                <c:pt idx="8">
                  <c:v>173.25</c:v>
                </c:pt>
                <c:pt idx="9">
                  <c:v>182.36842105263159</c:v>
                </c:pt>
                <c:pt idx="10">
                  <c:v>187.29729729729729</c:v>
                </c:pt>
                <c:pt idx="11">
                  <c:v>198.00000000000003</c:v>
                </c:pt>
                <c:pt idx="12">
                  <c:v>203.82352941176472</c:v>
                </c:pt>
                <c:pt idx="13">
                  <c:v>206.86567164179107</c:v>
                </c:pt>
                <c:pt idx="14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6F-442A-8EDB-19544957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26624"/>
        <c:axId val="628120192"/>
      </c:scatterChart>
      <c:valAx>
        <c:axId val="7259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0192"/>
        <c:crosses val="autoZero"/>
        <c:crossBetween val="midCat"/>
      </c:valAx>
      <c:valAx>
        <c:axId val="628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Sensor Calibration Curve (PSI vs ADC)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0.5"/>
            <c:backward val="0.2"/>
            <c:dispRSqr val="1"/>
            <c:dispEq val="1"/>
            <c:trendlineLbl>
              <c:layout>
                <c:manualLayout>
                  <c:x val="-0.24651071741032371"/>
                  <c:y val="-0.24459135316418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'Testing &amp; Final Calibration'!$H$2:$H$16</c:f>
              <c:numCache>
                <c:formatCode>General</c:formatCode>
                <c:ptCount val="15"/>
                <c:pt idx="0">
                  <c:v>0</c:v>
                </c:pt>
                <c:pt idx="1">
                  <c:v>49.500000000000007</c:v>
                </c:pt>
                <c:pt idx="2">
                  <c:v>92.399999999999991</c:v>
                </c:pt>
                <c:pt idx="3">
                  <c:v>115.5</c:v>
                </c:pt>
                <c:pt idx="4">
                  <c:v>125.99999999999999</c:v>
                </c:pt>
                <c:pt idx="5">
                  <c:v>145.89473684210526</c:v>
                </c:pt>
                <c:pt idx="6">
                  <c:v>154</c:v>
                </c:pt>
                <c:pt idx="7">
                  <c:v>163.05882352941177</c:v>
                </c:pt>
                <c:pt idx="8">
                  <c:v>173.25</c:v>
                </c:pt>
                <c:pt idx="9">
                  <c:v>182.36842105263159</c:v>
                </c:pt>
                <c:pt idx="10">
                  <c:v>187.29729729729729</c:v>
                </c:pt>
                <c:pt idx="11">
                  <c:v>198.00000000000003</c:v>
                </c:pt>
                <c:pt idx="12">
                  <c:v>203.82352941176472</c:v>
                </c:pt>
                <c:pt idx="13">
                  <c:v>206.86567164179107</c:v>
                </c:pt>
                <c:pt idx="14">
                  <c:v>210</c:v>
                </c:pt>
              </c:numCache>
            </c:numRef>
          </c:xVal>
          <c:yVal>
            <c:numRef>
              <c:f>'Testing &amp; Final Calibration'!$G$2:$G$16</c:f>
              <c:numCache>
                <c:formatCode>0</c:formatCode>
                <c:ptCount val="15"/>
                <c:pt idx="0">
                  <c:v>0</c:v>
                </c:pt>
                <c:pt idx="1">
                  <c:v>23.570430179836265</c:v>
                </c:pt>
                <c:pt idx="2">
                  <c:v>84.230266644611021</c:v>
                </c:pt>
                <c:pt idx="3">
                  <c:v>145.31864019747567</c:v>
                </c:pt>
                <c:pt idx="4">
                  <c:v>183.94434764662685</c:v>
                </c:pt>
                <c:pt idx="5">
                  <c:v>285.57768628085222</c:v>
                </c:pt>
                <c:pt idx="6">
                  <c:v>341.93151994705465</c:v>
                </c:pt>
                <c:pt idx="7">
                  <c:v>419.38398165600501</c:v>
                </c:pt>
                <c:pt idx="8">
                  <c:v>530.85628116480802</c:v>
                </c:pt>
                <c:pt idx="9">
                  <c:v>660.70005156882019</c:v>
                </c:pt>
                <c:pt idx="10">
                  <c:v>746.71935495415573</c:v>
                </c:pt>
                <c:pt idx="11">
                  <c:v>986.80115705883486</c:v>
                </c:pt>
                <c:pt idx="12">
                  <c:v>1159.2983878939476</c:v>
                </c:pt>
                <c:pt idx="13">
                  <c:v>1265.1784385918927</c:v>
                </c:pt>
                <c:pt idx="14">
                  <c:v>1388.0659410305132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79-4B3E-A7D0-75987BA1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926624"/>
        <c:axId val="628120192"/>
      </c:scatterChart>
      <c:valAx>
        <c:axId val="7259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20192"/>
        <c:crosses val="autoZero"/>
        <c:crossBetween val="midCat"/>
      </c:valAx>
      <c:valAx>
        <c:axId val="628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9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53340</xdr:rowOff>
    </xdr:from>
    <xdr:to>
      <xdr:col>10</xdr:col>
      <xdr:colOff>114300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203D96-E702-4D84-8DEA-F7C1638D5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25</xdr:row>
      <xdr:rowOff>83820</xdr:rowOff>
    </xdr:from>
    <xdr:to>
      <xdr:col>13</xdr:col>
      <xdr:colOff>518160</xdr:colOff>
      <xdr:row>35</xdr:row>
      <xdr:rowOff>160020</xdr:rowOff>
    </xdr:to>
    <xdr:pic>
      <xdr:nvPicPr>
        <xdr:cNvPr id="2" name="Picture 1" descr="https://lh3.googleusercontent.com/7D2E5iSnr1sRyKF6z9CWzpAKgVAJ6fK7BmQShe83u4jLys_sqbBm9iMgmhtGAzxvwQyR-qrgZe-DAz2SY04FZQShoEoeye6nDMhAtPBYw_kSK8sUh8bXUYV4Qm2hPUGe5XGsSJ3a">
          <a:extLst>
            <a:ext uri="{FF2B5EF4-FFF2-40B4-BE49-F238E27FC236}">
              <a16:creationId xmlns:a16="http://schemas.microsoft.com/office/drawing/2014/main" id="{C0F8DE2E-5090-4AFA-B37B-8F9F7FD58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8080" y="3924300"/>
          <a:ext cx="5737860" cy="190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586740</xdr:colOff>
      <xdr:row>10</xdr:row>
      <xdr:rowOff>85304</xdr:rowOff>
    </xdr:from>
    <xdr:to>
      <xdr:col>15</xdr:col>
      <xdr:colOff>175260</xdr:colOff>
      <xdr:row>23</xdr:row>
      <xdr:rowOff>24443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8A3E6-4968-44AD-89E7-05619C9E5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95700" y="1914104"/>
          <a:ext cx="6606540" cy="23165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17</xdr:row>
      <xdr:rowOff>60960</xdr:rowOff>
    </xdr:from>
    <xdr:to>
      <xdr:col>4</xdr:col>
      <xdr:colOff>1165860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A6BFEF-913C-48D3-8268-92049B29F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867591</xdr:colOff>
      <xdr:row>18</xdr:row>
      <xdr:rowOff>7620</xdr:rowOff>
    </xdr:from>
    <xdr:to>
      <xdr:col>8</xdr:col>
      <xdr:colOff>37011</xdr:colOff>
      <xdr:row>34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95CDC6-B0ED-4C54-A273-6FBECA83E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21773</xdr:colOff>
      <xdr:row>10</xdr:row>
      <xdr:rowOff>43544</xdr:rowOff>
    </xdr:from>
    <xdr:to>
      <xdr:col>15</xdr:col>
      <xdr:colOff>432164</xdr:colOff>
      <xdr:row>26</xdr:row>
      <xdr:rowOff>43543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2CC4E7-3D3D-4342-B00A-724AC5F087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457201</xdr:colOff>
      <xdr:row>27</xdr:row>
      <xdr:rowOff>108858</xdr:rowOff>
    </xdr:from>
    <xdr:to>
      <xdr:col>17</xdr:col>
      <xdr:colOff>152401</xdr:colOff>
      <xdr:row>46</xdr:row>
      <xdr:rowOff>126547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C130ED-9542-4E87-B758-6A4CD37E2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2972" y="5105401"/>
          <a:ext cx="5715000" cy="35337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son leblanc" id="{6A9EE71C-D833-42E3-A34D-60E23BE90043}" userId="33f0c2d83078e6e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19-11-30T07:42:23.97" personId="{6A9EE71C-D833-42E3-A34D-60E23BE90043}" id="{E9FA19CC-2026-4B7F-B8FC-10CDDFDB7253}">
    <text>Measured Vcc on MSP430 was 3.6V</text>
  </threadedComment>
  <threadedComment ref="J4" dT="2019-11-30T07:49:35.20" personId="{6A9EE71C-D833-42E3-A34D-60E23BE90043}" id="{6F6BD617-27CB-40F8-A815-561C9B6C09C6}">
    <text>will go with this setup</text>
  </threadedComment>
  <threadedComment ref="A8" dT="2019-11-30T07:42:23.97" personId="{6A9EE71C-D833-42E3-A34D-60E23BE90043}" id="{7042F8DC-0326-4603-8611-8624BE808993}">
    <text>Measured Vcc on MSP430 was 3.6V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9977-9587-4C45-82F9-1A3FA6065B77}">
  <dimension ref="A1:T20"/>
  <sheetViews>
    <sheetView workbookViewId="0">
      <selection activeCell="L14" sqref="A1:XFD1048576"/>
    </sheetView>
  </sheetViews>
  <sheetFormatPr defaultRowHeight="14.4" x14ac:dyDescent="0.3"/>
  <cols>
    <col min="1" max="1" width="8.88671875" style="1"/>
    <col min="2" max="2" width="16.33203125" style="1" bestFit="1" customWidth="1"/>
  </cols>
  <sheetData>
    <row r="1" spans="1:20" x14ac:dyDescent="0.3">
      <c r="A1" s="13" t="s">
        <v>2</v>
      </c>
      <c r="B1" s="13"/>
    </row>
    <row r="2" spans="1:20" x14ac:dyDescent="0.3">
      <c r="A2" s="1" t="s">
        <v>1</v>
      </c>
      <c r="B2" s="1" t="s">
        <v>0</v>
      </c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>
        <v>0.5</v>
      </c>
      <c r="B3" s="1">
        <v>230</v>
      </c>
      <c r="L3" s="1"/>
      <c r="M3" s="1"/>
      <c r="N3" s="1"/>
      <c r="O3" s="1"/>
      <c r="P3" s="3"/>
      <c r="Q3" s="3"/>
      <c r="R3" s="2"/>
      <c r="S3" s="4"/>
      <c r="T3" s="4"/>
    </row>
    <row r="4" spans="1:20" x14ac:dyDescent="0.3">
      <c r="A4" s="1">
        <v>1</v>
      </c>
      <c r="B4" s="1">
        <v>100</v>
      </c>
      <c r="L4" s="6"/>
      <c r="M4" s="6"/>
      <c r="N4" s="6"/>
      <c r="O4" s="6"/>
      <c r="P4" s="6"/>
      <c r="Q4" s="3"/>
      <c r="R4" s="2"/>
      <c r="S4" s="4"/>
      <c r="T4" s="4"/>
    </row>
    <row r="5" spans="1:20" x14ac:dyDescent="0.3">
      <c r="A5" s="1">
        <v>2</v>
      </c>
      <c r="B5" s="1">
        <v>70</v>
      </c>
      <c r="L5" s="6"/>
      <c r="M5" s="6"/>
      <c r="N5" s="6"/>
      <c r="O5" s="6"/>
      <c r="P5" s="6"/>
    </row>
    <row r="6" spans="1:20" x14ac:dyDescent="0.3">
      <c r="A6" s="1">
        <v>3</v>
      </c>
      <c r="B6" s="1">
        <v>60</v>
      </c>
      <c r="L6" s="6"/>
      <c r="M6" s="6"/>
      <c r="N6" s="6"/>
      <c r="O6" s="6"/>
      <c r="P6" s="6"/>
    </row>
    <row r="7" spans="1:20" x14ac:dyDescent="0.3">
      <c r="A7" s="1">
        <v>4</v>
      </c>
      <c r="B7" s="1">
        <v>45</v>
      </c>
      <c r="L7" s="6"/>
      <c r="M7" s="6"/>
      <c r="N7" s="6"/>
      <c r="O7" s="6"/>
      <c r="P7" s="6"/>
    </row>
    <row r="8" spans="1:20" x14ac:dyDescent="0.3">
      <c r="A8" s="1">
        <v>5</v>
      </c>
      <c r="B8" s="1">
        <v>40</v>
      </c>
      <c r="L8" s="6"/>
      <c r="M8" s="6"/>
      <c r="N8" s="6"/>
      <c r="O8" s="6"/>
      <c r="P8" s="6"/>
    </row>
    <row r="9" spans="1:20" x14ac:dyDescent="0.3">
      <c r="A9" s="1">
        <v>7</v>
      </c>
      <c r="B9" s="1">
        <v>35</v>
      </c>
      <c r="L9" s="6"/>
      <c r="M9" s="6"/>
      <c r="N9" s="6"/>
      <c r="O9" s="6"/>
      <c r="P9" s="6"/>
    </row>
    <row r="10" spans="1:20" x14ac:dyDescent="0.3">
      <c r="A10" s="1">
        <v>9</v>
      </c>
      <c r="B10" s="1">
        <v>30</v>
      </c>
      <c r="L10" s="6"/>
      <c r="M10" s="6"/>
      <c r="N10" s="6"/>
      <c r="O10" s="6"/>
      <c r="P10" s="6"/>
    </row>
    <row r="11" spans="1:20" x14ac:dyDescent="0.3">
      <c r="A11" s="1">
        <v>11</v>
      </c>
      <c r="B11" s="1">
        <v>26</v>
      </c>
      <c r="L11" s="6"/>
      <c r="M11" s="6"/>
      <c r="N11" s="6"/>
      <c r="O11" s="6"/>
      <c r="P11" s="6"/>
    </row>
    <row r="12" spans="1:20" x14ac:dyDescent="0.3">
      <c r="A12" s="1">
        <v>13</v>
      </c>
      <c r="B12" s="1">
        <v>24</v>
      </c>
      <c r="L12" s="6"/>
      <c r="M12" s="6"/>
      <c r="N12" s="6"/>
      <c r="O12" s="6"/>
      <c r="P12" s="6"/>
    </row>
    <row r="13" spans="1:20" x14ac:dyDescent="0.3">
      <c r="A13" s="1">
        <v>15</v>
      </c>
      <c r="B13" s="1">
        <v>20</v>
      </c>
    </row>
    <row r="14" spans="1:20" x14ac:dyDescent="0.3">
      <c r="A14" s="1">
        <v>17</v>
      </c>
      <c r="B14" s="1">
        <v>18</v>
      </c>
    </row>
    <row r="15" spans="1:20" x14ac:dyDescent="0.3">
      <c r="A15" s="1">
        <v>20</v>
      </c>
      <c r="B15" s="1">
        <v>17</v>
      </c>
    </row>
    <row r="16" spans="1:20" x14ac:dyDescent="0.3">
      <c r="A16" s="1">
        <v>22</v>
      </c>
      <c r="B16" s="1">
        <v>16</v>
      </c>
    </row>
    <row r="20" spans="2:2" x14ac:dyDescent="0.3">
      <c r="B20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F1EF-C414-4FBB-BEC4-AF3CE27A78F8}">
  <dimension ref="A1:I10"/>
  <sheetViews>
    <sheetView workbookViewId="0">
      <selection activeCell="F2" sqref="F2"/>
    </sheetView>
  </sheetViews>
  <sheetFormatPr defaultRowHeight="14.4" x14ac:dyDescent="0.3"/>
  <sheetData>
    <row r="1" spans="1:9" x14ac:dyDescent="0.3">
      <c r="A1" s="5" t="s">
        <v>3</v>
      </c>
      <c r="B1" s="5" t="s">
        <v>6</v>
      </c>
      <c r="C1" s="5" t="s">
        <v>7</v>
      </c>
      <c r="D1" s="5" t="s">
        <v>4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</row>
    <row r="2" spans="1:9" x14ac:dyDescent="0.3">
      <c r="A2" s="5">
        <v>5</v>
      </c>
      <c r="B2" s="5">
        <v>1</v>
      </c>
      <c r="C2" s="5">
        <v>20</v>
      </c>
      <c r="D2" s="5">
        <v>4.7</v>
      </c>
      <c r="E2" s="3">
        <f>(D2/(((C2^-0.654)*119.78)+(D2)))*A2</f>
        <v>1.088700140040662</v>
      </c>
      <c r="F2" s="3">
        <f>(D2/(((B2^-0.654)*119.78)+(D2)))*A2</f>
        <v>0.18878534704370178</v>
      </c>
      <c r="G2" s="2">
        <f>E2-F2</f>
        <v>0.8999147929969602</v>
      </c>
      <c r="H2" s="4">
        <f>1023*(F2/A2)</f>
        <v>38.625482005141386</v>
      </c>
      <c r="I2" s="4">
        <f>1023*(E2/A2)</f>
        <v>222.74804865231943</v>
      </c>
    </row>
    <row r="3" spans="1:9" x14ac:dyDescent="0.3">
      <c r="A3" s="5">
        <v>3.3</v>
      </c>
      <c r="B3" s="5">
        <v>1</v>
      </c>
      <c r="C3" s="5">
        <v>20</v>
      </c>
      <c r="D3" s="5">
        <v>4.7</v>
      </c>
      <c r="E3" s="3">
        <f>(D3/(((C3^-0.654)*119.78)+(D3)))*A3</f>
        <v>0.71854209242683698</v>
      </c>
      <c r="F3" s="3">
        <f>(D3/(((B3^-0.654)*119.78)+(D3)))*A3</f>
        <v>0.12459832904884317</v>
      </c>
      <c r="G3" s="2">
        <f>E3-F3</f>
        <v>0.59394376337799382</v>
      </c>
      <c r="H3" s="4">
        <f>1023*(F3/A3)</f>
        <v>38.625482005141386</v>
      </c>
      <c r="I3" s="4">
        <f t="shared" ref="I3" si="0">1023*(E3/A3)</f>
        <v>222.74804865231948</v>
      </c>
    </row>
    <row r="6" spans="1:9" x14ac:dyDescent="0.3">
      <c r="A6" s="14" t="s">
        <v>5</v>
      </c>
      <c r="B6" s="14"/>
      <c r="C6" s="14"/>
      <c r="D6" s="14"/>
      <c r="E6" s="14"/>
    </row>
    <row r="7" spans="1:9" x14ac:dyDescent="0.3">
      <c r="A7" s="14"/>
      <c r="B7" s="14"/>
      <c r="C7" s="14"/>
      <c r="D7" s="14"/>
      <c r="E7" s="14"/>
    </row>
    <row r="9" spans="1:9" x14ac:dyDescent="0.3">
      <c r="A9" s="14" t="s">
        <v>13</v>
      </c>
      <c r="B9" s="14"/>
      <c r="C9" s="14"/>
      <c r="D9" s="14"/>
      <c r="E9" s="14"/>
    </row>
    <row r="10" spans="1:9" x14ac:dyDescent="0.3">
      <c r="A10" s="14"/>
      <c r="B10" s="14"/>
      <c r="C10" s="14"/>
      <c r="D10" s="14"/>
      <c r="E10" s="14"/>
    </row>
  </sheetData>
  <mergeCells count="2">
    <mergeCell ref="A6:E7"/>
    <mergeCell ref="A9:E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F4A7-B3B1-46FF-8C39-09F79D339A4A}">
  <dimension ref="A1:K26"/>
  <sheetViews>
    <sheetView workbookViewId="0">
      <selection activeCell="E2" sqref="E2"/>
    </sheetView>
  </sheetViews>
  <sheetFormatPr defaultRowHeight="14.4" x14ac:dyDescent="0.3"/>
  <cols>
    <col min="1" max="1" width="8.88671875" style="7"/>
    <col min="2" max="2" width="12.109375" style="7" bestFit="1" customWidth="1"/>
    <col min="3" max="3" width="12.5546875" style="7" bestFit="1" customWidth="1"/>
    <col min="4" max="4" width="8.6640625" style="7" bestFit="1" customWidth="1"/>
    <col min="5" max="5" width="10" style="7" bestFit="1" customWidth="1"/>
    <col min="6" max="6" width="9.5546875" style="7" bestFit="1" customWidth="1"/>
    <col min="7" max="7" width="6.44140625" style="7" bestFit="1" customWidth="1"/>
    <col min="8" max="8" width="8.109375" style="7" bestFit="1" customWidth="1"/>
    <col min="9" max="9" width="8.33203125" style="7" bestFit="1" customWidth="1"/>
    <col min="10" max="10" width="8.88671875" style="7"/>
    <col min="11" max="11" width="25.44140625" bestFit="1" customWidth="1"/>
  </cols>
  <sheetData>
    <row r="1" spans="1:11" x14ac:dyDescent="0.3">
      <c r="A1" s="7" t="s">
        <v>3</v>
      </c>
      <c r="B1" s="7" t="s">
        <v>23</v>
      </c>
      <c r="C1" s="7" t="s">
        <v>24</v>
      </c>
      <c r="D1" s="7" t="s">
        <v>4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20</v>
      </c>
    </row>
    <row r="2" spans="1:11" x14ac:dyDescent="0.3">
      <c r="A2" s="7">
        <v>5</v>
      </c>
      <c r="B2" s="7">
        <v>1E-3</v>
      </c>
      <c r="C2" s="7">
        <v>22</v>
      </c>
      <c r="D2" s="7">
        <v>50</v>
      </c>
      <c r="E2" s="8">
        <f>(D2/(((C2^-0.654)*119.78)+(D2)))*A2</f>
        <v>3.7956430253171618</v>
      </c>
      <c r="F2" s="8">
        <f>(D2/(((B2^-0.654)*119.78)+(D2)))*A2</f>
        <v>2.2676787949468334E-2</v>
      </c>
      <c r="G2" s="8">
        <f>E2-F2</f>
        <v>3.7729662373676933</v>
      </c>
      <c r="H2" s="9">
        <f>1023*((F2-$C$11)/($C$13-$C$11))</f>
        <v>9.2793416289224435</v>
      </c>
      <c r="I2" s="9">
        <f>1023*((E2-$C$11)/($C$13-$C$11))</f>
        <v>1553.1771259597826</v>
      </c>
      <c r="J2" s="9">
        <f>I2-H2</f>
        <v>1543.8977843308603</v>
      </c>
      <c r="K2" s="16" t="s">
        <v>22</v>
      </c>
    </row>
    <row r="3" spans="1:11" x14ac:dyDescent="0.3">
      <c r="A3" s="7">
        <v>3.3</v>
      </c>
      <c r="B3" s="10">
        <v>1E-3</v>
      </c>
      <c r="C3" s="7">
        <v>22</v>
      </c>
      <c r="D3" s="7">
        <v>50</v>
      </c>
      <c r="E3" s="8">
        <f>(D3/(((C3^-0.654)*119.78)+(D3)))*A3</f>
        <v>2.5051243967093266</v>
      </c>
      <c r="F3" s="8">
        <f t="shared" ref="F3:F8" si="0">(D3/(((B3^-0.654)*119.78)+(D3)))*A3</f>
        <v>1.4966680046649101E-2</v>
      </c>
      <c r="G3" s="8">
        <f>E3-F3</f>
        <v>2.4901577166626776</v>
      </c>
      <c r="H3" s="9">
        <f>1023*((F3-$C$11)/($C$13-$C$11))</f>
        <v>6.1243654750888119</v>
      </c>
      <c r="I3" s="9">
        <f>1023*((E3-$C$11)/($C$13-$C$11))</f>
        <v>1025.0969031334564</v>
      </c>
      <c r="J3" s="9">
        <f t="shared" ref="J3:J4" si="1">I3-H3</f>
        <v>1018.9725376583676</v>
      </c>
      <c r="K3" s="16"/>
    </row>
    <row r="4" spans="1:11" x14ac:dyDescent="0.3">
      <c r="A4" s="7">
        <v>3.6</v>
      </c>
      <c r="B4" s="10">
        <v>1E-3</v>
      </c>
      <c r="C4" s="7">
        <v>22</v>
      </c>
      <c r="D4" s="7">
        <v>50</v>
      </c>
      <c r="E4" s="8">
        <f>(D4/(((C4^-0.654)*119.78)+(D4)))*A4</f>
        <v>2.7328629782283564</v>
      </c>
      <c r="F4" s="8">
        <f t="shared" si="0"/>
        <v>1.6327287323617202E-2</v>
      </c>
      <c r="G4" s="8">
        <f>E4-F4</f>
        <v>2.7165356909047391</v>
      </c>
      <c r="H4" s="9">
        <f>1023*((F4-$C$11)/($C$13-$C$11))</f>
        <v>6.6811259728241597</v>
      </c>
      <c r="I4" s="9">
        <f>1023*((E4-$C$11)/($C$13-$C$11))</f>
        <v>1118.2875306910435</v>
      </c>
      <c r="J4" s="11">
        <f t="shared" si="1"/>
        <v>1111.6064047182192</v>
      </c>
      <c r="K4" s="16"/>
    </row>
    <row r="5" spans="1:11" x14ac:dyDescent="0.3">
      <c r="E5" s="8"/>
      <c r="F5" s="8"/>
      <c r="G5" s="8"/>
      <c r="H5" s="9"/>
      <c r="I5" s="9"/>
      <c r="J5" s="9"/>
      <c r="K5" s="7"/>
    </row>
    <row r="6" spans="1:11" x14ac:dyDescent="0.3">
      <c r="A6" s="7">
        <v>5</v>
      </c>
      <c r="B6" s="7">
        <v>1E-3</v>
      </c>
      <c r="C6" s="7">
        <v>22</v>
      </c>
      <c r="D6" s="7">
        <v>40</v>
      </c>
      <c r="E6" s="8">
        <f>(D6/(((C6^-0.654)*119.78)+(D6)))*A6</f>
        <v>3.5800595413942609</v>
      </c>
      <c r="F6" s="8">
        <f t="shared" si="0"/>
        <v>1.8157900874284011E-2</v>
      </c>
      <c r="G6" s="8">
        <f>E6-F6</f>
        <v>3.5619016405199768</v>
      </c>
      <c r="H6" s="9">
        <f>1023*((F6-$B$11)/($B$13-$B$11))</f>
        <v>5.15987016510904</v>
      </c>
      <c r="I6" s="9">
        <f>1023*((E6-$B$11)/($B$13-$B$11))</f>
        <v>1017.3335863462024</v>
      </c>
      <c r="J6" s="9">
        <f>I6-H6</f>
        <v>1012.1737161810934</v>
      </c>
      <c r="K6" s="16" t="s">
        <v>21</v>
      </c>
    </row>
    <row r="7" spans="1:11" x14ac:dyDescent="0.3">
      <c r="A7" s="7">
        <v>3.3</v>
      </c>
      <c r="B7" s="10">
        <v>1E-3</v>
      </c>
      <c r="C7" s="7">
        <v>22</v>
      </c>
      <c r="D7" s="7">
        <v>50</v>
      </c>
      <c r="E7" s="8">
        <f t="shared" ref="E7:E8" si="2">(D7/(((C7^-0.654)*119.78)+(D7)))*A7</f>
        <v>2.5051243967093266</v>
      </c>
      <c r="F7" s="8">
        <f t="shared" si="0"/>
        <v>1.4966680046649101E-2</v>
      </c>
      <c r="G7" s="8">
        <f>E7-F7</f>
        <v>2.4901577166626776</v>
      </c>
      <c r="H7" s="9">
        <f>1023*((F7-$B$11)/($B$13-$B$11))</f>
        <v>4.2530315799227862</v>
      </c>
      <c r="I7" s="9">
        <f t="shared" ref="I7:I8" si="3">1023*((E7-$B$11)/($B$13-$B$11))</f>
        <v>711.8728493982336</v>
      </c>
      <c r="J7" s="9">
        <f t="shared" ref="J7:J8" si="4">I7-H7</f>
        <v>707.61981781831082</v>
      </c>
      <c r="K7" s="16"/>
    </row>
    <row r="8" spans="1:11" x14ac:dyDescent="0.3">
      <c r="A8" s="7">
        <v>3.6</v>
      </c>
      <c r="B8" s="10">
        <v>1E-3</v>
      </c>
      <c r="C8" s="7">
        <v>22</v>
      </c>
      <c r="D8" s="7">
        <v>50</v>
      </c>
      <c r="E8" s="8">
        <f t="shared" si="2"/>
        <v>2.7328629782283564</v>
      </c>
      <c r="F8" s="8">
        <f t="shared" si="0"/>
        <v>1.6327287323617202E-2</v>
      </c>
      <c r="G8" s="8">
        <f>E8-F8</f>
        <v>2.7165356909047391</v>
      </c>
      <c r="H8" s="9">
        <f t="shared" ref="H8" si="5">1023*((F8-$B$11)/($B$13-$B$11))</f>
        <v>4.6396708144612218</v>
      </c>
      <c r="I8" s="9">
        <f t="shared" si="3"/>
        <v>776.58856297989121</v>
      </c>
      <c r="J8" s="9">
        <f t="shared" si="4"/>
        <v>771.94889216543004</v>
      </c>
      <c r="K8" s="16"/>
    </row>
    <row r="9" spans="1:11" x14ac:dyDescent="0.3">
      <c r="E9" s="8"/>
      <c r="F9" s="8"/>
      <c r="G9" s="8"/>
      <c r="H9" s="9"/>
      <c r="I9" s="9"/>
      <c r="J9" s="9"/>
      <c r="K9" s="7"/>
    </row>
    <row r="10" spans="1:11" x14ac:dyDescent="0.3">
      <c r="A10" s="7" t="s">
        <v>14</v>
      </c>
      <c r="B10" s="7" t="s">
        <v>16</v>
      </c>
      <c r="C10" s="7" t="s">
        <v>16</v>
      </c>
    </row>
    <row r="11" spans="1:11" x14ac:dyDescent="0.3">
      <c r="B11" s="7">
        <v>0</v>
      </c>
      <c r="C11" s="7">
        <v>0</v>
      </c>
    </row>
    <row r="12" spans="1:11" x14ac:dyDescent="0.3">
      <c r="A12" s="7" t="s">
        <v>15</v>
      </c>
      <c r="B12" s="7" t="s">
        <v>17</v>
      </c>
      <c r="C12" s="7" t="s">
        <v>19</v>
      </c>
    </row>
    <row r="13" spans="1:11" x14ac:dyDescent="0.3">
      <c r="B13" s="7">
        <v>3.6</v>
      </c>
      <c r="C13" s="7">
        <v>2.5</v>
      </c>
    </row>
    <row r="14" spans="1:11" x14ac:dyDescent="0.3">
      <c r="B14" s="7" t="s">
        <v>18</v>
      </c>
    </row>
    <row r="22" spans="1:5" x14ac:dyDescent="0.3">
      <c r="A22" s="15" t="s">
        <v>5</v>
      </c>
      <c r="B22" s="15"/>
      <c r="C22" s="15"/>
      <c r="D22" s="15"/>
      <c r="E22" s="15"/>
    </row>
    <row r="23" spans="1:5" x14ac:dyDescent="0.3">
      <c r="A23" s="15"/>
      <c r="B23" s="15"/>
      <c r="C23" s="15"/>
      <c r="D23" s="15"/>
      <c r="E23" s="15"/>
    </row>
    <row r="25" spans="1:5" x14ac:dyDescent="0.3">
      <c r="A25" s="16" t="s">
        <v>25</v>
      </c>
      <c r="B25" s="16"/>
      <c r="C25" s="16"/>
      <c r="D25" s="16"/>
      <c r="E25" s="16"/>
    </row>
    <row r="26" spans="1:5" x14ac:dyDescent="0.3">
      <c r="A26" s="16"/>
      <c r="B26" s="16"/>
      <c r="C26" s="16"/>
      <c r="D26" s="16"/>
      <c r="E26" s="16"/>
    </row>
  </sheetData>
  <mergeCells count="4">
    <mergeCell ref="A22:E23"/>
    <mergeCell ref="K2:K4"/>
    <mergeCell ref="K6:K8"/>
    <mergeCell ref="A25:E26"/>
  </mergeCells>
  <conditionalFormatting sqref="E10:E24 E27:E1048576 E2:E5">
    <cfRule type="cellIs" dxfId="3" priority="3" operator="greaterThan">
      <formula>$C$13</formula>
    </cfRule>
  </conditionalFormatting>
  <conditionalFormatting sqref="E6:E9">
    <cfRule type="cellIs" dxfId="2" priority="2" operator="greaterThan">
      <formula>$B$13</formula>
    </cfRule>
  </conditionalFormatting>
  <conditionalFormatting sqref="I2:I1048576">
    <cfRule type="cellIs" dxfId="1" priority="1" operator="greaterThan">
      <formula>255</formula>
    </cfRule>
  </conditionalFormatting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72D-BE7C-4075-BAC1-BE110CF59298}">
  <dimension ref="A1:X20"/>
  <sheetViews>
    <sheetView tabSelected="1" topLeftCell="I2" zoomScale="130" zoomScaleNormal="130" workbookViewId="0">
      <selection activeCell="J22" sqref="J22"/>
    </sheetView>
  </sheetViews>
  <sheetFormatPr defaultRowHeight="14.4" x14ac:dyDescent="0.3"/>
  <cols>
    <col min="1" max="1" width="8.88671875" style="12"/>
    <col min="2" max="2" width="16.33203125" style="12" bestFit="1" customWidth="1"/>
    <col min="3" max="4" width="16.33203125" style="12" customWidth="1"/>
    <col min="5" max="5" width="20" style="12" bestFit="1" customWidth="1"/>
    <col min="6" max="7" width="20" style="12" customWidth="1"/>
    <col min="8" max="8" width="15.77734375" bestFit="1" customWidth="1"/>
    <col min="9" max="9" width="12.33203125" customWidth="1"/>
    <col min="11" max="11" width="13.109375" customWidth="1"/>
    <col min="18" max="18" width="21.21875" customWidth="1"/>
  </cols>
  <sheetData>
    <row r="1" spans="1:24" x14ac:dyDescent="0.3">
      <c r="A1" s="12" t="s">
        <v>1</v>
      </c>
      <c r="B1" s="12" t="s">
        <v>0</v>
      </c>
      <c r="D1" s="12" t="s">
        <v>26</v>
      </c>
      <c r="E1" s="12" t="s">
        <v>43</v>
      </c>
      <c r="F1" s="12" t="s">
        <v>44</v>
      </c>
      <c r="G1" s="12" t="s">
        <v>42</v>
      </c>
      <c r="H1" s="12" t="s">
        <v>27</v>
      </c>
      <c r="L1" t="s">
        <v>34</v>
      </c>
      <c r="P1" s="12"/>
      <c r="Q1" s="12"/>
      <c r="R1" s="12"/>
      <c r="S1" s="12"/>
      <c r="T1" s="12"/>
      <c r="U1" s="12"/>
      <c r="V1" s="12"/>
      <c r="W1" s="12"/>
      <c r="X1" s="12"/>
    </row>
    <row r="2" spans="1:24" x14ac:dyDescent="0.3">
      <c r="A2" s="12">
        <v>0</v>
      </c>
      <c r="B2" s="12">
        <v>1000</v>
      </c>
      <c r="D2" s="17">
        <v>0</v>
      </c>
      <c r="E2" s="17">
        <v>0</v>
      </c>
      <c r="F2" s="17">
        <f>E2*2.20462</f>
        <v>0</v>
      </c>
      <c r="G2" s="18">
        <f>(F2*$Q$2)/$R$6</f>
        <v>0</v>
      </c>
      <c r="H2">
        <f t="shared" ref="H2:H14" si="0">($H$16/$D$16)*D2</f>
        <v>0</v>
      </c>
      <c r="K2" t="s">
        <v>29</v>
      </c>
      <c r="L2">
        <v>60</v>
      </c>
      <c r="M2" t="s">
        <v>28</v>
      </c>
      <c r="N2">
        <f>L2/1000</f>
        <v>0.06</v>
      </c>
      <c r="O2" t="s">
        <v>37</v>
      </c>
      <c r="P2" s="12" t="s">
        <v>40</v>
      </c>
      <c r="Q2" s="12">
        <f>N2/N3</f>
        <v>3.5294117647058818</v>
      </c>
      <c r="R2" s="12" t="s">
        <v>41</v>
      </c>
      <c r="S2" s="12"/>
      <c r="T2" s="12"/>
      <c r="U2" s="12"/>
      <c r="V2" s="12"/>
      <c r="W2" s="12"/>
      <c r="X2" s="12"/>
    </row>
    <row r="3" spans="1:24" x14ac:dyDescent="0.3">
      <c r="A3" s="12">
        <v>0.5</v>
      </c>
      <c r="B3" s="12">
        <v>230</v>
      </c>
      <c r="D3" s="17">
        <f t="shared" ref="D3:D16" si="1">(50000/((B3*1000)+50000))*3.6</f>
        <v>0.6428571428571429</v>
      </c>
      <c r="E3" s="17">
        <f t="shared" ref="E3:E16" si="2">(5989*5989^(173/327))/(250*(2^(173/327))*(5^(19/327))*(B3^(500/327)))</f>
        <v>0.36876782039370126</v>
      </c>
      <c r="F3" s="17">
        <f t="shared" ref="F3:F16" si="3">E3*2.20462</f>
        <v>0.81299291219636161</v>
      </c>
      <c r="G3" s="18">
        <f t="shared" ref="G3:G16" si="4">(F3*$Q$2)/$R$6</f>
        <v>23.570430179836265</v>
      </c>
      <c r="H3">
        <f t="shared" si="0"/>
        <v>49.500000000000007</v>
      </c>
      <c r="K3" t="s">
        <v>30</v>
      </c>
      <c r="L3">
        <v>17</v>
      </c>
      <c r="M3" t="s">
        <v>28</v>
      </c>
      <c r="N3">
        <f>L3/1000</f>
        <v>1.7000000000000001E-2</v>
      </c>
      <c r="O3" t="s">
        <v>37</v>
      </c>
      <c r="P3" s="12"/>
      <c r="Q3" s="12"/>
      <c r="R3" s="12"/>
      <c r="S3" s="12"/>
      <c r="T3" s="3"/>
      <c r="U3" s="3"/>
      <c r="V3" s="2"/>
      <c r="W3" s="4"/>
      <c r="X3" s="4"/>
    </row>
    <row r="4" spans="1:24" x14ac:dyDescent="0.3">
      <c r="A4" s="12">
        <v>1</v>
      </c>
      <c r="B4" s="12">
        <v>100</v>
      </c>
      <c r="D4" s="17">
        <f t="shared" si="1"/>
        <v>1.2</v>
      </c>
      <c r="E4" s="17">
        <f t="shared" si="2"/>
        <v>1.3178126832952548</v>
      </c>
      <c r="F4" s="17">
        <f t="shared" si="3"/>
        <v>2.9052761978463844</v>
      </c>
      <c r="G4" s="18">
        <f t="shared" si="4"/>
        <v>84.230266644611021</v>
      </c>
      <c r="H4">
        <f t="shared" si="0"/>
        <v>92.399999999999991</v>
      </c>
      <c r="P4" s="6"/>
      <c r="Q4" s="6"/>
      <c r="R4" s="6"/>
      <c r="S4" s="6"/>
      <c r="T4" s="6"/>
      <c r="U4" s="3"/>
      <c r="V4" s="2"/>
      <c r="W4" s="4"/>
      <c r="X4" s="4"/>
    </row>
    <row r="5" spans="1:24" x14ac:dyDescent="0.3">
      <c r="A5" s="12">
        <v>2</v>
      </c>
      <c r="B5" s="12">
        <v>70</v>
      </c>
      <c r="D5" s="17">
        <f t="shared" si="1"/>
        <v>1.5</v>
      </c>
      <c r="E5" s="17">
        <f t="shared" si="2"/>
        <v>2.2735621623929081</v>
      </c>
      <c r="F5" s="17">
        <f t="shared" si="3"/>
        <v>5.0123406144546525</v>
      </c>
      <c r="G5" s="18">
        <f t="shared" si="4"/>
        <v>145.31864019747567</v>
      </c>
      <c r="H5">
        <f t="shared" si="0"/>
        <v>115.5</v>
      </c>
      <c r="L5" t="s">
        <v>33</v>
      </c>
      <c r="N5" t="s">
        <v>35</v>
      </c>
      <c r="P5" s="6"/>
      <c r="Q5" s="6"/>
      <c r="R5" s="6"/>
      <c r="S5" s="6"/>
      <c r="T5" s="6"/>
    </row>
    <row r="6" spans="1:24" x14ac:dyDescent="0.3">
      <c r="A6" s="12">
        <v>3</v>
      </c>
      <c r="B6" s="12">
        <v>60</v>
      </c>
      <c r="D6" s="17">
        <f t="shared" si="1"/>
        <v>1.6363636363636362</v>
      </c>
      <c r="E6" s="17">
        <f t="shared" si="2"/>
        <v>2.877875186742096</v>
      </c>
      <c r="F6" s="17">
        <f t="shared" si="3"/>
        <v>6.3446211941953594</v>
      </c>
      <c r="G6" s="18">
        <f t="shared" si="4"/>
        <v>183.94434764662685</v>
      </c>
      <c r="H6">
        <f t="shared" si="0"/>
        <v>125.99999999999999</v>
      </c>
      <c r="K6" t="s">
        <v>31</v>
      </c>
      <c r="L6">
        <v>10</v>
      </c>
      <c r="M6" t="s">
        <v>28</v>
      </c>
      <c r="N6">
        <f>PI()*(L6/2)^2</f>
        <v>78.539816339744831</v>
      </c>
      <c r="O6" t="s">
        <v>36</v>
      </c>
      <c r="P6" s="6">
        <f>N6/1000000</f>
        <v>7.8539816339744827E-5</v>
      </c>
      <c r="Q6" s="6" t="s">
        <v>38</v>
      </c>
      <c r="R6" s="6">
        <f>N6*0.00155</f>
        <v>0.12173671532660449</v>
      </c>
      <c r="S6" s="6" t="s">
        <v>39</v>
      </c>
      <c r="T6" s="6"/>
    </row>
    <row r="7" spans="1:24" x14ac:dyDescent="0.3">
      <c r="A7" s="12">
        <v>4</v>
      </c>
      <c r="B7" s="12">
        <v>45</v>
      </c>
      <c r="D7" s="17">
        <f t="shared" si="1"/>
        <v>1.8947368421052631</v>
      </c>
      <c r="E7" s="17">
        <f t="shared" si="2"/>
        <v>4.4679651631032566</v>
      </c>
      <c r="F7" s="17">
        <f t="shared" si="3"/>
        <v>9.8501653578807016</v>
      </c>
      <c r="G7" s="18">
        <f t="shared" si="4"/>
        <v>285.57768628085222</v>
      </c>
      <c r="H7">
        <f t="shared" si="0"/>
        <v>145.89473684210526</v>
      </c>
      <c r="K7" t="s">
        <v>32</v>
      </c>
      <c r="L7">
        <v>22</v>
      </c>
      <c r="M7" t="s">
        <v>28</v>
      </c>
      <c r="N7">
        <f>PI()*(L7/2)^2</f>
        <v>380.13271108436498</v>
      </c>
      <c r="O7" t="s">
        <v>36</v>
      </c>
      <c r="P7" s="6">
        <f>N7/1000000</f>
        <v>3.8013271108436499E-4</v>
      </c>
      <c r="Q7" s="6" t="s">
        <v>38</v>
      </c>
      <c r="R7" s="6">
        <f>N7*0.00155</f>
        <v>0.58920570218076573</v>
      </c>
      <c r="S7" s="6" t="s">
        <v>39</v>
      </c>
      <c r="T7" s="6"/>
    </row>
    <row r="8" spans="1:24" x14ac:dyDescent="0.3">
      <c r="A8" s="12">
        <v>5</v>
      </c>
      <c r="B8" s="12">
        <v>40</v>
      </c>
      <c r="D8" s="17">
        <f t="shared" si="1"/>
        <v>2</v>
      </c>
      <c r="E8" s="17">
        <f t="shared" si="2"/>
        <v>5.3496410703038189</v>
      </c>
      <c r="F8" s="17">
        <f t="shared" si="3"/>
        <v>11.793925696413204</v>
      </c>
      <c r="G8" s="18">
        <f t="shared" si="4"/>
        <v>341.93151994705465</v>
      </c>
      <c r="H8">
        <f t="shared" si="0"/>
        <v>154</v>
      </c>
      <c r="P8" s="6"/>
      <c r="Q8" s="6"/>
      <c r="R8" s="6"/>
      <c r="S8" s="6"/>
      <c r="T8" s="6"/>
    </row>
    <row r="9" spans="1:24" x14ac:dyDescent="0.3">
      <c r="A9" s="12">
        <v>7</v>
      </c>
      <c r="B9" s="12">
        <v>35</v>
      </c>
      <c r="D9" s="17">
        <f t="shared" si="1"/>
        <v>2.1176470588235294</v>
      </c>
      <c r="E9" s="17">
        <f t="shared" si="2"/>
        <v>6.5614125683467384</v>
      </c>
      <c r="F9" s="17">
        <f t="shared" si="3"/>
        <v>14.465421376428585</v>
      </c>
      <c r="G9" s="18">
        <f t="shared" si="4"/>
        <v>419.38398165600501</v>
      </c>
      <c r="H9">
        <f t="shared" si="0"/>
        <v>163.05882352941177</v>
      </c>
      <c r="P9" s="6"/>
      <c r="Q9" s="6"/>
      <c r="R9" s="6"/>
      <c r="S9" s="6"/>
      <c r="T9" s="6"/>
    </row>
    <row r="10" spans="1:24" x14ac:dyDescent="0.3">
      <c r="A10" s="12">
        <v>9</v>
      </c>
      <c r="B10" s="12">
        <v>30</v>
      </c>
      <c r="D10" s="17">
        <f t="shared" si="1"/>
        <v>2.25</v>
      </c>
      <c r="E10" s="17">
        <f t="shared" si="2"/>
        <v>8.3054366107802604</v>
      </c>
      <c r="F10" s="17">
        <f t="shared" si="3"/>
        <v>18.310331660858377</v>
      </c>
      <c r="G10" s="18">
        <f t="shared" si="4"/>
        <v>530.85628116480802</v>
      </c>
      <c r="H10">
        <f t="shared" si="0"/>
        <v>173.25</v>
      </c>
      <c r="P10" s="6"/>
      <c r="Q10" s="6"/>
      <c r="R10" s="6"/>
      <c r="S10" s="6"/>
      <c r="T10" s="6"/>
    </row>
    <row r="11" spans="1:24" x14ac:dyDescent="0.3">
      <c r="A11" s="12">
        <v>11</v>
      </c>
      <c r="B11" s="12">
        <v>26</v>
      </c>
      <c r="D11" s="17">
        <f t="shared" si="1"/>
        <v>2.3684210526315792</v>
      </c>
      <c r="E11" s="17">
        <f t="shared" si="2"/>
        <v>10.336888893927364</v>
      </c>
      <c r="F11" s="17">
        <f t="shared" si="3"/>
        <v>22.788911993330142</v>
      </c>
      <c r="G11" s="18">
        <f t="shared" si="4"/>
        <v>660.70005156882019</v>
      </c>
      <c r="H11">
        <f t="shared" si="0"/>
        <v>182.36842105263159</v>
      </c>
      <c r="P11" s="6"/>
      <c r="Q11" s="6"/>
      <c r="R11" s="6"/>
      <c r="S11" s="6"/>
      <c r="T11" s="6"/>
    </row>
    <row r="12" spans="1:24" x14ac:dyDescent="0.3">
      <c r="A12" s="12">
        <v>13</v>
      </c>
      <c r="B12" s="12">
        <v>24</v>
      </c>
      <c r="D12" s="17">
        <f t="shared" si="1"/>
        <v>2.4324324324324325</v>
      </c>
      <c r="E12" s="17">
        <f t="shared" si="2"/>
        <v>11.682691697659436</v>
      </c>
      <c r="F12" s="17">
        <f t="shared" si="3"/>
        <v>25.755895770493943</v>
      </c>
      <c r="G12" s="18">
        <f t="shared" si="4"/>
        <v>746.71935495415573</v>
      </c>
      <c r="H12">
        <f t="shared" si="0"/>
        <v>187.29729729729729</v>
      </c>
      <c r="P12" s="6"/>
      <c r="Q12" s="6"/>
      <c r="R12" s="6"/>
      <c r="S12" s="6"/>
      <c r="T12" s="6"/>
    </row>
    <row r="13" spans="1:24" x14ac:dyDescent="0.3">
      <c r="A13" s="12">
        <v>15</v>
      </c>
      <c r="B13" s="12">
        <v>20</v>
      </c>
      <c r="D13" s="17">
        <f t="shared" si="1"/>
        <v>2.5714285714285716</v>
      </c>
      <c r="E13" s="17">
        <f t="shared" si="2"/>
        <v>15.43885746140832</v>
      </c>
      <c r="F13" s="17">
        <f t="shared" si="3"/>
        <v>34.036813936570006</v>
      </c>
      <c r="G13" s="18">
        <f t="shared" si="4"/>
        <v>986.80115705883486</v>
      </c>
      <c r="H13">
        <f t="shared" si="0"/>
        <v>198.00000000000003</v>
      </c>
    </row>
    <row r="14" spans="1:24" x14ac:dyDescent="0.3">
      <c r="A14" s="12">
        <v>17</v>
      </c>
      <c r="B14" s="12">
        <v>18</v>
      </c>
      <c r="D14" s="17">
        <f t="shared" si="1"/>
        <v>2.6470588235294121</v>
      </c>
      <c r="E14" s="17">
        <f t="shared" si="2"/>
        <v>18.137638406587303</v>
      </c>
      <c r="F14" s="17">
        <f t="shared" si="3"/>
        <v>39.986600383930494</v>
      </c>
      <c r="G14" s="18">
        <f t="shared" si="4"/>
        <v>1159.2983878939476</v>
      </c>
      <c r="H14">
        <f t="shared" si="0"/>
        <v>203.82352941176472</v>
      </c>
    </row>
    <row r="15" spans="1:24" x14ac:dyDescent="0.3">
      <c r="A15" s="12">
        <v>20</v>
      </c>
      <c r="B15" s="12">
        <v>17</v>
      </c>
      <c r="D15" s="17">
        <f t="shared" si="1"/>
        <v>2.6865671641791047</v>
      </c>
      <c r="E15" s="17">
        <f t="shared" si="2"/>
        <v>19.794169713871526</v>
      </c>
      <c r="F15" s="17">
        <f t="shared" si="3"/>
        <v>43.63862243459544</v>
      </c>
      <c r="G15" s="18">
        <f t="shared" si="4"/>
        <v>1265.1784385918927</v>
      </c>
      <c r="H15">
        <f>($H$16/$D$16)*D15</f>
        <v>206.86567164179107</v>
      </c>
    </row>
    <row r="16" spans="1:24" x14ac:dyDescent="0.3">
      <c r="A16" s="12">
        <v>22</v>
      </c>
      <c r="B16" s="12">
        <v>16</v>
      </c>
      <c r="D16" s="17">
        <f t="shared" si="1"/>
        <v>2.7272727272727275</v>
      </c>
      <c r="E16" s="17">
        <f t="shared" si="2"/>
        <v>21.716788693761121</v>
      </c>
      <c r="F16" s="17">
        <f t="shared" si="3"/>
        <v>47.87726669003964</v>
      </c>
      <c r="G16" s="18">
        <f t="shared" si="4"/>
        <v>1388.0659410305132</v>
      </c>
      <c r="H16">
        <v>210</v>
      </c>
    </row>
    <row r="20" spans="2:3" x14ac:dyDescent="0.3">
      <c r="B20"/>
      <c r="C20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Arduino</vt:lpstr>
      <vt:lpstr>MSP430</vt:lpstr>
      <vt:lpstr>Testing &amp; Final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JasonsRazer</dc:creator>
  <cp:lastModifiedBy>JasonsRazer</cp:lastModifiedBy>
  <dcterms:created xsi:type="dcterms:W3CDTF">2019-11-30T04:12:08Z</dcterms:created>
  <dcterms:modified xsi:type="dcterms:W3CDTF">2019-12-02T07:16:55Z</dcterms:modified>
</cp:coreProperties>
</file>