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vidado\Downloads\"/>
    </mc:Choice>
  </mc:AlternateContent>
  <xr:revisionPtr revIDLastSave="0" documentId="13_ncr:1_{6C796EE1-6E4F-4E94-BA6E-A196C1C4030E}" xr6:coauthVersionLast="47" xr6:coauthVersionMax="47" xr10:uidLastSave="{00000000-0000-0000-0000-000000000000}"/>
  <bookViews>
    <workbookView xWindow="-120" yWindow="-120" windowWidth="29040" windowHeight="15720" tabRatio="879" xr2:uid="{00000000-000D-0000-FFFF-FFFF00000000}"/>
  </bookViews>
  <sheets>
    <sheet name="Dados BP" sheetId="16" r:id="rId1"/>
    <sheet name="Dados DRE" sheetId="17" r:id="rId2"/>
    <sheet name="Dados DFC_DVA" sheetId="21" r:id="rId3"/>
    <sheet name="BP_AV" sheetId="1" r:id="rId4"/>
    <sheet name="BP_AH" sheetId="18" r:id="rId5"/>
    <sheet name="DRE_AV" sheetId="2" r:id="rId6"/>
    <sheet name="DRE_AH" sheetId="19" r:id="rId7"/>
    <sheet name="DFC_DVA_AV" sheetId="23" r:id="rId8"/>
    <sheet name="DFC_DVA_AH" sheetId="22" r:id="rId9"/>
    <sheet name="Indicadores" sheetId="3" r:id="rId10"/>
    <sheet name="TRI" sheetId="20" r:id="rId11"/>
    <sheet name="TRPL" sheetId="5" r:id="rId12"/>
    <sheet name="Gestão Financ" sheetId="24" r:id="rId13"/>
  </sheets>
  <calcPr calcId="181029"/>
</workbook>
</file>

<file path=xl/calcChain.xml><?xml version="1.0" encoding="utf-8"?>
<calcChain xmlns="http://schemas.openxmlformats.org/spreadsheetml/2006/main">
  <c r="G82" i="16" l="1"/>
  <c r="G81" i="16"/>
  <c r="G77" i="16"/>
  <c r="G76" i="16"/>
  <c r="G75" i="16"/>
  <c r="G74" i="16"/>
  <c r="G44" i="16"/>
  <c r="G39" i="16"/>
  <c r="G38" i="16"/>
  <c r="G35" i="16"/>
  <c r="G34" i="16"/>
  <c r="G32" i="16"/>
  <c r="G31" i="16"/>
  <c r="G30" i="16"/>
  <c r="G29" i="16"/>
  <c r="G28" i="16"/>
  <c r="G13" i="16"/>
  <c r="G17" i="16"/>
  <c r="G15" i="16"/>
  <c r="G11" i="16"/>
  <c r="G14" i="16"/>
  <c r="G12" i="16"/>
  <c r="G12" i="18" l="1"/>
  <c r="H12" i="18" s="1"/>
  <c r="G13" i="18"/>
  <c r="G30" i="17"/>
  <c r="G21" i="17"/>
  <c r="G20" i="17"/>
  <c r="G11" i="17"/>
  <c r="G10" i="19" s="1"/>
  <c r="E11" i="17"/>
  <c r="C11" i="17"/>
  <c r="E21" i="17"/>
  <c r="E20" i="19" s="1"/>
  <c r="E77" i="16"/>
  <c r="C77" i="16"/>
  <c r="E76" i="16"/>
  <c r="C76" i="16"/>
  <c r="C75" i="16"/>
  <c r="C74" i="16"/>
  <c r="E71" i="16"/>
  <c r="E70" i="16"/>
  <c r="G62" i="16"/>
  <c r="E62" i="16"/>
  <c r="E67" i="1" s="1"/>
  <c r="C62" i="16"/>
  <c r="E17" i="16"/>
  <c r="C17" i="16"/>
  <c r="E13" i="16"/>
  <c r="C13" i="16"/>
  <c r="E12" i="16"/>
  <c r="E58" i="16" s="1"/>
  <c r="C12" i="16"/>
  <c r="G26" i="21"/>
  <c r="G17" i="21"/>
  <c r="G15" i="21"/>
  <c r="G10" i="21"/>
  <c r="G9" i="21"/>
  <c r="E15" i="21"/>
  <c r="C15" i="21"/>
  <c r="G41" i="21"/>
  <c r="G46" i="21"/>
  <c r="E46" i="21"/>
  <c r="C46" i="21"/>
  <c r="E13" i="1"/>
  <c r="E34" i="24" s="1"/>
  <c r="G31" i="24"/>
  <c r="E31" i="24"/>
  <c r="C31" i="24"/>
  <c r="G22" i="24"/>
  <c r="E22" i="24"/>
  <c r="C22" i="24"/>
  <c r="G13" i="24"/>
  <c r="E13" i="24"/>
  <c r="C13" i="24"/>
  <c r="G6" i="24"/>
  <c r="E6" i="24"/>
  <c r="C6" i="24"/>
  <c r="C12" i="17"/>
  <c r="C71" i="16" s="1"/>
  <c r="C76" i="1" s="1"/>
  <c r="X5" i="5" s="1"/>
  <c r="X6" i="5" s="1"/>
  <c r="A2" i="24"/>
  <c r="C13" i="18"/>
  <c r="B48" i="18"/>
  <c r="B42" i="18"/>
  <c r="B43" i="18"/>
  <c r="B44" i="18"/>
  <c r="B45" i="18"/>
  <c r="B46" i="18"/>
  <c r="B47" i="18"/>
  <c r="B41" i="18"/>
  <c r="B40" i="18"/>
  <c r="B39" i="18"/>
  <c r="B38" i="18"/>
  <c r="B37" i="18"/>
  <c r="B36" i="18"/>
  <c r="B28" i="18"/>
  <c r="B29" i="18"/>
  <c r="B30" i="18"/>
  <c r="B31" i="18"/>
  <c r="B32" i="18"/>
  <c r="B33" i="18"/>
  <c r="B34" i="18"/>
  <c r="B35" i="18"/>
  <c r="B27" i="18"/>
  <c r="B23" i="18"/>
  <c r="B20" i="18"/>
  <c r="B21" i="18"/>
  <c r="B22" i="18"/>
  <c r="B19" i="18"/>
  <c r="B18" i="18"/>
  <c r="B17" i="18"/>
  <c r="B16" i="18"/>
  <c r="B11" i="18"/>
  <c r="B12" i="18"/>
  <c r="B13" i="18"/>
  <c r="B14" i="18"/>
  <c r="B15" i="18"/>
  <c r="B10" i="18"/>
  <c r="A2" i="18"/>
  <c r="B48" i="1"/>
  <c r="B42" i="1"/>
  <c r="B43" i="1"/>
  <c r="B44" i="1"/>
  <c r="B45" i="1"/>
  <c r="B46" i="1"/>
  <c r="B47" i="1"/>
  <c r="B41" i="1"/>
  <c r="B40" i="1"/>
  <c r="B39" i="1"/>
  <c r="B38" i="1"/>
  <c r="B37" i="1"/>
  <c r="B36" i="1"/>
  <c r="B28" i="1"/>
  <c r="B29" i="1"/>
  <c r="B30" i="1"/>
  <c r="B31" i="1"/>
  <c r="B32" i="1"/>
  <c r="B33" i="1"/>
  <c r="B34" i="1"/>
  <c r="B35" i="1"/>
  <c r="B27" i="1"/>
  <c r="B23" i="1"/>
  <c r="B20" i="1"/>
  <c r="B21" i="1"/>
  <c r="B22" i="1"/>
  <c r="B19" i="1"/>
  <c r="B18" i="1"/>
  <c r="B17" i="1"/>
  <c r="B16" i="1"/>
  <c r="B11" i="1"/>
  <c r="B12" i="1"/>
  <c r="B13" i="1"/>
  <c r="B14" i="1"/>
  <c r="B15" i="1"/>
  <c r="B10" i="1"/>
  <c r="A2" i="1"/>
  <c r="B2" i="5" s="1"/>
  <c r="A1" i="21"/>
  <c r="A3" i="17"/>
  <c r="G62" i="1"/>
  <c r="G57" i="16"/>
  <c r="G15" i="19"/>
  <c r="H15" i="19" s="1"/>
  <c r="G18" i="19"/>
  <c r="G19" i="19"/>
  <c r="G20" i="19"/>
  <c r="G23" i="19"/>
  <c r="G24" i="19"/>
  <c r="G25" i="19"/>
  <c r="G26" i="19"/>
  <c r="H26" i="19" s="1"/>
  <c r="G27" i="19"/>
  <c r="E10" i="19"/>
  <c r="E15" i="19"/>
  <c r="E18" i="19"/>
  <c r="E19" i="19"/>
  <c r="E23" i="19"/>
  <c r="E24" i="19"/>
  <c r="E22" i="19"/>
  <c r="E25" i="19"/>
  <c r="E26" i="19"/>
  <c r="E27" i="19"/>
  <c r="C10" i="19"/>
  <c r="C15" i="19"/>
  <c r="C18" i="19"/>
  <c r="C19" i="19"/>
  <c r="D19" i="19" s="1"/>
  <c r="C20" i="19"/>
  <c r="C23" i="19"/>
  <c r="C24" i="19"/>
  <c r="C25" i="19"/>
  <c r="C26" i="19"/>
  <c r="C27" i="19"/>
  <c r="G12" i="17"/>
  <c r="G11" i="19" s="1"/>
  <c r="H11" i="19" s="1"/>
  <c r="G18" i="17"/>
  <c r="G23" i="17"/>
  <c r="E12" i="17"/>
  <c r="E11" i="19" s="1"/>
  <c r="E18" i="17"/>
  <c r="E23" i="17"/>
  <c r="C11" i="19"/>
  <c r="C18" i="17"/>
  <c r="C23" i="17"/>
  <c r="C27" i="2"/>
  <c r="AC50" i="20" s="1"/>
  <c r="AC51" i="20" s="1"/>
  <c r="C29" i="2"/>
  <c r="G40" i="24" s="1"/>
  <c r="C30" i="2"/>
  <c r="G41" i="24" s="1"/>
  <c r="E27" i="2"/>
  <c r="AB50" i="5" s="1"/>
  <c r="E29" i="2"/>
  <c r="E40" i="24" s="1"/>
  <c r="E30" i="2"/>
  <c r="E41" i="24" s="1"/>
  <c r="G27" i="2"/>
  <c r="AA50" i="20" s="1"/>
  <c r="G29" i="2"/>
  <c r="C40" i="24" s="1"/>
  <c r="G30" i="2"/>
  <c r="C41" i="24" s="1"/>
  <c r="C26" i="2"/>
  <c r="D26" i="2" s="1"/>
  <c r="E26" i="2"/>
  <c r="F26" i="2" s="1"/>
  <c r="G26" i="2"/>
  <c r="H26" i="2" s="1"/>
  <c r="C25" i="2"/>
  <c r="E25" i="2"/>
  <c r="G25" i="2"/>
  <c r="AB50" i="20"/>
  <c r="C12" i="2"/>
  <c r="C13" i="2"/>
  <c r="S8" i="5" s="1"/>
  <c r="S9" i="5" s="1"/>
  <c r="Q9" i="5" s="1"/>
  <c r="C11" i="2"/>
  <c r="S8" i="20" s="1"/>
  <c r="S9" i="20" s="1"/>
  <c r="E12" i="2"/>
  <c r="E13" i="2"/>
  <c r="G12" i="2"/>
  <c r="H12" i="2" s="1"/>
  <c r="G13" i="2"/>
  <c r="C8" i="23"/>
  <c r="C9" i="23"/>
  <c r="C10" i="23"/>
  <c r="C24" i="23"/>
  <c r="G42" i="24" s="1"/>
  <c r="C15" i="23"/>
  <c r="G36" i="24" s="1"/>
  <c r="E8" i="23"/>
  <c r="E11" i="23" s="1"/>
  <c r="E9" i="23"/>
  <c r="F9" i="23" s="1"/>
  <c r="E10" i="23"/>
  <c r="E24" i="23"/>
  <c r="E15" i="23"/>
  <c r="G8" i="23"/>
  <c r="G9" i="23"/>
  <c r="G10" i="23"/>
  <c r="G24" i="23"/>
  <c r="G15" i="23"/>
  <c r="C20" i="1"/>
  <c r="X25" i="20" s="1"/>
  <c r="E20" i="1"/>
  <c r="G20" i="1"/>
  <c r="V25" i="20" s="1"/>
  <c r="G22" i="22"/>
  <c r="G27" i="22" s="1"/>
  <c r="E22" i="22"/>
  <c r="C22" i="22"/>
  <c r="G22" i="23"/>
  <c r="E22" i="23"/>
  <c r="E38" i="24" s="1"/>
  <c r="F22" i="23"/>
  <c r="C22" i="23"/>
  <c r="G38" i="24"/>
  <c r="D22" i="23"/>
  <c r="G12" i="19"/>
  <c r="G13" i="19"/>
  <c r="G29" i="19"/>
  <c r="F29" i="19" s="1"/>
  <c r="G30" i="19"/>
  <c r="H30" i="19" s="1"/>
  <c r="E12" i="19"/>
  <c r="E13" i="19"/>
  <c r="E29" i="19"/>
  <c r="E30" i="19"/>
  <c r="C12" i="19"/>
  <c r="C13" i="19"/>
  <c r="C29" i="19"/>
  <c r="C30" i="19"/>
  <c r="B13" i="19"/>
  <c r="B12" i="19"/>
  <c r="B11" i="19"/>
  <c r="G10" i="2"/>
  <c r="G15" i="2"/>
  <c r="V34" i="20"/>
  <c r="G18" i="2"/>
  <c r="G19" i="2"/>
  <c r="G20" i="2"/>
  <c r="AA39" i="5" s="1"/>
  <c r="G23" i="2"/>
  <c r="G24" i="2"/>
  <c r="E10" i="2"/>
  <c r="E15" i="2"/>
  <c r="W34" i="5" s="1"/>
  <c r="E18" i="2"/>
  <c r="E19" i="2"/>
  <c r="E23" i="2"/>
  <c r="E24" i="2"/>
  <c r="C10" i="2"/>
  <c r="C15" i="2"/>
  <c r="C18" i="2"/>
  <c r="C19" i="2"/>
  <c r="C20" i="2"/>
  <c r="C23" i="2"/>
  <c r="C24" i="2"/>
  <c r="G38" i="18"/>
  <c r="G39" i="18"/>
  <c r="H39" i="18" s="1"/>
  <c r="E38" i="18"/>
  <c r="E37" i="18" s="1"/>
  <c r="E36" i="18" s="1"/>
  <c r="F36" i="18" s="1"/>
  <c r="E39" i="18"/>
  <c r="C38" i="18"/>
  <c r="D38" i="18" s="1"/>
  <c r="C39" i="18"/>
  <c r="G38" i="1"/>
  <c r="G39" i="1"/>
  <c r="AA27" i="5" s="1"/>
  <c r="E38" i="1"/>
  <c r="E39" i="1"/>
  <c r="C38" i="1"/>
  <c r="C39" i="1"/>
  <c r="G37" i="16"/>
  <c r="G36" i="16" s="1"/>
  <c r="E37" i="16"/>
  <c r="E36" i="16"/>
  <c r="C37" i="16"/>
  <c r="C36" i="16"/>
  <c r="G18" i="16"/>
  <c r="G16" i="16" s="1"/>
  <c r="E18" i="16"/>
  <c r="E16" i="16" s="1"/>
  <c r="C18" i="16"/>
  <c r="C16" i="16" s="1"/>
  <c r="G67" i="1"/>
  <c r="C67" i="1"/>
  <c r="C8" i="22"/>
  <c r="E8" i="22"/>
  <c r="G8" i="22"/>
  <c r="F8" i="22" s="1"/>
  <c r="G9" i="22"/>
  <c r="C10" i="22"/>
  <c r="E10" i="22"/>
  <c r="G10" i="22"/>
  <c r="C14" i="22"/>
  <c r="E14" i="22"/>
  <c r="G14" i="22"/>
  <c r="H14" i="22" s="1"/>
  <c r="C15" i="22"/>
  <c r="E15" i="22"/>
  <c r="G15" i="22"/>
  <c r="C16" i="22"/>
  <c r="E16" i="22"/>
  <c r="G16" i="22"/>
  <c r="D16" i="22" s="1"/>
  <c r="C17" i="22"/>
  <c r="E17" i="22"/>
  <c r="F17" i="22" s="1"/>
  <c r="G17" i="22"/>
  <c r="C21" i="22"/>
  <c r="E21" i="22"/>
  <c r="G21" i="22"/>
  <c r="C23" i="22"/>
  <c r="E23" i="22"/>
  <c r="G23" i="22"/>
  <c r="C24" i="22"/>
  <c r="E24" i="22"/>
  <c r="G24" i="22"/>
  <c r="F24" i="22" s="1"/>
  <c r="C25" i="22"/>
  <c r="E25" i="22"/>
  <c r="G25" i="22"/>
  <c r="C26" i="22"/>
  <c r="D26" i="22" s="1"/>
  <c r="E26" i="22"/>
  <c r="G26" i="22"/>
  <c r="C36" i="22"/>
  <c r="E36" i="22"/>
  <c r="G36" i="22"/>
  <c r="C37" i="22"/>
  <c r="E37" i="22"/>
  <c r="G37" i="22"/>
  <c r="H37" i="22" s="1"/>
  <c r="C39" i="22"/>
  <c r="E39" i="22"/>
  <c r="G39" i="22"/>
  <c r="C41" i="22"/>
  <c r="D41" i="22" s="1"/>
  <c r="E41" i="22"/>
  <c r="G41" i="22"/>
  <c r="C45" i="22"/>
  <c r="E45" i="22"/>
  <c r="G45" i="22"/>
  <c r="C46" i="22"/>
  <c r="E46" i="22"/>
  <c r="G46" i="22"/>
  <c r="C47" i="22"/>
  <c r="E47" i="22"/>
  <c r="G47" i="22"/>
  <c r="C48" i="22"/>
  <c r="E48" i="22"/>
  <c r="G48" i="22"/>
  <c r="C49" i="22"/>
  <c r="E49" i="22"/>
  <c r="G49" i="22"/>
  <c r="C50" i="22"/>
  <c r="E50" i="22"/>
  <c r="G50" i="22"/>
  <c r="H50" i="22" s="1"/>
  <c r="A1" i="23"/>
  <c r="C14" i="23"/>
  <c r="G35" i="24" s="1"/>
  <c r="C17" i="23"/>
  <c r="E14" i="23"/>
  <c r="F14" i="23" s="1"/>
  <c r="G14" i="23"/>
  <c r="C35" i="24" s="1"/>
  <c r="G17" i="23"/>
  <c r="C16" i="23"/>
  <c r="G37" i="24" s="1"/>
  <c r="E16" i="23"/>
  <c r="G16" i="23"/>
  <c r="G18" i="23" s="1"/>
  <c r="E17" i="23"/>
  <c r="C21" i="23"/>
  <c r="C25" i="23"/>
  <c r="C23" i="23"/>
  <c r="E21" i="23"/>
  <c r="F21" i="23" s="1"/>
  <c r="E25" i="23"/>
  <c r="G21" i="23"/>
  <c r="G23" i="23"/>
  <c r="H23" i="23" s="1"/>
  <c r="E23" i="23"/>
  <c r="E26" i="23"/>
  <c r="F26" i="23" s="1"/>
  <c r="D35" i="3"/>
  <c r="G25" i="23"/>
  <c r="C26" i="23"/>
  <c r="C27" i="23" s="1"/>
  <c r="D24" i="23" s="1"/>
  <c r="G26" i="23"/>
  <c r="C36" i="23"/>
  <c r="C38" i="23" s="1"/>
  <c r="D38" i="23" s="1"/>
  <c r="E36" i="23"/>
  <c r="G36" i="23"/>
  <c r="C37" i="23"/>
  <c r="E37" i="23"/>
  <c r="F37" i="23" s="1"/>
  <c r="G37" i="23"/>
  <c r="C39" i="23"/>
  <c r="E39" i="23"/>
  <c r="F39" i="23" s="1"/>
  <c r="G39" i="23"/>
  <c r="C41" i="23"/>
  <c r="E41" i="23"/>
  <c r="F41" i="23"/>
  <c r="G41" i="23"/>
  <c r="C45" i="23"/>
  <c r="C44" i="23" s="1"/>
  <c r="E45" i="23"/>
  <c r="G45" i="23"/>
  <c r="C46" i="23"/>
  <c r="E46" i="23"/>
  <c r="E47" i="23"/>
  <c r="E50" i="23"/>
  <c r="E49" i="23"/>
  <c r="G46" i="23"/>
  <c r="C47" i="23"/>
  <c r="G47" i="23"/>
  <c r="C48" i="23"/>
  <c r="C49" i="23"/>
  <c r="D49" i="23" s="1"/>
  <c r="C50" i="23"/>
  <c r="E48" i="23"/>
  <c r="G48" i="23"/>
  <c r="G49" i="23"/>
  <c r="G50" i="23"/>
  <c r="D15" i="19"/>
  <c r="F24" i="19"/>
  <c r="F27" i="19"/>
  <c r="A3" i="2"/>
  <c r="R2" i="20"/>
  <c r="Q8" i="5"/>
  <c r="AC33" i="5"/>
  <c r="AC34" i="5" s="1"/>
  <c r="AA33" i="20"/>
  <c r="AB43" i="5"/>
  <c r="C6" i="18"/>
  <c r="E6" i="18"/>
  <c r="G6" i="18"/>
  <c r="C10" i="18"/>
  <c r="E10" i="18"/>
  <c r="G10" i="18"/>
  <c r="C11" i="18"/>
  <c r="E11" i="18"/>
  <c r="G11" i="18"/>
  <c r="H11" i="18" s="1"/>
  <c r="C12" i="18"/>
  <c r="E12" i="18"/>
  <c r="E13" i="18"/>
  <c r="C14" i="18"/>
  <c r="E14" i="18"/>
  <c r="G14" i="18"/>
  <c r="H14" i="18" s="1"/>
  <c r="C15" i="18"/>
  <c r="E15" i="18"/>
  <c r="G15" i="18"/>
  <c r="C17" i="18"/>
  <c r="C16" i="18" s="1"/>
  <c r="E17" i="18"/>
  <c r="E19" i="18"/>
  <c r="E18" i="18" s="1"/>
  <c r="E20" i="18"/>
  <c r="E21" i="18"/>
  <c r="E22" i="18"/>
  <c r="G17" i="18"/>
  <c r="H17" i="18" s="1"/>
  <c r="C19" i="18"/>
  <c r="G19" i="18"/>
  <c r="D19" i="18" s="1"/>
  <c r="C20" i="18"/>
  <c r="G20" i="18"/>
  <c r="F20" i="18" s="1"/>
  <c r="C21" i="18"/>
  <c r="G21" i="18"/>
  <c r="H21" i="18" s="1"/>
  <c r="C22" i="18"/>
  <c r="G22" i="18"/>
  <c r="D22" i="18" s="1"/>
  <c r="C27" i="18"/>
  <c r="E27" i="18"/>
  <c r="G27" i="18"/>
  <c r="C28" i="18"/>
  <c r="E28" i="18"/>
  <c r="G28" i="18"/>
  <c r="H28" i="18" s="1"/>
  <c r="C29" i="18"/>
  <c r="E29" i="18"/>
  <c r="G29" i="18"/>
  <c r="C30" i="18"/>
  <c r="E30" i="18"/>
  <c r="G30" i="18"/>
  <c r="F30" i="18" s="1"/>
  <c r="C31" i="18"/>
  <c r="D31" i="18" s="1"/>
  <c r="E31" i="18"/>
  <c r="G31" i="18"/>
  <c r="C32" i="18"/>
  <c r="E32" i="18"/>
  <c r="G32" i="18"/>
  <c r="F32" i="18" s="1"/>
  <c r="C33" i="18"/>
  <c r="E33" i="18"/>
  <c r="G33" i="18"/>
  <c r="C34" i="18"/>
  <c r="E34" i="18"/>
  <c r="G34" i="18"/>
  <c r="D34" i="18" s="1"/>
  <c r="E35" i="18"/>
  <c r="G35" i="18"/>
  <c r="H38" i="18"/>
  <c r="C41" i="18"/>
  <c r="E41" i="18"/>
  <c r="E40" i="18" s="1"/>
  <c r="G41" i="18"/>
  <c r="C42" i="18"/>
  <c r="E42" i="18"/>
  <c r="G42" i="18"/>
  <c r="H42" i="18" s="1"/>
  <c r="C43" i="18"/>
  <c r="E43" i="18"/>
  <c r="G43" i="18"/>
  <c r="C44" i="18"/>
  <c r="E44" i="18"/>
  <c r="G44" i="18"/>
  <c r="C45" i="18"/>
  <c r="G45" i="18"/>
  <c r="F45" i="18" s="1"/>
  <c r="E45" i="18"/>
  <c r="C46" i="18"/>
  <c r="G46" i="18"/>
  <c r="D46" i="18" s="1"/>
  <c r="E46" i="18"/>
  <c r="H46" i="18"/>
  <c r="C47" i="18"/>
  <c r="E47" i="18"/>
  <c r="G47" i="18"/>
  <c r="H47" i="18" s="1"/>
  <c r="C6" i="1"/>
  <c r="C5" i="21" s="1"/>
  <c r="C34" i="21" s="1"/>
  <c r="E6" i="1"/>
  <c r="G6" i="1"/>
  <c r="D5" i="3" s="1"/>
  <c r="C10" i="1"/>
  <c r="X9" i="20" s="1"/>
  <c r="X10" i="20" s="1"/>
  <c r="E10" i="1"/>
  <c r="G10" i="1"/>
  <c r="C11" i="1"/>
  <c r="G15" i="24" s="1"/>
  <c r="E11" i="1"/>
  <c r="W12" i="20" s="1"/>
  <c r="G11" i="1"/>
  <c r="C15" i="24" s="1"/>
  <c r="C12" i="1"/>
  <c r="X15" i="20" s="1"/>
  <c r="X16" i="20" s="1"/>
  <c r="E12" i="1"/>
  <c r="E16" i="24" s="1"/>
  <c r="G12" i="1"/>
  <c r="E63" i="1" s="1"/>
  <c r="E21" i="3" s="1"/>
  <c r="F16" i="24" s="1"/>
  <c r="C13" i="1"/>
  <c r="G34" i="24" s="1"/>
  <c r="C14" i="1"/>
  <c r="E14" i="1"/>
  <c r="E15" i="1"/>
  <c r="W18" i="20" s="1"/>
  <c r="E17" i="1"/>
  <c r="E19" i="1"/>
  <c r="W22" i="20" s="1"/>
  <c r="G14" i="1"/>
  <c r="C15" i="1"/>
  <c r="G15" i="1"/>
  <c r="C17" i="1"/>
  <c r="G17" i="1"/>
  <c r="Q19" i="20" s="1"/>
  <c r="C19" i="1"/>
  <c r="X22" i="20" s="1"/>
  <c r="X23" i="20" s="1"/>
  <c r="G19" i="1"/>
  <c r="V22" i="20" s="1"/>
  <c r="X26" i="20"/>
  <c r="C21" i="1"/>
  <c r="X28" i="20" s="1"/>
  <c r="X29" i="20" s="1"/>
  <c r="E21" i="1"/>
  <c r="W28" i="20" s="1"/>
  <c r="G21" i="1"/>
  <c r="C22" i="1"/>
  <c r="X31" i="20" s="1"/>
  <c r="X32" i="20" s="1"/>
  <c r="V32" i="20" s="1"/>
  <c r="E22" i="1"/>
  <c r="W31" i="20" s="1"/>
  <c r="W32" i="20" s="1"/>
  <c r="G22" i="1"/>
  <c r="V31" i="20" s="1"/>
  <c r="C27" i="1"/>
  <c r="C26" i="1" s="1"/>
  <c r="E27" i="1"/>
  <c r="G27" i="1"/>
  <c r="C17" i="24" s="1"/>
  <c r="C28" i="1"/>
  <c r="E28" i="1"/>
  <c r="E29" i="1"/>
  <c r="G28" i="1"/>
  <c r="C29" i="1"/>
  <c r="G29" i="1"/>
  <c r="C30" i="1"/>
  <c r="E30" i="1"/>
  <c r="G30" i="1"/>
  <c r="C31" i="1"/>
  <c r="G33" i="24" s="1"/>
  <c r="E31" i="1"/>
  <c r="E33" i="24" s="1"/>
  <c r="G31" i="1"/>
  <c r="AA16" i="5" s="1"/>
  <c r="C32" i="1"/>
  <c r="AC19" i="5" s="1"/>
  <c r="AC20" i="5" s="1"/>
  <c r="E32" i="1"/>
  <c r="AB19" i="5" s="1"/>
  <c r="AB20" i="5" s="1"/>
  <c r="G32" i="1"/>
  <c r="AA19" i="5" s="1"/>
  <c r="C33" i="1"/>
  <c r="E33" i="1"/>
  <c r="G33" i="1"/>
  <c r="C34" i="1"/>
  <c r="E34" i="1"/>
  <c r="G34" i="1"/>
  <c r="E35" i="1"/>
  <c r="G35" i="1"/>
  <c r="AB27" i="5"/>
  <c r="C41" i="1"/>
  <c r="E41" i="1"/>
  <c r="G41" i="1"/>
  <c r="C42" i="1"/>
  <c r="E42" i="1"/>
  <c r="F42" i="1" s="1"/>
  <c r="G42" i="1"/>
  <c r="C43" i="1"/>
  <c r="E43" i="1"/>
  <c r="G43" i="1"/>
  <c r="G40" i="1" s="1"/>
  <c r="C24" i="24" s="1"/>
  <c r="C44" i="1"/>
  <c r="E44" i="1"/>
  <c r="G44" i="1"/>
  <c r="C45" i="1"/>
  <c r="E45" i="1"/>
  <c r="G45" i="1"/>
  <c r="C46" i="1"/>
  <c r="E46" i="1"/>
  <c r="G46" i="1"/>
  <c r="C47" i="1"/>
  <c r="E47" i="1"/>
  <c r="G47" i="1"/>
  <c r="C62" i="1"/>
  <c r="E62" i="1"/>
  <c r="G63" i="1"/>
  <c r="D21" i="3" s="1"/>
  <c r="D16" i="24" s="1"/>
  <c r="C68" i="1"/>
  <c r="E68" i="1"/>
  <c r="G68" i="1"/>
  <c r="C69" i="1"/>
  <c r="E69" i="1"/>
  <c r="G69" i="1"/>
  <c r="C70" i="1"/>
  <c r="E70" i="1"/>
  <c r="G70" i="1"/>
  <c r="C71" i="1"/>
  <c r="E71" i="1"/>
  <c r="G71" i="1"/>
  <c r="E75" i="1"/>
  <c r="G75" i="1"/>
  <c r="V2" i="5" s="1"/>
  <c r="E76" i="1"/>
  <c r="W5" i="5" s="1"/>
  <c r="G76" i="1"/>
  <c r="V5" i="20" s="1"/>
  <c r="C77" i="1"/>
  <c r="C79" i="1"/>
  <c r="AC7" i="20" s="1"/>
  <c r="AC8" i="20" s="1"/>
  <c r="E79" i="1"/>
  <c r="AB7" i="20" s="1"/>
  <c r="G79" i="1"/>
  <c r="AA7" i="20" s="1"/>
  <c r="C80" i="1"/>
  <c r="AC10" i="20" s="1"/>
  <c r="AC11" i="20" s="1"/>
  <c r="E80" i="1"/>
  <c r="AB10" i="20" s="1"/>
  <c r="G80" i="1"/>
  <c r="AA10" i="20" s="1"/>
  <c r="C81" i="1"/>
  <c r="AC13" i="20" s="1"/>
  <c r="AC14" i="20" s="1"/>
  <c r="E81" i="1"/>
  <c r="AB13" i="20" s="1"/>
  <c r="G81" i="1"/>
  <c r="AA13" i="20" s="1"/>
  <c r="C82" i="1"/>
  <c r="AC16" i="20" s="1"/>
  <c r="AC17" i="20" s="1"/>
  <c r="E82" i="1"/>
  <c r="AB16" i="20" s="1"/>
  <c r="G82" i="1"/>
  <c r="AA16" i="20" s="1"/>
  <c r="C85" i="1"/>
  <c r="AC20" i="20" s="1"/>
  <c r="AC21" i="20" s="1"/>
  <c r="E85" i="1"/>
  <c r="AB20" i="20" s="1"/>
  <c r="G85" i="1"/>
  <c r="AA20" i="20" s="1"/>
  <c r="C86" i="1"/>
  <c r="AC23" i="20" s="1"/>
  <c r="AC24" i="20" s="1"/>
  <c r="E86" i="1"/>
  <c r="AB23" i="20" s="1"/>
  <c r="G86" i="1"/>
  <c r="AA23" i="20" s="1"/>
  <c r="C87" i="1"/>
  <c r="AC26" i="20" s="1"/>
  <c r="AC27" i="20" s="1"/>
  <c r="E87" i="1"/>
  <c r="AB26" i="20" s="1"/>
  <c r="G87" i="1"/>
  <c r="AA26" i="20" s="1"/>
  <c r="AA27" i="20" s="1"/>
  <c r="C88" i="1"/>
  <c r="AC29" i="20" s="1"/>
  <c r="AC30" i="20" s="1"/>
  <c r="E88" i="1"/>
  <c r="AB29" i="20" s="1"/>
  <c r="G88" i="1"/>
  <c r="AA29" i="20" s="1"/>
  <c r="C89" i="1"/>
  <c r="G89" i="1"/>
  <c r="C11" i="21"/>
  <c r="E11" i="21"/>
  <c r="G11" i="21"/>
  <c r="C18" i="21"/>
  <c r="E18" i="21"/>
  <c r="G18" i="21"/>
  <c r="C27" i="21"/>
  <c r="E27" i="21"/>
  <c r="G27" i="21"/>
  <c r="G29" i="21" s="1"/>
  <c r="C38" i="21"/>
  <c r="C40" i="21" s="1"/>
  <c r="C42" i="21" s="1"/>
  <c r="E38" i="21"/>
  <c r="E40" i="21" s="1"/>
  <c r="E42" i="21" s="1"/>
  <c r="G38" i="21"/>
  <c r="G40" i="21" s="1"/>
  <c r="G42" i="21" s="1"/>
  <c r="C44" i="21"/>
  <c r="E44" i="21"/>
  <c r="G44" i="21"/>
  <c r="C9" i="16"/>
  <c r="C23" i="16" s="1"/>
  <c r="C26" i="16"/>
  <c r="C48" i="16" s="1"/>
  <c r="E26" i="16"/>
  <c r="G26" i="16"/>
  <c r="C35" i="18"/>
  <c r="C26" i="18"/>
  <c r="C40" i="16"/>
  <c r="E40" i="16"/>
  <c r="G40" i="16"/>
  <c r="C55" i="16"/>
  <c r="E55" i="16"/>
  <c r="G55" i="16"/>
  <c r="C56" i="16"/>
  <c r="E56" i="16"/>
  <c r="G56" i="16"/>
  <c r="C57" i="16"/>
  <c r="E57" i="16"/>
  <c r="C58" i="16"/>
  <c r="E72" i="16"/>
  <c r="G72" i="16"/>
  <c r="C78" i="16"/>
  <c r="C84" i="16"/>
  <c r="E84" i="16"/>
  <c r="G84" i="16"/>
  <c r="E44" i="22"/>
  <c r="F35" i="3"/>
  <c r="C9" i="22"/>
  <c r="C11" i="22" s="1"/>
  <c r="D25" i="20"/>
  <c r="I11" i="20" s="1"/>
  <c r="I41" i="20" s="1"/>
  <c r="AA43" i="20"/>
  <c r="AA36" i="20"/>
  <c r="AC36" i="5"/>
  <c r="AC37" i="5" s="1"/>
  <c r="AC36" i="20"/>
  <c r="AC37" i="20"/>
  <c r="AB33" i="5"/>
  <c r="AB33" i="20"/>
  <c r="V34" i="5"/>
  <c r="H27" i="19"/>
  <c r="H24" i="19"/>
  <c r="H20" i="19"/>
  <c r="H18" i="19"/>
  <c r="D39" i="22"/>
  <c r="F36" i="22"/>
  <c r="C35" i="1"/>
  <c r="C18" i="1"/>
  <c r="S25" i="20" s="1"/>
  <c r="S26" i="20" s="1"/>
  <c r="H29" i="19"/>
  <c r="E9" i="22"/>
  <c r="E11" i="22" s="1"/>
  <c r="C25" i="5"/>
  <c r="H11" i="5" s="1"/>
  <c r="H41" i="5"/>
  <c r="E5" i="3"/>
  <c r="W34" i="20"/>
  <c r="S2" i="20"/>
  <c r="S3" i="20" s="1"/>
  <c r="H25" i="19"/>
  <c r="H13" i="19"/>
  <c r="H41" i="22"/>
  <c r="D37" i="22"/>
  <c r="E8" i="19"/>
  <c r="AC27" i="5"/>
  <c r="AC28" i="5" s="1"/>
  <c r="AB28" i="5" s="1"/>
  <c r="D9" i="22"/>
  <c r="F38" i="18"/>
  <c r="H15" i="18"/>
  <c r="D15" i="18"/>
  <c r="H10" i="18"/>
  <c r="D22" i="22"/>
  <c r="C27" i="22"/>
  <c r="F30" i="19"/>
  <c r="D12" i="19"/>
  <c r="C8" i="2"/>
  <c r="A3" i="19"/>
  <c r="A1" i="22"/>
  <c r="A1" i="3"/>
  <c r="F21" i="22"/>
  <c r="F14" i="22"/>
  <c r="AA53" i="20"/>
  <c r="AC33" i="20"/>
  <c r="AC34" i="20" s="1"/>
  <c r="AA34" i="20" s="1"/>
  <c r="AA39" i="20"/>
  <c r="R2" i="5"/>
  <c r="H23" i="19"/>
  <c r="AA33" i="5"/>
  <c r="AA34" i="5" s="1"/>
  <c r="AA53" i="5"/>
  <c r="AC10" i="5"/>
  <c r="AC11" i="5" s="1"/>
  <c r="AB11" i="5" s="1"/>
  <c r="H47" i="22"/>
  <c r="C18" i="18"/>
  <c r="F15" i="22"/>
  <c r="B2" i="20"/>
  <c r="G40" i="18"/>
  <c r="H40" i="18" s="1"/>
  <c r="H43" i="18"/>
  <c r="H41" i="18"/>
  <c r="H49" i="22"/>
  <c r="H48" i="22"/>
  <c r="H46" i="22"/>
  <c r="D45" i="22"/>
  <c r="F25" i="22"/>
  <c r="F23" i="22"/>
  <c r="H17" i="22"/>
  <c r="F16" i="22"/>
  <c r="H15" i="22"/>
  <c r="D15" i="22"/>
  <c r="H30" i="2"/>
  <c r="AA28" i="5"/>
  <c r="G60" i="16"/>
  <c r="H27" i="18"/>
  <c r="G11" i="2"/>
  <c r="Q8" i="20" s="1"/>
  <c r="AA37" i="20"/>
  <c r="H21" i="23"/>
  <c r="G14" i="2"/>
  <c r="H13" i="2" s="1"/>
  <c r="H14" i="23"/>
  <c r="F12" i="2"/>
  <c r="F30" i="2"/>
  <c r="F24" i="2"/>
  <c r="H18" i="2"/>
  <c r="H29" i="2"/>
  <c r="H27" i="2"/>
  <c r="Q33" i="5"/>
  <c r="F22" i="1"/>
  <c r="AB34" i="20"/>
  <c r="D24" i="2"/>
  <c r="D30" i="2"/>
  <c r="D12" i="2"/>
  <c r="G37" i="18"/>
  <c r="F37" i="18" s="1"/>
  <c r="W50" i="5"/>
  <c r="C17" i="19"/>
  <c r="G17" i="19"/>
  <c r="H17" i="19" s="1"/>
  <c r="AB10" i="5"/>
  <c r="AB34" i="5"/>
  <c r="F43" i="3"/>
  <c r="V50" i="5"/>
  <c r="G36" i="18"/>
  <c r="H36" i="18" s="1"/>
  <c r="E15" i="17"/>
  <c r="E17" i="17" s="1"/>
  <c r="E22" i="17" s="1"/>
  <c r="E29" i="17" s="1"/>
  <c r="E32" i="17" s="1"/>
  <c r="G15" i="17"/>
  <c r="G17" i="17" s="1"/>
  <c r="G22" i="17" s="1"/>
  <c r="G29" i="17" s="1"/>
  <c r="G32" i="17" s="1"/>
  <c r="D39" i="23"/>
  <c r="C38" i="22"/>
  <c r="C40" i="22" s="1"/>
  <c r="H22" i="23"/>
  <c r="D14" i="22"/>
  <c r="F10" i="22"/>
  <c r="E36" i="24"/>
  <c r="C11" i="23"/>
  <c r="D11" i="23" s="1"/>
  <c r="D9" i="23"/>
  <c r="D10" i="23"/>
  <c r="F55" i="3"/>
  <c r="W50" i="20"/>
  <c r="D20" i="19"/>
  <c r="C17" i="2"/>
  <c r="X38" i="5" s="1"/>
  <c r="X39" i="5" s="1"/>
  <c r="V2" i="20"/>
  <c r="D41" i="3"/>
  <c r="E40" i="1"/>
  <c r="E24" i="24" s="1"/>
  <c r="E48" i="16"/>
  <c r="C27" i="24"/>
  <c r="C33" i="24"/>
  <c r="F10" i="18"/>
  <c r="G25" i="24"/>
  <c r="D21" i="23"/>
  <c r="D23" i="23"/>
  <c r="AA7" i="5"/>
  <c r="D47" i="18"/>
  <c r="F47" i="18"/>
  <c r="H19" i="18"/>
  <c r="D14" i="18"/>
  <c r="D36" i="23"/>
  <c r="D41" i="23"/>
  <c r="F23" i="23"/>
  <c r="D49" i="22"/>
  <c r="F49" i="22"/>
  <c r="H26" i="22"/>
  <c r="D21" i="22"/>
  <c r="H21" i="22"/>
  <c r="G18" i="22"/>
  <c r="H18" i="22" s="1"/>
  <c r="Q2" i="5"/>
  <c r="G77" i="1"/>
  <c r="H77" i="1" s="1"/>
  <c r="Q2" i="20"/>
  <c r="W46" i="5"/>
  <c r="F25" i="2"/>
  <c r="AB43" i="20"/>
  <c r="AA50" i="5"/>
  <c r="AB53" i="20"/>
  <c r="AB53" i="5"/>
  <c r="AC53" i="20"/>
  <c r="AC54" i="20" s="1"/>
  <c r="AC53" i="5"/>
  <c r="AC54" i="5" s="1"/>
  <c r="G22" i="19"/>
  <c r="H22" i="19" s="1"/>
  <c r="D24" i="19"/>
  <c r="D18" i="19"/>
  <c r="F18" i="19"/>
  <c r="C9" i="1"/>
  <c r="G8" i="24" s="1"/>
  <c r="E26" i="18"/>
  <c r="D8" i="22"/>
  <c r="F39" i="18"/>
  <c r="G17" i="2"/>
  <c r="AB7" i="5"/>
  <c r="G5" i="21"/>
  <c r="G34" i="21"/>
  <c r="B25" i="20"/>
  <c r="G11" i="20" s="1"/>
  <c r="G41" i="20" s="1"/>
  <c r="G8" i="2"/>
  <c r="G5" i="22"/>
  <c r="G34" i="22"/>
  <c r="B25" i="5"/>
  <c r="G11" i="5" s="1"/>
  <c r="G41" i="5" s="1"/>
  <c r="C9" i="17"/>
  <c r="F5" i="3"/>
  <c r="C5" i="23"/>
  <c r="C34" i="23" s="1"/>
  <c r="C5" i="22"/>
  <c r="C34" i="22" s="1"/>
  <c r="D25" i="5"/>
  <c r="I11" i="5" s="1"/>
  <c r="I41" i="5" s="1"/>
  <c r="F21" i="18"/>
  <c r="G44" i="23"/>
  <c r="H45" i="23" s="1"/>
  <c r="F36" i="23"/>
  <c r="E38" i="23"/>
  <c r="E40" i="23" s="1"/>
  <c r="D50" i="22"/>
  <c r="F50" i="22"/>
  <c r="H45" i="22"/>
  <c r="F45" i="22"/>
  <c r="F37" i="22"/>
  <c r="E38" i="22"/>
  <c r="E40" i="22" s="1"/>
  <c r="D36" i="22"/>
  <c r="H36" i="22"/>
  <c r="G38" i="22"/>
  <c r="D38" i="22" s="1"/>
  <c r="D25" i="22"/>
  <c r="H25" i="22"/>
  <c r="D23" i="22"/>
  <c r="H23" i="22"/>
  <c r="D17" i="22"/>
  <c r="X34" i="5"/>
  <c r="X35" i="5" s="1"/>
  <c r="X34" i="20"/>
  <c r="X35" i="20" s="1"/>
  <c r="H12" i="19"/>
  <c r="F12" i="19"/>
  <c r="W25" i="20"/>
  <c r="E89" i="1"/>
  <c r="F89" i="1" s="1"/>
  <c r="V46" i="5"/>
  <c r="AA43" i="5"/>
  <c r="H25" i="2"/>
  <c r="F25" i="19"/>
  <c r="D25" i="19"/>
  <c r="D29" i="19"/>
  <c r="D45" i="1"/>
  <c r="D14" i="23"/>
  <c r="F38" i="22"/>
  <c r="V38" i="5"/>
  <c r="H17" i="2"/>
  <c r="V38" i="20"/>
  <c r="F22" i="19"/>
  <c r="H42" i="1"/>
  <c r="F40" i="23" l="1"/>
  <c r="E42" i="23"/>
  <c r="H15" i="23"/>
  <c r="H18" i="23"/>
  <c r="H17" i="23"/>
  <c r="AA11" i="20"/>
  <c r="AB11" i="20"/>
  <c r="D46" i="23"/>
  <c r="D48" i="23"/>
  <c r="D50" i="23"/>
  <c r="D47" i="23"/>
  <c r="D44" i="23"/>
  <c r="H27" i="22"/>
  <c r="E55" i="3"/>
  <c r="F10" i="23"/>
  <c r="E53" i="3"/>
  <c r="F11" i="23"/>
  <c r="F8" i="23"/>
  <c r="E22" i="2"/>
  <c r="V12" i="20"/>
  <c r="V13" i="20" s="1"/>
  <c r="H15" i="2"/>
  <c r="F42" i="18"/>
  <c r="D33" i="18"/>
  <c r="C18" i="22"/>
  <c r="D89" i="1"/>
  <c r="F38" i="23"/>
  <c r="F15" i="19"/>
  <c r="H34" i="18"/>
  <c r="E27" i="23"/>
  <c r="X38" i="20"/>
  <c r="X39" i="20" s="1"/>
  <c r="V39" i="20" s="1"/>
  <c r="H39" i="23"/>
  <c r="F40" i="18"/>
  <c r="H23" i="2"/>
  <c r="D24" i="22"/>
  <c r="C15" i="17"/>
  <c r="C17" i="17" s="1"/>
  <c r="C22" i="17" s="1"/>
  <c r="C29" i="17" s="1"/>
  <c r="C32" i="17" s="1"/>
  <c r="V26" i="20"/>
  <c r="X18" i="20"/>
  <c r="X19" i="20" s="1"/>
  <c r="W19" i="20" s="1"/>
  <c r="E32" i="3"/>
  <c r="H37" i="23"/>
  <c r="D27" i="18"/>
  <c r="F26" i="19"/>
  <c r="E48" i="18"/>
  <c r="V39" i="5"/>
  <c r="H38" i="22"/>
  <c r="AC16" i="5"/>
  <c r="AC17" i="5" s="1"/>
  <c r="H20" i="2"/>
  <c r="G40" i="22"/>
  <c r="H40" i="22" s="1"/>
  <c r="AB13" i="5"/>
  <c r="C18" i="23"/>
  <c r="C29" i="23" s="1"/>
  <c r="H16" i="22"/>
  <c r="D17" i="18"/>
  <c r="H8" i="22"/>
  <c r="G11" i="22"/>
  <c r="D30" i="19"/>
  <c r="C8" i="19"/>
  <c r="AA21" i="20"/>
  <c r="F35" i="18"/>
  <c r="F41" i="22"/>
  <c r="F26" i="22"/>
  <c r="V50" i="20"/>
  <c r="V51" i="20" s="1"/>
  <c r="E60" i="1"/>
  <c r="E19" i="3" s="1"/>
  <c r="F15" i="24" s="1"/>
  <c r="D42" i="18"/>
  <c r="H22" i="18"/>
  <c r="H32" i="18"/>
  <c r="R3" i="20"/>
  <c r="D37" i="23"/>
  <c r="E35" i="24"/>
  <c r="X12" i="20"/>
  <c r="X13" i="20" s="1"/>
  <c r="H11" i="2"/>
  <c r="V5" i="5"/>
  <c r="V6" i="5" s="1"/>
  <c r="W5" i="20"/>
  <c r="C83" i="1"/>
  <c r="D83" i="1" s="1"/>
  <c r="H41" i="23"/>
  <c r="F39" i="22"/>
  <c r="C37" i="18"/>
  <c r="C36" i="18" s="1"/>
  <c r="D36" i="18" s="1"/>
  <c r="H89" i="1"/>
  <c r="D32" i="3"/>
  <c r="E65" i="1"/>
  <c r="G65" i="1"/>
  <c r="G48" i="16"/>
  <c r="F34" i="18"/>
  <c r="AA13" i="5"/>
  <c r="H33" i="18"/>
  <c r="F33" i="18"/>
  <c r="AA20" i="5"/>
  <c r="AA10" i="5"/>
  <c r="AA11" i="5" s="1"/>
  <c r="F29" i="18"/>
  <c r="G26" i="18"/>
  <c r="F26" i="18" s="1"/>
  <c r="F27" i="18"/>
  <c r="G18" i="18"/>
  <c r="F17" i="18"/>
  <c r="V15" i="20"/>
  <c r="V16" i="20" s="1"/>
  <c r="G78" i="16"/>
  <c r="G58" i="16"/>
  <c r="F15" i="18"/>
  <c r="F12" i="18"/>
  <c r="AC46" i="20"/>
  <c r="AC47" i="20" s="1"/>
  <c r="AC46" i="5"/>
  <c r="AC47" i="5" s="1"/>
  <c r="AB47" i="5" s="1"/>
  <c r="AB46" i="5"/>
  <c r="AB46" i="20"/>
  <c r="AB47" i="20" s="1"/>
  <c r="V46" i="20"/>
  <c r="D26" i="19"/>
  <c r="W46" i="20"/>
  <c r="AA54" i="20"/>
  <c r="AB54" i="20"/>
  <c r="AB51" i="20"/>
  <c r="AA51" i="20"/>
  <c r="X50" i="20"/>
  <c r="X51" i="20" s="1"/>
  <c r="W51" i="20" s="1"/>
  <c r="AC50" i="5"/>
  <c r="AC51" i="5" s="1"/>
  <c r="X50" i="5"/>
  <c r="X51" i="5" s="1"/>
  <c r="C22" i="2"/>
  <c r="D17" i="19"/>
  <c r="Q9" i="20"/>
  <c r="D11" i="19"/>
  <c r="F11" i="19"/>
  <c r="E14" i="19"/>
  <c r="E16" i="19" s="1"/>
  <c r="C14" i="19"/>
  <c r="C16" i="19" s="1"/>
  <c r="W6" i="5"/>
  <c r="C14" i="2"/>
  <c r="D27" i="2" s="1"/>
  <c r="C70" i="16"/>
  <c r="C75" i="1" s="1"/>
  <c r="X2" i="5" s="1"/>
  <c r="X3" i="5" s="1"/>
  <c r="D10" i="19"/>
  <c r="G14" i="19"/>
  <c r="H10" i="19"/>
  <c r="F10" i="19"/>
  <c r="H10" i="2"/>
  <c r="Q3" i="20"/>
  <c r="S2" i="5"/>
  <c r="S3" i="5" s="1"/>
  <c r="R3" i="5" s="1"/>
  <c r="C72" i="16"/>
  <c r="F20" i="19"/>
  <c r="E17" i="19"/>
  <c r="E20" i="2"/>
  <c r="AB30" i="20"/>
  <c r="AA30" i="20"/>
  <c r="AB24" i="20"/>
  <c r="AA24" i="20"/>
  <c r="AB27" i="20"/>
  <c r="AB21" i="20"/>
  <c r="AB17" i="20"/>
  <c r="AA17" i="20"/>
  <c r="V3" i="5"/>
  <c r="X2" i="20"/>
  <c r="X3" i="20" s="1"/>
  <c r="V3" i="20" s="1"/>
  <c r="E41" i="3"/>
  <c r="G9" i="24"/>
  <c r="F9" i="3"/>
  <c r="F48" i="3" s="1"/>
  <c r="F8" i="3"/>
  <c r="F49" i="3" s="1"/>
  <c r="X15" i="5"/>
  <c r="X16" i="5" s="1"/>
  <c r="E26" i="1"/>
  <c r="D35" i="18"/>
  <c r="G61" i="1"/>
  <c r="D20" i="3" s="1"/>
  <c r="D17" i="24" s="1"/>
  <c r="D28" i="18"/>
  <c r="D32" i="18"/>
  <c r="F53" i="3"/>
  <c r="F28" i="18"/>
  <c r="H35" i="18"/>
  <c r="G26" i="1"/>
  <c r="AB16" i="5"/>
  <c r="AB17" i="5" s="1"/>
  <c r="AC13" i="5"/>
  <c r="AC14" i="5" s="1"/>
  <c r="AB14" i="5" s="1"/>
  <c r="H18" i="18"/>
  <c r="F18" i="18"/>
  <c r="G16" i="18"/>
  <c r="H16" i="18" s="1"/>
  <c r="D18" i="18"/>
  <c r="H22" i="1"/>
  <c r="D22" i="1"/>
  <c r="W26" i="20"/>
  <c r="E18" i="1"/>
  <c r="F22" i="18"/>
  <c r="G18" i="1"/>
  <c r="E16" i="18"/>
  <c r="H13" i="18"/>
  <c r="D13" i="18"/>
  <c r="S13" i="20"/>
  <c r="S14" i="20" s="1"/>
  <c r="C23" i="1"/>
  <c r="D14" i="1" s="1"/>
  <c r="F14" i="18"/>
  <c r="E78" i="16"/>
  <c r="G9" i="16"/>
  <c r="G23" i="16" s="1"/>
  <c r="G59" i="16" s="1"/>
  <c r="G13" i="1"/>
  <c r="C34" i="24" s="1"/>
  <c r="D27" i="22"/>
  <c r="H24" i="22"/>
  <c r="G11" i="23"/>
  <c r="D27" i="23"/>
  <c r="D26" i="23"/>
  <c r="D25" i="23"/>
  <c r="C29" i="21"/>
  <c r="E29" i="21"/>
  <c r="E43" i="3"/>
  <c r="C29" i="22"/>
  <c r="D18" i="22"/>
  <c r="H49" i="23"/>
  <c r="G44" i="22"/>
  <c r="F44" i="22" s="1"/>
  <c r="H50" i="23"/>
  <c r="H48" i="23"/>
  <c r="H47" i="23"/>
  <c r="F47" i="22"/>
  <c r="D47" i="22"/>
  <c r="H46" i="23"/>
  <c r="F46" i="22"/>
  <c r="H44" i="23"/>
  <c r="D46" i="22"/>
  <c r="D45" i="23"/>
  <c r="F60" i="3"/>
  <c r="H39" i="22"/>
  <c r="C40" i="23"/>
  <c r="D8" i="23"/>
  <c r="D14" i="2"/>
  <c r="N46" i="20"/>
  <c r="N47" i="20" s="1"/>
  <c r="S33" i="20"/>
  <c r="S33" i="5"/>
  <c r="N46" i="5"/>
  <c r="N47" i="5" s="1"/>
  <c r="D10" i="2"/>
  <c r="N5" i="20"/>
  <c r="N6" i="20" s="1"/>
  <c r="L5" i="5"/>
  <c r="E60" i="16"/>
  <c r="C60" i="16"/>
  <c r="F46" i="18"/>
  <c r="C40" i="18"/>
  <c r="C48" i="18" s="1"/>
  <c r="F41" i="18"/>
  <c r="D41" i="18"/>
  <c r="F19" i="18"/>
  <c r="W23" i="20"/>
  <c r="V23" i="20"/>
  <c r="R25" i="20"/>
  <c r="R26" i="20" s="1"/>
  <c r="D21" i="18"/>
  <c r="W29" i="20"/>
  <c r="D12" i="18"/>
  <c r="E9" i="16"/>
  <c r="E23" i="16" s="1"/>
  <c r="C61" i="16" s="1"/>
  <c r="W13" i="20"/>
  <c r="E15" i="24"/>
  <c r="C60" i="1"/>
  <c r="F19" i="3" s="1"/>
  <c r="H15" i="24" s="1"/>
  <c r="G9" i="18"/>
  <c r="H9" i="18" s="1"/>
  <c r="G60" i="1"/>
  <c r="D19" i="3" s="1"/>
  <c r="D15" i="24" s="1"/>
  <c r="F11" i="18"/>
  <c r="D11" i="18"/>
  <c r="F13" i="18"/>
  <c r="D10" i="18"/>
  <c r="C9" i="18"/>
  <c r="V35" i="5"/>
  <c r="W35" i="5"/>
  <c r="E42" i="22"/>
  <c r="F40" i="22"/>
  <c r="AA54" i="5"/>
  <c r="AB54" i="5"/>
  <c r="C42" i="22"/>
  <c r="AA8" i="20"/>
  <c r="AB8" i="20"/>
  <c r="G10" i="24"/>
  <c r="W35" i="20"/>
  <c r="V35" i="20"/>
  <c r="AA17" i="5"/>
  <c r="AB14" i="20"/>
  <c r="AA14" i="20"/>
  <c r="H14" i="2"/>
  <c r="N5" i="5"/>
  <c r="L5" i="20"/>
  <c r="L46" i="5"/>
  <c r="E17" i="24"/>
  <c r="E61" i="1"/>
  <c r="E20" i="3" s="1"/>
  <c r="F17" i="24" s="1"/>
  <c r="F18" i="24" s="1"/>
  <c r="G17" i="24"/>
  <c r="C61" i="1"/>
  <c r="F20" i="3" s="1"/>
  <c r="V28" i="20"/>
  <c r="V29" i="20" s="1"/>
  <c r="S19" i="20"/>
  <c r="S20" i="20" s="1"/>
  <c r="Q20" i="20" s="1"/>
  <c r="C16" i="1"/>
  <c r="D16" i="1" s="1"/>
  <c r="C16" i="24"/>
  <c r="C18" i="24" s="1"/>
  <c r="G83" i="1"/>
  <c r="H83" i="1" s="1"/>
  <c r="W9" i="20"/>
  <c r="W10" i="20" s="1"/>
  <c r="E9" i="1"/>
  <c r="G5" i="23"/>
  <c r="G34" i="23" s="1"/>
  <c r="G8" i="19"/>
  <c r="G9" i="17"/>
  <c r="F44" i="18"/>
  <c r="H44" i="18"/>
  <c r="D30" i="18"/>
  <c r="H30" i="18"/>
  <c r="D20" i="18"/>
  <c r="H20" i="18"/>
  <c r="C37" i="24"/>
  <c r="H16" i="23"/>
  <c r="D10" i="22"/>
  <c r="H10" i="22"/>
  <c r="G27" i="24"/>
  <c r="C37" i="1"/>
  <c r="AC23" i="5"/>
  <c r="AC24" i="5" s="1"/>
  <c r="E27" i="24"/>
  <c r="E37" i="1"/>
  <c r="AB23" i="5"/>
  <c r="AA23" i="5"/>
  <c r="AA24" i="5" s="1"/>
  <c r="G37" i="1"/>
  <c r="AC39" i="5"/>
  <c r="AC40" i="5" s="1"/>
  <c r="AC39" i="20"/>
  <c r="AC40" i="20" s="1"/>
  <c r="AB36" i="20"/>
  <c r="AB37" i="20" s="1"/>
  <c r="AB36" i="5"/>
  <c r="AB37" i="5" s="1"/>
  <c r="E77" i="1"/>
  <c r="F77" i="1" s="1"/>
  <c r="AA36" i="5"/>
  <c r="AA37" i="5" s="1"/>
  <c r="H19" i="2"/>
  <c r="D13" i="19"/>
  <c r="F13" i="19"/>
  <c r="C38" i="24"/>
  <c r="G27" i="23"/>
  <c r="H25" i="23" s="1"/>
  <c r="C42" i="24"/>
  <c r="D55" i="3"/>
  <c r="H11" i="23"/>
  <c r="E42" i="24"/>
  <c r="E35" i="3"/>
  <c r="X46" i="20"/>
  <c r="X47" i="20" s="1"/>
  <c r="X46" i="5"/>
  <c r="X47" i="5" s="1"/>
  <c r="W47" i="5" s="1"/>
  <c r="AC43" i="5"/>
  <c r="AC44" i="5" s="1"/>
  <c r="AB44" i="5" s="1"/>
  <c r="AC43" i="20"/>
  <c r="AC44" i="20" s="1"/>
  <c r="AB44" i="20" s="1"/>
  <c r="D25" i="2"/>
  <c r="D23" i="19"/>
  <c r="F23" i="19"/>
  <c r="H19" i="19"/>
  <c r="F19" i="19"/>
  <c r="C40" i="1"/>
  <c r="E9" i="18"/>
  <c r="E44" i="23"/>
  <c r="F49" i="23" s="1"/>
  <c r="E27" i="22"/>
  <c r="F27" i="22" s="1"/>
  <c r="D27" i="19"/>
  <c r="X5" i="20"/>
  <c r="X6" i="20" s="1"/>
  <c r="D77" i="1"/>
  <c r="W2" i="20"/>
  <c r="W3" i="20" s="1"/>
  <c r="W2" i="5"/>
  <c r="W3" i="5" s="1"/>
  <c r="R19" i="20"/>
  <c r="R20" i="20" s="1"/>
  <c r="E16" i="1"/>
  <c r="W15" i="20"/>
  <c r="W16" i="20" s="1"/>
  <c r="E83" i="1"/>
  <c r="F83" i="1" s="1"/>
  <c r="G16" i="24"/>
  <c r="G18" i="24" s="1"/>
  <c r="C63" i="1"/>
  <c r="F21" i="3" s="1"/>
  <c r="H16" i="24" s="1"/>
  <c r="E8" i="2"/>
  <c r="E5" i="21"/>
  <c r="E34" i="21" s="1"/>
  <c r="E9" i="17"/>
  <c r="C25" i="20"/>
  <c r="H11" i="20" s="1"/>
  <c r="H41" i="20" s="1"/>
  <c r="E5" i="22"/>
  <c r="E34" i="22" s="1"/>
  <c r="E5" i="23"/>
  <c r="E34" i="23" s="1"/>
  <c r="D45" i="18"/>
  <c r="H45" i="18"/>
  <c r="F43" i="18"/>
  <c r="D43" i="18"/>
  <c r="H31" i="18"/>
  <c r="F31" i="18"/>
  <c r="D29" i="18"/>
  <c r="H29" i="18"/>
  <c r="H36" i="23"/>
  <c r="G38" i="23"/>
  <c r="E37" i="24"/>
  <c r="E18" i="23"/>
  <c r="F17" i="23" s="1"/>
  <c r="F48" i="22"/>
  <c r="D48" i="22"/>
  <c r="H9" i="22"/>
  <c r="F9" i="22"/>
  <c r="G22" i="2"/>
  <c r="H24" i="2"/>
  <c r="H22" i="22"/>
  <c r="F22" i="22"/>
  <c r="C36" i="24"/>
  <c r="D43" i="3"/>
  <c r="R8" i="5"/>
  <c r="R9" i="5" s="1"/>
  <c r="E11" i="2"/>
  <c r="AA46" i="5"/>
  <c r="AA46" i="20"/>
  <c r="AA47" i="20" s="1"/>
  <c r="D37" i="18"/>
  <c r="G16" i="2"/>
  <c r="H37" i="18"/>
  <c r="Q33" i="20"/>
  <c r="L46" i="20"/>
  <c r="H44" i="22"/>
  <c r="F41" i="3"/>
  <c r="AC7" i="5"/>
  <c r="AC8" i="5" s="1"/>
  <c r="AA8" i="5" s="1"/>
  <c r="V18" i="20"/>
  <c r="V19" i="20" s="1"/>
  <c r="D44" i="18"/>
  <c r="D60" i="3"/>
  <c r="C44" i="22"/>
  <c r="D44" i="22" s="1"/>
  <c r="E18" i="22"/>
  <c r="D39" i="18"/>
  <c r="C22" i="19"/>
  <c r="D19" i="1" l="1"/>
  <c r="C16" i="2"/>
  <c r="D43" i="1"/>
  <c r="H11" i="22"/>
  <c r="F11" i="22"/>
  <c r="D34" i="1"/>
  <c r="F24" i="23"/>
  <c r="F27" i="23"/>
  <c r="F25" i="23"/>
  <c r="D11" i="22"/>
  <c r="D29" i="22"/>
  <c r="W42" i="20"/>
  <c r="W42" i="5"/>
  <c r="D26" i="18"/>
  <c r="D13" i="1"/>
  <c r="D23" i="2"/>
  <c r="D29" i="2"/>
  <c r="D18" i="23"/>
  <c r="D17" i="23"/>
  <c r="D15" i="23"/>
  <c r="D16" i="23"/>
  <c r="D9" i="18"/>
  <c r="D17" i="2"/>
  <c r="E18" i="24"/>
  <c r="G39" i="24" s="1"/>
  <c r="G43" i="24" s="1"/>
  <c r="D31" i="1"/>
  <c r="D14" i="19"/>
  <c r="L47" i="5"/>
  <c r="F16" i="18"/>
  <c r="G29" i="22"/>
  <c r="H29" i="22" s="1"/>
  <c r="D17" i="1"/>
  <c r="D33" i="1"/>
  <c r="D39" i="1"/>
  <c r="D32" i="1"/>
  <c r="D29" i="1"/>
  <c r="D38" i="1"/>
  <c r="D35" i="1"/>
  <c r="D28" i="1"/>
  <c r="D30" i="1"/>
  <c r="AA44" i="20"/>
  <c r="D16" i="18"/>
  <c r="D40" i="22"/>
  <c r="D18" i="24"/>
  <c r="D21" i="1"/>
  <c r="G42" i="22"/>
  <c r="H42" i="22" s="1"/>
  <c r="F42" i="23"/>
  <c r="E58" i="3"/>
  <c r="E59" i="3"/>
  <c r="H24" i="23"/>
  <c r="AA14" i="5"/>
  <c r="H26" i="18"/>
  <c r="G48" i="18"/>
  <c r="G9" i="1"/>
  <c r="G61" i="16"/>
  <c r="E59" i="16"/>
  <c r="AA47" i="5"/>
  <c r="X42" i="20"/>
  <c r="X43" i="20" s="1"/>
  <c r="W43" i="20" s="1"/>
  <c r="D22" i="2"/>
  <c r="X42" i="5"/>
  <c r="X43" i="5" s="1"/>
  <c r="W43" i="5" s="1"/>
  <c r="W51" i="5"/>
  <c r="V51" i="5"/>
  <c r="AB51" i="5"/>
  <c r="AA51" i="5"/>
  <c r="D18" i="2"/>
  <c r="D20" i="2"/>
  <c r="D19" i="2"/>
  <c r="D15" i="2"/>
  <c r="D13" i="2"/>
  <c r="D11" i="2"/>
  <c r="H14" i="19"/>
  <c r="F14" i="19"/>
  <c r="G16" i="19"/>
  <c r="C21" i="19"/>
  <c r="C28" i="19" s="1"/>
  <c r="D16" i="19"/>
  <c r="Q3" i="5"/>
  <c r="L47" i="20"/>
  <c r="AB39" i="20"/>
  <c r="AB40" i="20" s="1"/>
  <c r="AB39" i="5"/>
  <c r="AB40" i="5" s="1"/>
  <c r="F17" i="19"/>
  <c r="E21" i="19"/>
  <c r="E17" i="2"/>
  <c r="E9" i="24"/>
  <c r="W15" i="5"/>
  <c r="W16" i="5" s="1"/>
  <c r="V15" i="5"/>
  <c r="V16" i="5" s="1"/>
  <c r="C9" i="24"/>
  <c r="D22" i="3"/>
  <c r="C25" i="24"/>
  <c r="C26" i="24" s="1"/>
  <c r="C28" i="24" s="1"/>
  <c r="Q25" i="20"/>
  <c r="Q26" i="20" s="1"/>
  <c r="D37" i="3"/>
  <c r="G16" i="1"/>
  <c r="E25" i="24"/>
  <c r="E26" i="24" s="1"/>
  <c r="E28" i="24" s="1"/>
  <c r="E37" i="3"/>
  <c r="D10" i="1"/>
  <c r="D18" i="1"/>
  <c r="F16" i="3"/>
  <c r="S13" i="5"/>
  <c r="S14" i="5" s="1"/>
  <c r="D44" i="1"/>
  <c r="D27" i="1"/>
  <c r="D42" i="1"/>
  <c r="D20" i="1"/>
  <c r="D26" i="1"/>
  <c r="D11" i="1"/>
  <c r="F17" i="3"/>
  <c r="N19" i="20"/>
  <c r="D12" i="1"/>
  <c r="D41" i="1"/>
  <c r="D15" i="1"/>
  <c r="D47" i="1"/>
  <c r="D9" i="1"/>
  <c r="D46" i="1"/>
  <c r="V9" i="20"/>
  <c r="V10" i="20" s="1"/>
  <c r="H26" i="23"/>
  <c r="C43" i="24"/>
  <c r="H9" i="23"/>
  <c r="H10" i="23"/>
  <c r="H8" i="23"/>
  <c r="D53" i="3"/>
  <c r="F15" i="23"/>
  <c r="F16" i="23"/>
  <c r="D42" i="22"/>
  <c r="F42" i="22"/>
  <c r="F48" i="23"/>
  <c r="F50" i="23"/>
  <c r="F47" i="23"/>
  <c r="F45" i="23"/>
  <c r="F46" i="23"/>
  <c r="D40" i="23"/>
  <c r="C42" i="23"/>
  <c r="S34" i="20"/>
  <c r="Q34" i="20" s="1"/>
  <c r="F27" i="3"/>
  <c r="D16" i="2"/>
  <c r="C21" i="2"/>
  <c r="S34" i="5"/>
  <c r="Q34" i="5" s="1"/>
  <c r="D40" i="18"/>
  <c r="C59" i="16"/>
  <c r="E61" i="16"/>
  <c r="G23" i="18"/>
  <c r="H23" i="18" s="1"/>
  <c r="C8" i="24"/>
  <c r="Q13" i="20"/>
  <c r="Q14" i="20" s="1"/>
  <c r="D8" i="3"/>
  <c r="D49" i="3" s="1"/>
  <c r="C19" i="24"/>
  <c r="C23" i="18"/>
  <c r="E19" i="24"/>
  <c r="D22" i="19"/>
  <c r="E29" i="23"/>
  <c r="F18" i="23"/>
  <c r="H38" i="23"/>
  <c r="G40" i="23"/>
  <c r="F44" i="23"/>
  <c r="E60" i="3"/>
  <c r="F32" i="3"/>
  <c r="G24" i="24"/>
  <c r="G26" i="24" s="1"/>
  <c r="G28" i="24" s="1"/>
  <c r="F37" i="3"/>
  <c r="C65" i="1"/>
  <c r="D40" i="1"/>
  <c r="C48" i="1"/>
  <c r="F13" i="3"/>
  <c r="G29" i="23"/>
  <c r="H27" i="23"/>
  <c r="AA40" i="5"/>
  <c r="E48" i="1"/>
  <c r="R19" i="5"/>
  <c r="E36" i="1"/>
  <c r="F36" i="1" s="1"/>
  <c r="W25" i="5"/>
  <c r="E14" i="3"/>
  <c r="E13" i="3"/>
  <c r="E15" i="3"/>
  <c r="E50" i="3" s="1"/>
  <c r="R13" i="20"/>
  <c r="R14" i="20" s="1"/>
  <c r="E8" i="24"/>
  <c r="E23" i="1"/>
  <c r="F37" i="1" s="1"/>
  <c r="E10" i="3"/>
  <c r="E47" i="3" s="1"/>
  <c r="E9" i="3"/>
  <c r="E48" i="3" s="1"/>
  <c r="E8" i="3"/>
  <c r="E49" i="3" s="1"/>
  <c r="H17" i="24"/>
  <c r="F22" i="3"/>
  <c r="N6" i="5"/>
  <c r="L6" i="5" s="1"/>
  <c r="H18" i="24"/>
  <c r="G19" i="24" s="1"/>
  <c r="E22" i="3"/>
  <c r="AA44" i="5"/>
  <c r="V47" i="5"/>
  <c r="E29" i="22"/>
  <c r="F18" i="22"/>
  <c r="D27" i="3"/>
  <c r="H16" i="2"/>
  <c r="G21" i="2"/>
  <c r="R8" i="20"/>
  <c r="R9" i="20" s="1"/>
  <c r="E14" i="2"/>
  <c r="F11" i="2" s="1"/>
  <c r="V42" i="20"/>
  <c r="V43" i="20" s="1"/>
  <c r="V42" i="5"/>
  <c r="H22" i="2"/>
  <c r="W6" i="20"/>
  <c r="V6" i="20"/>
  <c r="F9" i="18"/>
  <c r="E23" i="18"/>
  <c r="F23" i="18" s="1"/>
  <c r="V47" i="20"/>
  <c r="W47" i="20"/>
  <c r="W38" i="5"/>
  <c r="W39" i="5" s="1"/>
  <c r="W38" i="20"/>
  <c r="W39" i="20" s="1"/>
  <c r="F17" i="2"/>
  <c r="AA40" i="20"/>
  <c r="Q19" i="5"/>
  <c r="D15" i="3"/>
  <c r="D50" i="3" s="1"/>
  <c r="V25" i="5"/>
  <c r="D13" i="3"/>
  <c r="D10" i="3"/>
  <c r="D47" i="3" s="1"/>
  <c r="G36" i="1"/>
  <c r="D14" i="3"/>
  <c r="G48" i="1"/>
  <c r="C36" i="1"/>
  <c r="D36" i="1" s="1"/>
  <c r="D37" i="1"/>
  <c r="F10" i="3"/>
  <c r="F47" i="3" s="1"/>
  <c r="F15" i="3"/>
  <c r="F50" i="3" s="1"/>
  <c r="F12" i="3"/>
  <c r="S19" i="5"/>
  <c r="X25" i="5"/>
  <c r="X26" i="5" s="1"/>
  <c r="F14" i="3"/>
  <c r="L6" i="20"/>
  <c r="AB24" i="5"/>
  <c r="AB8" i="5"/>
  <c r="F22" i="2" l="1"/>
  <c r="E39" i="24"/>
  <c r="E43" i="24" s="1"/>
  <c r="F13" i="2"/>
  <c r="F29" i="2"/>
  <c r="F27" i="2"/>
  <c r="F23" i="2"/>
  <c r="E10" i="24"/>
  <c r="F17" i="1"/>
  <c r="F34" i="1"/>
  <c r="F29" i="1"/>
  <c r="F38" i="1"/>
  <c r="F39" i="1"/>
  <c r="F31" i="1"/>
  <c r="F33" i="1"/>
  <c r="F35" i="1"/>
  <c r="F32" i="1"/>
  <c r="F30" i="1"/>
  <c r="F28" i="1"/>
  <c r="F29" i="22"/>
  <c r="H48" i="18"/>
  <c r="D48" i="18"/>
  <c r="F48" i="18"/>
  <c r="C10" i="24"/>
  <c r="D23" i="18"/>
  <c r="D9" i="3"/>
  <c r="D48" i="3" s="1"/>
  <c r="G23" i="1"/>
  <c r="V43" i="5"/>
  <c r="G21" i="19"/>
  <c r="D21" i="19" s="1"/>
  <c r="F16" i="19"/>
  <c r="H16" i="19"/>
  <c r="F10" i="2"/>
  <c r="F18" i="2"/>
  <c r="F15" i="2"/>
  <c r="F19" i="2"/>
  <c r="F20" i="2"/>
  <c r="E28" i="19"/>
  <c r="F43" i="1"/>
  <c r="F47" i="1"/>
  <c r="F27" i="1"/>
  <c r="F41" i="1"/>
  <c r="F45" i="1"/>
  <c r="F40" i="1"/>
  <c r="F26" i="1"/>
  <c r="F44" i="1"/>
  <c r="F46" i="1"/>
  <c r="N20" i="20"/>
  <c r="I12" i="20"/>
  <c r="I13" i="20" s="1"/>
  <c r="F58" i="3"/>
  <c r="F59" i="3"/>
  <c r="F57" i="3"/>
  <c r="D42" i="23"/>
  <c r="F28" i="3"/>
  <c r="D21" i="2"/>
  <c r="F42" i="3"/>
  <c r="C28" i="2"/>
  <c r="F20" i="1"/>
  <c r="F19" i="1"/>
  <c r="F15" i="1"/>
  <c r="F21" i="1"/>
  <c r="F18" i="1"/>
  <c r="F16" i="1"/>
  <c r="F9" i="1"/>
  <c r="F12" i="1"/>
  <c r="F11" i="1"/>
  <c r="F14" i="1"/>
  <c r="F10" i="1"/>
  <c r="F13" i="1"/>
  <c r="N19" i="5"/>
  <c r="S20" i="5"/>
  <c r="R20" i="5" s="1"/>
  <c r="R13" i="5"/>
  <c r="M19" i="20"/>
  <c r="M20" i="20" s="1"/>
  <c r="E16" i="3"/>
  <c r="C64" i="1"/>
  <c r="E17" i="3"/>
  <c r="C66" i="1"/>
  <c r="E66" i="1"/>
  <c r="E52" i="3" s="1"/>
  <c r="E57" i="3"/>
  <c r="W26" i="5"/>
  <c r="M46" i="20"/>
  <c r="M47" i="20" s="1"/>
  <c r="M5" i="20"/>
  <c r="R33" i="5"/>
  <c r="M46" i="5"/>
  <c r="M47" i="5" s="1"/>
  <c r="R33" i="20"/>
  <c r="E16" i="2"/>
  <c r="F14" i="2"/>
  <c r="M5" i="5"/>
  <c r="H21" i="2"/>
  <c r="D28" i="3"/>
  <c r="G28" i="2"/>
  <c r="D42" i="3"/>
  <c r="H40" i="23"/>
  <c r="G42" i="23"/>
  <c r="C31" i="19"/>
  <c r="V26" i="5"/>
  <c r="E12" i="3"/>
  <c r="E39" i="3" l="1"/>
  <c r="H35" i="1"/>
  <c r="H21" i="1"/>
  <c r="H17" i="1"/>
  <c r="H32" i="1"/>
  <c r="H39" i="1"/>
  <c r="H33" i="1"/>
  <c r="H29" i="1"/>
  <c r="H43" i="1"/>
  <c r="H41" i="1"/>
  <c r="H26" i="1"/>
  <c r="H45" i="1"/>
  <c r="H44" i="1"/>
  <c r="H19" i="1"/>
  <c r="H18" i="1"/>
  <c r="H15" i="1"/>
  <c r="H14" i="1"/>
  <c r="H9" i="1"/>
  <c r="D17" i="3"/>
  <c r="Q13" i="5"/>
  <c r="L19" i="20"/>
  <c r="G64" i="1"/>
  <c r="D38" i="3" s="1"/>
  <c r="H37" i="1"/>
  <c r="H28" i="1"/>
  <c r="H34" i="1"/>
  <c r="H30" i="1"/>
  <c r="H38" i="1"/>
  <c r="H31" i="1"/>
  <c r="H47" i="1"/>
  <c r="H40" i="1"/>
  <c r="H27" i="1"/>
  <c r="H46" i="1"/>
  <c r="H20" i="1"/>
  <c r="H16" i="1"/>
  <c r="H12" i="1"/>
  <c r="H11" i="1"/>
  <c r="H10" i="1"/>
  <c r="H13" i="1"/>
  <c r="D16" i="3"/>
  <c r="G66" i="1"/>
  <c r="D12" i="3"/>
  <c r="E64" i="1"/>
  <c r="E38" i="3" s="1"/>
  <c r="H36" i="1"/>
  <c r="F21" i="19"/>
  <c r="H21" i="19"/>
  <c r="G28" i="19"/>
  <c r="F28" i="19" s="1"/>
  <c r="E31" i="19"/>
  <c r="Q20" i="5"/>
  <c r="F54" i="3"/>
  <c r="G45" i="24"/>
  <c r="G47" i="24" s="1"/>
  <c r="F29" i="3"/>
  <c r="C31" i="2"/>
  <c r="D28" i="2"/>
  <c r="D58" i="3"/>
  <c r="D59" i="3"/>
  <c r="D57" i="3"/>
  <c r="H42" i="23"/>
  <c r="D54" i="3"/>
  <c r="C45" i="24"/>
  <c r="C47" i="24" s="1"/>
  <c r="M6" i="5"/>
  <c r="E21" i="2"/>
  <c r="E27" i="3"/>
  <c r="F16" i="2"/>
  <c r="H12" i="20"/>
  <c r="M6" i="20"/>
  <c r="M19" i="5"/>
  <c r="R14" i="5"/>
  <c r="N20" i="5"/>
  <c r="I12" i="5"/>
  <c r="H28" i="2"/>
  <c r="G31" i="2"/>
  <c r="D29" i="3"/>
  <c r="R34" i="20"/>
  <c r="R34" i="5"/>
  <c r="F52" i="3"/>
  <c r="F39" i="3"/>
  <c r="F24" i="3"/>
  <c r="F38" i="3"/>
  <c r="G12" i="20" l="1"/>
  <c r="G13" i="20" s="1"/>
  <c r="L20" i="20"/>
  <c r="D52" i="3"/>
  <c r="D39" i="3"/>
  <c r="Q14" i="5"/>
  <c r="L19" i="5"/>
  <c r="G12" i="5" s="1"/>
  <c r="G31" i="19"/>
  <c r="F31" i="19" s="1"/>
  <c r="H28" i="19"/>
  <c r="D28" i="19"/>
  <c r="F30" i="3"/>
  <c r="F33" i="3"/>
  <c r="F34" i="3" s="1"/>
  <c r="D31" i="2"/>
  <c r="F40" i="3"/>
  <c r="N38" i="20"/>
  <c r="N38" i="5"/>
  <c r="F25" i="3"/>
  <c r="F46" i="3" s="1"/>
  <c r="F45" i="3" s="1"/>
  <c r="D33" i="3"/>
  <c r="D34" i="3" s="1"/>
  <c r="D40" i="3"/>
  <c r="L38" i="5"/>
  <c r="D25" i="3"/>
  <c r="D46" i="3" s="1"/>
  <c r="D45" i="3" s="1"/>
  <c r="L38" i="20"/>
  <c r="D24" i="3"/>
  <c r="D30" i="3"/>
  <c r="H31" i="2"/>
  <c r="I13" i="5"/>
  <c r="E42" i="3"/>
  <c r="E28" i="3"/>
  <c r="F21" i="2"/>
  <c r="E28" i="2"/>
  <c r="H13" i="20"/>
  <c r="M20" i="5"/>
  <c r="H12" i="5"/>
  <c r="G13" i="5" l="1"/>
  <c r="L20" i="5"/>
  <c r="H31" i="19"/>
  <c r="D31" i="19"/>
  <c r="N39" i="20"/>
  <c r="L39" i="20" s="1"/>
  <c r="I42" i="20"/>
  <c r="S42" i="20"/>
  <c r="S43" i="20" s="1"/>
  <c r="N39" i="5"/>
  <c r="L39" i="5" s="1"/>
  <c r="I42" i="5"/>
  <c r="S42" i="5"/>
  <c r="S43" i="5" s="1"/>
  <c r="H13" i="5"/>
  <c r="E54" i="3"/>
  <c r="E45" i="24"/>
  <c r="E47" i="24" s="1"/>
  <c r="G42" i="20"/>
  <c r="Q42" i="20"/>
  <c r="G42" i="5"/>
  <c r="Q42" i="5"/>
  <c r="F28" i="2"/>
  <c r="E31" i="2"/>
  <c r="E29" i="3"/>
  <c r="Q43" i="20" l="1"/>
  <c r="Q43" i="5"/>
  <c r="I43" i="5"/>
  <c r="D26" i="5"/>
  <c r="D27" i="5" s="1"/>
  <c r="I43" i="20"/>
  <c r="D26" i="20"/>
  <c r="D27" i="20" s="1"/>
  <c r="G43" i="5"/>
  <c r="B26" i="5"/>
  <c r="B27" i="5" s="1"/>
  <c r="G43" i="20"/>
  <c r="B26" i="20"/>
  <c r="B27" i="20" s="1"/>
  <c r="E40" i="3"/>
  <c r="M38" i="20"/>
  <c r="F31" i="2"/>
  <c r="E25" i="3"/>
  <c r="E46" i="3" s="1"/>
  <c r="E45" i="3" s="1"/>
  <c r="M38" i="5"/>
  <c r="E33" i="3"/>
  <c r="E34" i="3" s="1"/>
  <c r="E30" i="3"/>
  <c r="E24" i="3"/>
  <c r="M39" i="5" l="1"/>
  <c r="H42" i="5"/>
  <c r="R42" i="5"/>
  <c r="R43" i="5" s="1"/>
  <c r="H42" i="20"/>
  <c r="M39" i="20"/>
  <c r="R42" i="20"/>
  <c r="R43" i="20" s="1"/>
  <c r="H43" i="20" l="1"/>
  <c r="C26" i="20"/>
  <c r="C27" i="20" s="1"/>
  <c r="H43" i="5"/>
  <c r="C26" i="5"/>
  <c r="C27" i="5" s="1"/>
</calcChain>
</file>

<file path=xl/sharedStrings.xml><?xml version="1.0" encoding="utf-8"?>
<sst xmlns="http://schemas.openxmlformats.org/spreadsheetml/2006/main" count="709" uniqueCount="349">
  <si>
    <t>BALANÇO PATRIMONIAL</t>
  </si>
  <si>
    <t>Prof. Roberto Aurélio Merlo</t>
  </si>
  <si>
    <t>ANO</t>
  </si>
  <si>
    <t>Análise</t>
  </si>
  <si>
    <t>CONTA</t>
  </si>
  <si>
    <t>R$ Mil</t>
  </si>
  <si>
    <t>Vertical%</t>
  </si>
  <si>
    <t>ATIVO</t>
  </si>
  <si>
    <t xml:space="preserve">   CIRCULANTE</t>
  </si>
  <si>
    <t xml:space="preserve">   - Duplicatas a Receber</t>
  </si>
  <si>
    <t xml:space="preserve">   - Estoques</t>
  </si>
  <si>
    <t xml:space="preserve">   - Aplicações Financeiras</t>
  </si>
  <si>
    <t xml:space="preserve">   - Outras Contas a Receber</t>
  </si>
  <si>
    <t xml:space="preserve">   - Outros Créditos</t>
  </si>
  <si>
    <t>TOTAL DO ATIVO</t>
  </si>
  <si>
    <t>PASSIVO</t>
  </si>
  <si>
    <t xml:space="preserve">   - Fornecedores</t>
  </si>
  <si>
    <t xml:space="preserve">   - Obrigações Fiscais</t>
  </si>
  <si>
    <t xml:space="preserve">   - Obrigações Trabalhistas</t>
  </si>
  <si>
    <t xml:space="preserve">   - Contas a Pagar</t>
  </si>
  <si>
    <t xml:space="preserve">   - Instituições Financeiras</t>
  </si>
  <si>
    <t xml:space="preserve">   - Outras Obrigações</t>
  </si>
  <si>
    <t xml:space="preserve">   PATRIMÔNIO LÍQUIDO</t>
  </si>
  <si>
    <t xml:space="preserve">   - Capital Social</t>
  </si>
  <si>
    <t xml:space="preserve">   - Reservas de Capital</t>
  </si>
  <si>
    <t xml:space="preserve">   - Reservas de Lucros</t>
  </si>
  <si>
    <t xml:space="preserve">   - Resultados Acumulados</t>
  </si>
  <si>
    <t xml:space="preserve">   - Participação Minoritária</t>
  </si>
  <si>
    <t>TOTAL DO PASSIVO</t>
  </si>
  <si>
    <t>INFORMAÇÕES COMPLEMENTARES</t>
  </si>
  <si>
    <t xml:space="preserve">   Duplicatas a Receber Média</t>
  </si>
  <si>
    <t xml:space="preserve">   Fornecedores Médio</t>
  </si>
  <si>
    <t xml:space="preserve">   Compras do Ano</t>
  </si>
  <si>
    <t xml:space="preserve">   Estoques Médio</t>
  </si>
  <si>
    <t xml:space="preserve">   Ativo Total Médio</t>
  </si>
  <si>
    <t xml:space="preserve">   Patrimônio Líquido Médio</t>
  </si>
  <si>
    <t xml:space="preserve">   Ativo Operacional Médio</t>
  </si>
  <si>
    <t xml:space="preserve">   Nº de Ações</t>
  </si>
  <si>
    <t xml:space="preserve">   Preço da Ação no Mercado</t>
  </si>
  <si>
    <t xml:space="preserve">   Prazo Venc.Dívidas de L.P.</t>
  </si>
  <si>
    <t>INFORMAÇÕES COMPLEMENTARES - FÓRMULA DU PONT</t>
  </si>
  <si>
    <t xml:space="preserve"> </t>
  </si>
  <si>
    <t xml:space="preserve">   Vendas Mercado Interno</t>
  </si>
  <si>
    <t xml:space="preserve">   Vendas Mercado Externo</t>
  </si>
  <si>
    <t xml:space="preserve">   Receita Operacional Bruta</t>
  </si>
  <si>
    <t xml:space="preserve">   Mercadorias p/Revenda</t>
  </si>
  <si>
    <t xml:space="preserve">   Outros Estoques</t>
  </si>
  <si>
    <t xml:space="preserve">   Total dos Estoques</t>
  </si>
  <si>
    <t xml:space="preserve">   Máquinas e Equipamentos</t>
  </si>
  <si>
    <t xml:space="preserve">   Outros Imobilizados</t>
  </si>
  <si>
    <t xml:space="preserve">   Total do Imobilizado</t>
  </si>
  <si>
    <t>DEMONSTRAÇÃO DE RESULTADOS</t>
  </si>
  <si>
    <t xml:space="preserve">  Receita Operacional Bruta</t>
  </si>
  <si>
    <t xml:space="preserve">  (-) Deduções Receita Bruta</t>
  </si>
  <si>
    <t xml:space="preserve">  Receita Operacional Líquida</t>
  </si>
  <si>
    <t xml:space="preserve">  (-) Despesas Operacionais</t>
  </si>
  <si>
    <t xml:space="preserve">       . Despesas c/Vendas</t>
  </si>
  <si>
    <t xml:space="preserve">       . Despesas Administrativas</t>
  </si>
  <si>
    <t xml:space="preserve">       . Outras Despesas</t>
  </si>
  <si>
    <t xml:space="preserve">  Resultado Antes Juros/Equiv./I.Renda</t>
  </si>
  <si>
    <t xml:space="preserve">  Encargos Financeiros Líquidos</t>
  </si>
  <si>
    <t xml:space="preserve">       . (+)Receitas Financeiras</t>
  </si>
  <si>
    <t xml:space="preserve">       . (-)Despesas Financeiras</t>
  </si>
  <si>
    <t xml:space="preserve">  Outras Rec/Desp.Operacionais</t>
  </si>
  <si>
    <t xml:space="preserve">  Resultado Operacional</t>
  </si>
  <si>
    <t xml:space="preserve">  (-) Provisão p/IRPJ e C.Social</t>
  </si>
  <si>
    <t xml:space="preserve">  (-) Participações</t>
  </si>
  <si>
    <t xml:space="preserve">  Resultado Líquido do Período</t>
  </si>
  <si>
    <t>INDICADORES ECONÔMICO-FINANCEIROS</t>
  </si>
  <si>
    <t>INDICADOR</t>
  </si>
  <si>
    <t>FÓRMULA</t>
  </si>
  <si>
    <t>ÍNDICE</t>
  </si>
  <si>
    <t>LIQUIDEZ</t>
  </si>
  <si>
    <t>(11/21)</t>
  </si>
  <si>
    <t>(11-113)/21</t>
  </si>
  <si>
    <t>ENDIVIDAMENTO</t>
  </si>
  <si>
    <t>(215/1) x 100</t>
  </si>
  <si>
    <t>ATIVIDADE</t>
  </si>
  <si>
    <t>(31/41) x 360 dias</t>
  </si>
  <si>
    <t>(34/421) x 360 dias</t>
  </si>
  <si>
    <t>1 - 2 + 3</t>
  </si>
  <si>
    <t>RENTABILIDADE</t>
  </si>
  <si>
    <t>LUCRATIVIDADE</t>
  </si>
  <si>
    <t>(43/42) x 100</t>
  </si>
  <si>
    <t>(44/42) x 100</t>
  </si>
  <si>
    <t>(45/42) x 100</t>
  </si>
  <si>
    <t>(42/35)</t>
  </si>
  <si>
    <t>(42/37)</t>
  </si>
  <si>
    <t>(23/38)</t>
  </si>
  <si>
    <t>(13/23) x 100</t>
  </si>
  <si>
    <t>TESTE DE SOLVÊNCIA</t>
  </si>
  <si>
    <t xml:space="preserve">   Fator de Insolvência de Kanitz</t>
  </si>
  <si>
    <t>1 + 2 + 3 - 4 - 5</t>
  </si>
  <si>
    <t xml:space="preserve">      1.Taxa Retorno s/Patrimônio Líquido</t>
  </si>
  <si>
    <t xml:space="preserve">      2.Liquidez Geral</t>
  </si>
  <si>
    <t xml:space="preserve">      3.Liquidez Seca</t>
  </si>
  <si>
    <t xml:space="preserve">      4.Liquidez Corrente</t>
  </si>
  <si>
    <t xml:space="preserve">      5.Endividamento Geral s/PL</t>
  </si>
  <si>
    <t>(44+39)</t>
  </si>
  <si>
    <t>Evol.</t>
  </si>
  <si>
    <t>Vendas Brutas</t>
  </si>
  <si>
    <t>Mercado Interno</t>
  </si>
  <si>
    <t>Vendas Líquidas</t>
  </si>
  <si>
    <t>Mercado Externo</t>
  </si>
  <si>
    <t xml:space="preserve"> -   (menos)</t>
  </si>
  <si>
    <t>Deduções</t>
  </si>
  <si>
    <t>Disponivel/Aplic.Financeiras</t>
  </si>
  <si>
    <t>Produtos Acabados/Elaboração</t>
  </si>
  <si>
    <t>Giro do Ativo</t>
  </si>
  <si>
    <t>Duplicatas a Receber</t>
  </si>
  <si>
    <t xml:space="preserve"> /   (dividido)</t>
  </si>
  <si>
    <t>Circulante</t>
  </si>
  <si>
    <t>Matérias Primas/Embalagens</t>
  </si>
  <si>
    <t>Estoques</t>
  </si>
  <si>
    <t>Mercadorias p/Revenda</t>
  </si>
  <si>
    <t xml:space="preserve">  +   (mais)</t>
  </si>
  <si>
    <t>Outros</t>
  </si>
  <si>
    <t>Ativo Total</t>
  </si>
  <si>
    <t>Realizável Longo Prazo</t>
  </si>
  <si>
    <t>Outros Estoques</t>
  </si>
  <si>
    <t>Investimentos</t>
  </si>
  <si>
    <t xml:space="preserve"> +   (mais)</t>
  </si>
  <si>
    <t>Permanente</t>
  </si>
  <si>
    <t>Imobilizado</t>
  </si>
  <si>
    <t>Ano</t>
  </si>
  <si>
    <t>Vlr.</t>
  </si>
  <si>
    <t>x   (vezes)</t>
  </si>
  <si>
    <t>Diferido</t>
  </si>
  <si>
    <t>Outros Imobilizados</t>
  </si>
  <si>
    <t>Despesas de Vendas</t>
  </si>
  <si>
    <t>Custo Prods/Merc/Serv.Vendidos</t>
  </si>
  <si>
    <t xml:space="preserve"> +  (mais)</t>
  </si>
  <si>
    <t>Resultado Líquido</t>
  </si>
  <si>
    <t>Despesas Operacionais</t>
  </si>
  <si>
    <t xml:space="preserve">  -   (menos)</t>
  </si>
  <si>
    <t>Margem de Lucro (%)</t>
  </si>
  <si>
    <t xml:space="preserve"> +/-  (mais/menos)</t>
  </si>
  <si>
    <t>Encargos Financeiros Líquidos</t>
  </si>
  <si>
    <t xml:space="preserve"> /   (dividido) em %</t>
  </si>
  <si>
    <t>Outros Resultados Operacionais</t>
  </si>
  <si>
    <t>Outras Receitas/Desp.Operacionais</t>
  </si>
  <si>
    <t>Outras Contas de Resultado</t>
  </si>
  <si>
    <t>Prov.p/IRPJ e Participações</t>
  </si>
  <si>
    <t>(38 x 381) - 231</t>
  </si>
  <si>
    <t>Índice de atualização ===&gt;</t>
  </si>
  <si>
    <t>Horizont%</t>
  </si>
  <si>
    <t>Horizontal%</t>
  </si>
  <si>
    <t>Taxa de Retorno dos Investimentos (%)</t>
  </si>
  <si>
    <t>Giro do Patrimônio Líquido</t>
  </si>
  <si>
    <t>Taxa Retorno do Patrimônio Líquido (%)</t>
  </si>
  <si>
    <t>Patrimônio Líquido</t>
  </si>
  <si>
    <t>Passivo Total</t>
  </si>
  <si>
    <t>Passivo Circulante</t>
  </si>
  <si>
    <t>Passivo Exigível a Longo Prazo</t>
  </si>
  <si>
    <t>Instituições Financeiras</t>
  </si>
  <si>
    <t>Outras Obrigações</t>
  </si>
  <si>
    <t>Fornecedores</t>
  </si>
  <si>
    <t>Obrigações Fiscais e Trabalhistas</t>
  </si>
  <si>
    <t>IRPJ/CS a Recolher</t>
  </si>
  <si>
    <t xml:space="preserve">   - (-) Ações em Tesouraria</t>
  </si>
  <si>
    <t xml:space="preserve">   Produtos Acabados/Elaboração</t>
  </si>
  <si>
    <t xml:space="preserve">   Terrenos e Edifícios/Construções</t>
  </si>
  <si>
    <t xml:space="preserve">   (-) Depreciação/Amort./Exaustão</t>
  </si>
  <si>
    <t xml:space="preserve">  (-) Custo Prods/Merc.Vendidos</t>
  </si>
  <si>
    <t xml:space="preserve">  Resultado Equivalência Patrimonial</t>
  </si>
  <si>
    <t xml:space="preserve">   - Dividendos e Juros s/CPróprio</t>
  </si>
  <si>
    <t xml:space="preserve">   - Adiantamento de Clientes</t>
  </si>
  <si>
    <t xml:space="preserve">   Matérias Primas/Embalagens</t>
  </si>
  <si>
    <t xml:space="preserve">   Depreciação do Período</t>
  </si>
  <si>
    <t xml:space="preserve">  Result. Antes Juros/Equiv/I.R.</t>
  </si>
  <si>
    <t xml:space="preserve">  Resultado Equivalência Patrim.</t>
  </si>
  <si>
    <t xml:space="preserve">  Result.Antes Juros/Equiv./I.R.</t>
  </si>
  <si>
    <t>Custos e Despesas Totais</t>
  </si>
  <si>
    <t>Terrenos e Edifícios/Construções</t>
  </si>
  <si>
    <t>Máquinas e Equipamentos</t>
  </si>
  <si>
    <t>Depreciação/Amort./Exaustão</t>
  </si>
  <si>
    <t>Despesas Administrativas</t>
  </si>
  <si>
    <t>Outras Despesas</t>
  </si>
  <si>
    <t xml:space="preserve"> Resultado Equivalência Patrimonial</t>
  </si>
  <si>
    <t>Ctas Pagar/Divid/Adto.Client/Outras</t>
  </si>
  <si>
    <t>Resultado Equivalência Patrimonial</t>
  </si>
  <si>
    <t>Intangível</t>
  </si>
  <si>
    <t xml:space="preserve">   - Ajustes Aval. Patrimonial</t>
  </si>
  <si>
    <t xml:space="preserve">   Número de Funcionários</t>
  </si>
  <si>
    <t>DEMONSTRAÇÃO DOS FLUXOS DE CAIXA</t>
  </si>
  <si>
    <t>Atividades Operacionais</t>
  </si>
  <si>
    <t>Aquisição de Investimentos</t>
  </si>
  <si>
    <t>Aquisição de Imobilizado</t>
  </si>
  <si>
    <t>Aquisição de Intangíveis</t>
  </si>
  <si>
    <t>Integralização de Capital</t>
  </si>
  <si>
    <t>Financiamentos Pagos</t>
  </si>
  <si>
    <t>DEMONSTRAÇÃO DO VALOR ADICIONADO</t>
  </si>
  <si>
    <t>Valor Adicionado Bruto</t>
  </si>
  <si>
    <t>Valor Adicionado Líquido</t>
  </si>
  <si>
    <t>Variações Ativos e Passivos</t>
  </si>
  <si>
    <t>Resultado Líquido Exercício</t>
  </si>
  <si>
    <t>Fluxo Ativ. Operacionais</t>
  </si>
  <si>
    <t>Atividades Investimentos</t>
  </si>
  <si>
    <t>Atividades Financiamentos</t>
  </si>
  <si>
    <t>Fluxo Ativ. Investimentos</t>
  </si>
  <si>
    <t>Dividendos/Juros s/Cap.Próprio</t>
  </si>
  <si>
    <t>Outros Pagamentos/Receb.</t>
  </si>
  <si>
    <t>Fluxo Ativ. Financiamentos</t>
  </si>
  <si>
    <t>Aumento (Redução) Disp.</t>
  </si>
  <si>
    <t>Ajustes p/Reconciliar Result.</t>
  </si>
  <si>
    <t>(-) Insumos Adquiridos Terc.</t>
  </si>
  <si>
    <t>Retenções(Deprec/Amort)</t>
  </si>
  <si>
    <t>Valor Adicionado Distribuir</t>
  </si>
  <si>
    <t>Empregados (Saláios/Benef.)</t>
  </si>
  <si>
    <t>Governo (Tributos)</t>
  </si>
  <si>
    <t>Financiadores (Juros/Alúgueis)</t>
  </si>
  <si>
    <t>Acionistas (Dividendos)</t>
  </si>
  <si>
    <t>Outros (Demais)</t>
  </si>
  <si>
    <t>Lucros Retidos</t>
  </si>
  <si>
    <t>Distrib. Valor Adicionado</t>
  </si>
  <si>
    <t>1.1) Liquidez Corrente</t>
  </si>
  <si>
    <t>1.2) Liquidez Seca</t>
  </si>
  <si>
    <t>1.3) Liquidez Geral</t>
  </si>
  <si>
    <t>2.1) Geral s/Ativo</t>
  </si>
  <si>
    <t>2.2) Garantia do Capital Próprio</t>
  </si>
  <si>
    <t>2.3) De Curto Prazo s/Total</t>
  </si>
  <si>
    <t>2.4) Geral s/Patrimônio Líquido</t>
  </si>
  <si>
    <t>2.5) Bancário Curto Prazo s/Ativo</t>
  </si>
  <si>
    <t>2.6) Bancário Total s/Ativo</t>
  </si>
  <si>
    <t>3.1) Prazo Médio de Recebimentos</t>
  </si>
  <si>
    <t>3.2) Prazo Médio de Pagamentos</t>
  </si>
  <si>
    <t>3.3) Prazo Médio de Estocagem</t>
  </si>
  <si>
    <t>3.4) Ciclo Financeiro</t>
  </si>
  <si>
    <t>4.1) Taxa Retorno s/Investimentos</t>
  </si>
  <si>
    <t>4.2) Taxa Retorno Patrimônio Líquido</t>
  </si>
  <si>
    <t>5.1) Margem Bruta</t>
  </si>
  <si>
    <t>5.2) Margem Antes Juros/Equivalência</t>
  </si>
  <si>
    <t>5.3) Margem Operacional</t>
  </si>
  <si>
    <t>5.4) Margem Líquida</t>
  </si>
  <si>
    <t>INVESTIDOR</t>
  </si>
  <si>
    <t>6.1) Valor Patrimonial da Ação</t>
  </si>
  <si>
    <t>6.2) Lucro Líquido por Ação</t>
  </si>
  <si>
    <t>6.3) Índice Preço/Lucro</t>
  </si>
  <si>
    <t>6.4) Dividendos por Ação</t>
  </si>
  <si>
    <t>GESTÃO</t>
  </si>
  <si>
    <t>7.1) Imobilização Patrimônio Líquido</t>
  </si>
  <si>
    <t>7.2) Giro do Ativo Total</t>
  </si>
  <si>
    <t>7.3) Giro do Ativo Operacional</t>
  </si>
  <si>
    <t>7.4) EVA - Economic Value Added</t>
  </si>
  <si>
    <t>7.5) MVA - Marked Value Added</t>
  </si>
  <si>
    <t>7.6) EBITDA - Earnings Before ...</t>
  </si>
  <si>
    <t>7.7) Investimento no Imobilizado</t>
  </si>
  <si>
    <t>FLUXO DE CAIXA</t>
  </si>
  <si>
    <t>VALOR ADICIONADO</t>
  </si>
  <si>
    <t>10.1) Potencial do Ativo</t>
  </si>
  <si>
    <t>(74 / 1)</t>
  </si>
  <si>
    <t>10.2) Retenção da Receita</t>
  </si>
  <si>
    <t>(74/71) x 100</t>
  </si>
  <si>
    <r>
      <t xml:space="preserve">10.3) Valor Adicionado </t>
    </r>
    <r>
      <rPr>
        <i/>
        <sz val="11"/>
        <rFont val="Times New Roman"/>
        <family val="1"/>
      </rPr>
      <t>per capita</t>
    </r>
  </si>
  <si>
    <t>10.4) Distribuição da Riqueza Gerada</t>
  </si>
  <si>
    <t>(751 ... 756 / 75) x 100</t>
  </si>
  <si>
    <t>9.1) Taxa de Retorno do Caixa</t>
  </si>
  <si>
    <t>9.3) RelaçãoEndividamento/EBITDA</t>
  </si>
  <si>
    <t>9.4) Capacidade Novos Investimentos</t>
  </si>
  <si>
    <t>9.2) Capacidade de Quitar as Dívidas</t>
  </si>
  <si>
    <t>(74/391)</t>
  </si>
  <si>
    <t>(32/33) x 360 dias</t>
  </si>
  <si>
    <t>(381/6.2)</t>
  </si>
  <si>
    <t>(4.2/100) x 0,05</t>
  </si>
  <si>
    <t>(2.4/100) x 0,33</t>
  </si>
  <si>
    <t xml:space="preserve">   NÃO CIRCULANTE</t>
  </si>
  <si>
    <t xml:space="preserve">   - Realizável Longo Prazo</t>
  </si>
  <si>
    <t xml:space="preserve">   - Permanente</t>
  </si>
  <si>
    <t xml:space="preserve">     . Investimentos</t>
  </si>
  <si>
    <t xml:space="preserve">     . Imobilizado</t>
  </si>
  <si>
    <t xml:space="preserve">     . Intangível</t>
  </si>
  <si>
    <t xml:space="preserve">     . Diferido</t>
  </si>
  <si>
    <t xml:space="preserve">   - Exigível a Longo Prazo</t>
  </si>
  <si>
    <t xml:space="preserve">     . Instituições Financeiras</t>
  </si>
  <si>
    <t xml:space="preserve">     . Outras Obrigações</t>
  </si>
  <si>
    <t xml:space="preserve">  (-) Deduções da Receita Operacional Bruta</t>
  </si>
  <si>
    <t xml:space="preserve">       . Devoluções e Abatimentos</t>
  </si>
  <si>
    <t xml:space="preserve">       . Tributos s/Vendas</t>
  </si>
  <si>
    <t xml:space="preserve">  (-) Custo Prods/Merc/Serviços Vendidos</t>
  </si>
  <si>
    <t xml:space="preserve">  Resultado Bruto</t>
  </si>
  <si>
    <t xml:space="preserve">  Outras Receitas/Despesas Operacionais</t>
  </si>
  <si>
    <t xml:space="preserve">  Outros Resultados Operacionais</t>
  </si>
  <si>
    <t>Ajustes p/Reconciliar Resultado</t>
  </si>
  <si>
    <t>Outras Operações</t>
  </si>
  <si>
    <t>Financiamentos Longo P.Obtidos</t>
  </si>
  <si>
    <t>Financiamentos Curto P. Obtidos</t>
  </si>
  <si>
    <t>Outros Pagamentos/Recebimentos</t>
  </si>
  <si>
    <t>Receitas Operacionais</t>
  </si>
  <si>
    <t>Outras Receitas/Resultados</t>
  </si>
  <si>
    <t>Empregados (Salários/Benef.)</t>
  </si>
  <si>
    <t xml:space="preserve">  (-) Participações (não considerar de Minoritários)</t>
  </si>
  <si>
    <t xml:space="preserve">       . Devoluções/Abatimentos</t>
  </si>
  <si>
    <t>Financiamentos Curto P.Obtidos</t>
  </si>
  <si>
    <t>outras Receitas/Resultados</t>
  </si>
  <si>
    <t>(11+121)/(21+221)</t>
  </si>
  <si>
    <t>(21+221)/1 x 100</t>
  </si>
  <si>
    <t>23/(21+221) x 100</t>
  </si>
  <si>
    <t>21/(21+221) x 100</t>
  </si>
  <si>
    <t>(21+221)/23 x 100</t>
  </si>
  <si>
    <t>(215+2211)/1 x 100</t>
  </si>
  <si>
    <t>(46/35) x 100</t>
  </si>
  <si>
    <t>(46/36) x 100</t>
  </si>
  <si>
    <t>(46/42) x 100</t>
  </si>
  <si>
    <t>(46/38)</t>
  </si>
  <si>
    <t>(634/38)</t>
  </si>
  <si>
    <t>46-(1 x 0,05)</t>
  </si>
  <si>
    <t>622/(1222-622) x 100</t>
  </si>
  <si>
    <t>1.3  x 1,65</t>
  </si>
  <si>
    <t>1.2  x 3,55</t>
  </si>
  <si>
    <t>1.1  x 1,06</t>
  </si>
  <si>
    <t>(61/37) x 100</t>
  </si>
  <si>
    <t>(61-634)/(215+2211)</t>
  </si>
  <si>
    <t>(215+2211)/7.6</t>
  </si>
  <si>
    <t>(61-634)/622</t>
  </si>
  <si>
    <t xml:space="preserve">   - Disponível (caixa e bancos)</t>
  </si>
  <si>
    <t xml:space="preserve">   - IRPJ/CSLL a Pagar</t>
  </si>
  <si>
    <t>GESTÃO FINANCEIRA</t>
  </si>
  <si>
    <t>Capital Circulante Líquido</t>
  </si>
  <si>
    <t>(+)</t>
  </si>
  <si>
    <t>(-)</t>
  </si>
  <si>
    <t>(=)</t>
  </si>
  <si>
    <t>Ativo Circulante</t>
  </si>
  <si>
    <t>Passivo Circulate</t>
  </si>
  <si>
    <t>1 Capital Circulante Líquido</t>
  </si>
  <si>
    <t>2 Necessidade Líq. Capital de Giro</t>
  </si>
  <si>
    <t>Dias</t>
  </si>
  <si>
    <t>Necessidade Liq.Cap.Giro</t>
  </si>
  <si>
    <t>NLCG/Dia (em R$ Mil)</t>
  </si>
  <si>
    <t>3 Capital Próprio em Giro</t>
  </si>
  <si>
    <t>Ativo Permanente</t>
  </si>
  <si>
    <t>Capital Próprio em Giro I</t>
  </si>
  <si>
    <t>Instit. Financeiras (PELP)</t>
  </si>
  <si>
    <t>Capital Próprio em Giro II</t>
  </si>
  <si>
    <t>4 Necessidade de Caixa</t>
  </si>
  <si>
    <t>Instituições Financeiras (PC)</t>
  </si>
  <si>
    <t>Aplicações Financeiras (AC)</t>
  </si>
  <si>
    <t>(+/-)</t>
  </si>
  <si>
    <t>Aquisições Investimentos (DFC)</t>
  </si>
  <si>
    <t>Aquisições Imobilizados (DFC)</t>
  </si>
  <si>
    <t>Aquisições Intangíveis (DFC)</t>
  </si>
  <si>
    <t>Novos Financ. Longo Prazo (DFC)</t>
  </si>
  <si>
    <t>Necessidade Capital Giro (2)</t>
  </si>
  <si>
    <t>IRPJ e CSLL (DRE)</t>
  </si>
  <si>
    <t>Participações (DRE)</t>
  </si>
  <si>
    <t>Dividendos e Juros s/CP (DFC)</t>
  </si>
  <si>
    <t>Necessidade de Caixa</t>
  </si>
  <si>
    <t>Geração de Caixa (EBITDA)</t>
  </si>
  <si>
    <t>Sobra ou Falta de Caixa</t>
  </si>
  <si>
    <t>EMPRESA : EMBRAER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</si>
</sst>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0.0"/>
    <numFmt numFmtId="166" formatCode="#,##0.0_);\(#,##0.0\)"/>
    <numFmt numFmtId="167" formatCode="0.0%"/>
    <numFmt numFmtId="168" formatCode="#,##0.0%_);\(#,##0.0%\)"/>
    <numFmt numFmtId="169" formatCode="#,##0.00000_);\(#,##0.00000\)"/>
    <numFmt numFmtId="170" formatCode="_(* #,##0_);_(* \(#,##0\);_(* &quot;-&quot;??_);_(@_)"/>
    <numFmt numFmtId="171" formatCode="#,##0_);\(#,##0\)"/>
  </numFmts>
  <fonts count="24" x14ac:knownFonts="1">
    <font>
      <sz val="10"/>
      <name val="Times New Roman"/>
    </font>
    <font>
      <b/>
      <sz val="10"/>
      <name val="Times New Roman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1"/>
      <color indexed="12"/>
      <name val="Times New Roman"/>
      <family val="1"/>
    </font>
    <font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1"/>
      <color indexed="8"/>
      <name val="Times New Roman"/>
      <family val="1"/>
    </font>
    <font>
      <b/>
      <sz val="6"/>
      <name val="Times New Roman"/>
      <family val="1"/>
    </font>
    <font>
      <b/>
      <sz val="6"/>
      <color indexed="10"/>
      <name val="Times New Roman"/>
      <family val="1"/>
    </font>
    <font>
      <sz val="10"/>
      <color indexed="10"/>
      <name val="Times New Roman"/>
      <family val="1"/>
    </font>
    <font>
      <b/>
      <sz val="7"/>
      <name val="Times New Roman"/>
      <family val="1"/>
    </font>
    <font>
      <b/>
      <sz val="12"/>
      <color indexed="12"/>
      <name val="Times New Roman"/>
      <family val="1"/>
    </font>
    <font>
      <b/>
      <sz val="14"/>
      <color indexed="12"/>
      <name val="Times New Roman"/>
      <family val="1"/>
    </font>
    <font>
      <i/>
      <sz val="11"/>
      <name val="Times New Roman"/>
      <family val="1"/>
    </font>
    <font>
      <b/>
      <sz val="18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37" fontId="9" fillId="0" borderId="2" xfId="0" applyNumberFormat="1" applyFont="1" applyBorder="1" applyProtection="1">
      <protection locked="0"/>
    </xf>
    <xf numFmtId="37" fontId="9" fillId="0" borderId="3" xfId="0" applyNumberFormat="1" applyFont="1" applyBorder="1" applyProtection="1">
      <protection locked="0"/>
    </xf>
    <xf numFmtId="0" fontId="0" fillId="0" borderId="4" xfId="0" applyBorder="1"/>
    <xf numFmtId="0" fontId="0" fillId="0" borderId="5" xfId="0" applyBorder="1"/>
    <xf numFmtId="0" fontId="5" fillId="0" borderId="0" xfId="0" applyFont="1"/>
    <xf numFmtId="0" fontId="5" fillId="0" borderId="0" xfId="0" applyFont="1" applyAlignment="1">
      <alignment horizontal="centerContinuous"/>
    </xf>
    <xf numFmtId="0" fontId="5" fillId="0" borderId="4" xfId="0" applyFont="1" applyBorder="1"/>
    <xf numFmtId="0" fontId="5" fillId="0" borderId="1" xfId="0" applyFont="1" applyBorder="1"/>
    <xf numFmtId="0" fontId="5" fillId="0" borderId="6" xfId="0" applyFont="1" applyBorder="1"/>
    <xf numFmtId="0" fontId="5" fillId="0" borderId="5" xfId="0" applyFont="1" applyBorder="1"/>
    <xf numFmtId="0" fontId="5" fillId="0" borderId="7" xfId="0" applyFont="1" applyBorder="1"/>
    <xf numFmtId="0" fontId="0" fillId="0" borderId="0" xfId="0" applyAlignment="1">
      <alignment horizontal="centerContinuous"/>
    </xf>
    <xf numFmtId="0" fontId="15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13" fillId="0" borderId="0" xfId="0" applyFont="1"/>
    <xf numFmtId="0" fontId="14" fillId="0" borderId="0" xfId="0" applyFont="1" applyAlignment="1">
      <alignment horizontal="centerContinuous"/>
    </xf>
    <xf numFmtId="0" fontId="8" fillId="0" borderId="0" xfId="0" applyFont="1"/>
    <xf numFmtId="37" fontId="9" fillId="0" borderId="2" xfId="0" applyNumberFormat="1" applyFont="1" applyBorder="1"/>
    <xf numFmtId="166" fontId="8" fillId="0" borderId="0" xfId="0" applyNumberFormat="1" applyFont="1"/>
    <xf numFmtId="37" fontId="8" fillId="0" borderId="0" xfId="0" applyNumberFormat="1" applyFont="1"/>
    <xf numFmtId="166" fontId="8" fillId="0" borderId="4" xfId="0" applyNumberFormat="1" applyFont="1" applyBorder="1"/>
    <xf numFmtId="0" fontId="6" fillId="0" borderId="0" xfId="0" applyFont="1"/>
    <xf numFmtId="37" fontId="8" fillId="0" borderId="2" xfId="0" applyNumberFormat="1" applyFont="1" applyBorder="1"/>
    <xf numFmtId="37" fontId="0" fillId="0" borderId="0" xfId="0" applyNumberFormat="1"/>
    <xf numFmtId="0" fontId="17" fillId="0" borderId="0" xfId="0" applyFont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/>
      <protection locked="0"/>
    </xf>
    <xf numFmtId="39" fontId="9" fillId="0" borderId="2" xfId="0" applyNumberFormat="1" applyFont="1" applyBorder="1" applyProtection="1">
      <protection locked="0"/>
    </xf>
    <xf numFmtId="166" fontId="9" fillId="0" borderId="7" xfId="0" applyNumberFormat="1" applyFont="1" applyBorder="1" applyProtection="1">
      <protection locked="0"/>
    </xf>
    <xf numFmtId="3" fontId="0" fillId="0" borderId="0" xfId="0" applyNumberFormat="1" applyAlignment="1">
      <alignment horizontal="centerContinuous"/>
    </xf>
    <xf numFmtId="0" fontId="3" fillId="0" borderId="0" xfId="0" applyFont="1"/>
    <xf numFmtId="3" fontId="0" fillId="0" borderId="0" xfId="0" applyNumberFormat="1"/>
    <xf numFmtId="3" fontId="3" fillId="0" borderId="0" xfId="0" applyNumberFormat="1" applyFont="1" applyAlignment="1">
      <alignment horizontal="centerContinuous"/>
    </xf>
    <xf numFmtId="0" fontId="4" fillId="0" borderId="0" xfId="0" applyFont="1"/>
    <xf numFmtId="37" fontId="4" fillId="0" borderId="0" xfId="0" applyNumberFormat="1" applyFont="1"/>
    <xf numFmtId="166" fontId="4" fillId="0" borderId="0" xfId="0" applyNumberFormat="1" applyFont="1"/>
    <xf numFmtId="3" fontId="4" fillId="0" borderId="0" xfId="0" applyNumberFormat="1" applyFont="1"/>
    <xf numFmtId="166" fontId="8" fillId="0" borderId="3" xfId="0" applyNumberFormat="1" applyFont="1" applyBorder="1"/>
    <xf numFmtId="0" fontId="5" fillId="0" borderId="8" xfId="0" applyFont="1" applyBorder="1"/>
    <xf numFmtId="37" fontId="5" fillId="0" borderId="0" xfId="0" applyNumberFormat="1" applyFont="1"/>
    <xf numFmtId="166" fontId="5" fillId="0" borderId="0" xfId="0" applyNumberFormat="1" applyFont="1"/>
    <xf numFmtId="169" fontId="9" fillId="0" borderId="0" xfId="0" applyNumberFormat="1" applyFont="1" applyProtection="1">
      <protection locked="0"/>
    </xf>
    <xf numFmtId="37" fontId="9" fillId="2" borderId="2" xfId="0" applyNumberFormat="1" applyFont="1" applyFill="1" applyBorder="1" applyProtection="1">
      <protection locked="0"/>
    </xf>
    <xf numFmtId="37" fontId="9" fillId="2" borderId="3" xfId="0" applyNumberFormat="1" applyFont="1" applyFill="1" applyBorder="1" applyProtection="1">
      <protection locked="0"/>
    </xf>
    <xf numFmtId="0" fontId="8" fillId="2" borderId="0" xfId="0" applyFont="1" applyFill="1"/>
    <xf numFmtId="37" fontId="8" fillId="2" borderId="0" xfId="0" applyNumberFormat="1" applyFont="1" applyFill="1"/>
    <xf numFmtId="37" fontId="8" fillId="3" borderId="9" xfId="0" applyNumberFormat="1" applyFont="1" applyFill="1" applyBorder="1"/>
    <xf numFmtId="0" fontId="6" fillId="4" borderId="10" xfId="0" applyFont="1" applyFill="1" applyBorder="1"/>
    <xf numFmtId="0" fontId="6" fillId="4" borderId="11" xfId="0" applyFont="1" applyFill="1" applyBorder="1" applyAlignment="1">
      <alignment horizontal="right"/>
    </xf>
    <xf numFmtId="3" fontId="6" fillId="4" borderId="8" xfId="0" applyNumberFormat="1" applyFont="1" applyFill="1" applyBorder="1" applyAlignment="1">
      <alignment horizontal="center"/>
    </xf>
    <xf numFmtId="0" fontId="16" fillId="4" borderId="11" xfId="0" applyFont="1" applyFill="1" applyBorder="1" applyAlignment="1">
      <alignment horizontal="centerContinuous"/>
    </xf>
    <xf numFmtId="0" fontId="16" fillId="4" borderId="12" xfId="0" applyFont="1" applyFill="1" applyBorder="1" applyAlignment="1">
      <alignment horizontal="centerContinuous"/>
    </xf>
    <xf numFmtId="0" fontId="8" fillId="4" borderId="6" xfId="0" applyFont="1" applyFill="1" applyBorder="1"/>
    <xf numFmtId="0" fontId="6" fillId="4" borderId="4" xfId="0" applyFont="1" applyFill="1" applyBorder="1" applyAlignment="1">
      <alignment horizontal="center"/>
    </xf>
    <xf numFmtId="3" fontId="6" fillId="4" borderId="3" xfId="0" applyNumberFormat="1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3" fontId="6" fillId="4" borderId="3" xfId="0" quotePrefix="1" applyNumberFormat="1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8" fillId="4" borderId="1" xfId="0" applyFont="1" applyFill="1" applyBorder="1"/>
    <xf numFmtId="0" fontId="8" fillId="4" borderId="5" xfId="0" applyFont="1" applyFill="1" applyBorder="1"/>
    <xf numFmtId="0" fontId="8" fillId="4" borderId="0" xfId="0" applyFont="1" applyFill="1"/>
    <xf numFmtId="0" fontId="8" fillId="4" borderId="0" xfId="0" applyFont="1" applyFill="1" applyAlignment="1">
      <alignment horizontal="left"/>
    </xf>
    <xf numFmtId="0" fontId="8" fillId="4" borderId="4" xfId="0" applyFont="1" applyFill="1" applyBorder="1"/>
    <xf numFmtId="0" fontId="8" fillId="4" borderId="13" xfId="0" applyFont="1" applyFill="1" applyBorder="1"/>
    <xf numFmtId="0" fontId="7" fillId="4" borderId="8" xfId="0" applyFont="1" applyFill="1" applyBorder="1" applyAlignment="1" applyProtection="1">
      <alignment horizontal="center"/>
      <protection locked="0"/>
    </xf>
    <xf numFmtId="0" fontId="6" fillId="4" borderId="3" xfId="0" applyFont="1" applyFill="1" applyBorder="1" applyAlignment="1">
      <alignment horizontal="center"/>
    </xf>
    <xf numFmtId="0" fontId="6" fillId="4" borderId="3" xfId="0" quotePrefix="1" applyFont="1" applyFill="1" applyBorder="1" applyAlignment="1">
      <alignment horizontal="center"/>
    </xf>
    <xf numFmtId="0" fontId="6" fillId="4" borderId="14" xfId="0" applyFont="1" applyFill="1" applyBorder="1"/>
    <xf numFmtId="3" fontId="8" fillId="4" borderId="9" xfId="0" applyNumberFormat="1" applyFont="1" applyFill="1" applyBorder="1"/>
    <xf numFmtId="37" fontId="8" fillId="4" borderId="9" xfId="0" applyNumberFormat="1" applyFont="1" applyFill="1" applyBorder="1"/>
    <xf numFmtId="0" fontId="8" fillId="4" borderId="0" xfId="0" quotePrefix="1" applyFont="1" applyFill="1" applyAlignment="1">
      <alignment horizontal="left"/>
    </xf>
    <xf numFmtId="0" fontId="8" fillId="4" borderId="7" xfId="0" applyFont="1" applyFill="1" applyBorder="1"/>
    <xf numFmtId="165" fontId="8" fillId="4" borderId="14" xfId="0" applyNumberFormat="1" applyFont="1" applyFill="1" applyBorder="1"/>
    <xf numFmtId="165" fontId="8" fillId="4" borderId="15" xfId="0" applyNumberFormat="1" applyFont="1" applyFill="1" applyBorder="1"/>
    <xf numFmtId="166" fontId="8" fillId="4" borderId="14" xfId="0" applyNumberFormat="1" applyFont="1" applyFill="1" applyBorder="1"/>
    <xf numFmtId="166" fontId="8" fillId="4" borderId="15" xfId="0" applyNumberFormat="1" applyFont="1" applyFill="1" applyBorder="1"/>
    <xf numFmtId="0" fontId="6" fillId="4" borderId="0" xfId="0" applyFont="1" applyFill="1"/>
    <xf numFmtId="0" fontId="1" fillId="4" borderId="9" xfId="0" applyFont="1" applyFill="1" applyBorder="1"/>
    <xf numFmtId="0" fontId="1" fillId="4" borderId="9" xfId="0" quotePrefix="1" applyFont="1" applyFill="1" applyBorder="1" applyAlignment="1">
      <alignment horizontal="left"/>
    </xf>
    <xf numFmtId="37" fontId="5" fillId="3" borderId="9" xfId="0" applyNumberFormat="1" applyFont="1" applyFill="1" applyBorder="1"/>
    <xf numFmtId="166" fontId="5" fillId="3" borderId="9" xfId="0" applyNumberFormat="1" applyFont="1" applyFill="1" applyBorder="1"/>
    <xf numFmtId="166" fontId="0" fillId="3" borderId="0" xfId="0" applyNumberFormat="1" applyFill="1"/>
    <xf numFmtId="166" fontId="8" fillId="3" borderId="0" xfId="0" applyNumberFormat="1" applyFont="1" applyFill="1"/>
    <xf numFmtId="37" fontId="8" fillId="3" borderId="2" xfId="0" applyNumberFormat="1" applyFont="1" applyFill="1" applyBorder="1"/>
    <xf numFmtId="166" fontId="8" fillId="3" borderId="5" xfId="0" applyNumberFormat="1" applyFont="1" applyFill="1" applyBorder="1"/>
    <xf numFmtId="166" fontId="8" fillId="3" borderId="3" xfId="0" applyNumberFormat="1" applyFont="1" applyFill="1" applyBorder="1"/>
    <xf numFmtId="166" fontId="8" fillId="3" borderId="4" xfId="0" applyNumberFormat="1" applyFont="1" applyFill="1" applyBorder="1"/>
    <xf numFmtId="166" fontId="8" fillId="3" borderId="7" xfId="0" applyNumberFormat="1" applyFont="1" applyFill="1" applyBorder="1"/>
    <xf numFmtId="166" fontId="12" fillId="3" borderId="0" xfId="0" applyNumberFormat="1" applyFont="1" applyFill="1"/>
    <xf numFmtId="37" fontId="12" fillId="3" borderId="2" xfId="0" applyNumberFormat="1" applyFont="1" applyFill="1" applyBorder="1"/>
    <xf numFmtId="37" fontId="6" fillId="3" borderId="9" xfId="0" applyNumberFormat="1" applyFont="1" applyFill="1" applyBorder="1"/>
    <xf numFmtId="166" fontId="6" fillId="3" borderId="4" xfId="0" applyNumberFormat="1" applyFont="1" applyFill="1" applyBorder="1"/>
    <xf numFmtId="166" fontId="6" fillId="3" borderId="14" xfId="0" applyNumberFormat="1" applyFont="1" applyFill="1" applyBorder="1"/>
    <xf numFmtId="0" fontId="6" fillId="4" borderId="13" xfId="0" applyFont="1" applyFill="1" applyBorder="1"/>
    <xf numFmtId="0" fontId="6" fillId="4" borderId="14" xfId="0" quotePrefix="1" applyFont="1" applyFill="1" applyBorder="1" applyAlignment="1">
      <alignment horizontal="left"/>
    </xf>
    <xf numFmtId="0" fontId="18" fillId="0" borderId="0" xfId="0" applyFont="1" applyAlignment="1" applyProtection="1">
      <alignment horizontal="centerContinuous"/>
      <protection locked="0"/>
    </xf>
    <xf numFmtId="37" fontId="7" fillId="2" borderId="9" xfId="0" applyNumberFormat="1" applyFont="1" applyFill="1" applyBorder="1" applyProtection="1">
      <protection locked="0"/>
    </xf>
    <xf numFmtId="0" fontId="6" fillId="4" borderId="1" xfId="0" applyFont="1" applyFill="1" applyBorder="1"/>
    <xf numFmtId="37" fontId="6" fillId="3" borderId="2" xfId="0" applyNumberFormat="1" applyFont="1" applyFill="1" applyBorder="1"/>
    <xf numFmtId="0" fontId="6" fillId="4" borderId="6" xfId="0" applyFont="1" applyFill="1" applyBorder="1"/>
    <xf numFmtId="0" fontId="6" fillId="4" borderId="4" xfId="0" applyFont="1" applyFill="1" applyBorder="1"/>
    <xf numFmtId="37" fontId="6" fillId="3" borderId="3" xfId="0" applyNumberFormat="1" applyFont="1" applyFill="1" applyBorder="1"/>
    <xf numFmtId="37" fontId="6" fillId="3" borderId="0" xfId="0" applyNumberFormat="1" applyFont="1" applyFill="1"/>
    <xf numFmtId="37" fontId="6" fillId="3" borderId="5" xfId="0" applyNumberFormat="1" applyFont="1" applyFill="1" applyBorder="1"/>
    <xf numFmtId="3" fontId="6" fillId="3" borderId="0" xfId="0" applyNumberFormat="1" applyFont="1" applyFill="1"/>
    <xf numFmtId="3" fontId="6" fillId="3" borderId="5" xfId="0" applyNumberFormat="1" applyFont="1" applyFill="1" applyBorder="1"/>
    <xf numFmtId="3" fontId="6" fillId="3" borderId="4" xfId="0" applyNumberFormat="1" applyFont="1" applyFill="1" applyBorder="1"/>
    <xf numFmtId="3" fontId="6" fillId="3" borderId="7" xfId="0" applyNumberFormat="1" applyFont="1" applyFill="1" applyBorder="1"/>
    <xf numFmtId="37" fontId="7" fillId="0" borderId="8" xfId="0" applyNumberFormat="1" applyFont="1" applyBorder="1" applyProtection="1">
      <protection locked="0"/>
    </xf>
    <xf numFmtId="166" fontId="6" fillId="0" borderId="0" xfId="0" applyNumberFormat="1" applyFont="1"/>
    <xf numFmtId="166" fontId="8" fillId="3" borderId="8" xfId="0" applyNumberFormat="1" applyFont="1" applyFill="1" applyBorder="1"/>
    <xf numFmtId="166" fontId="6" fillId="3" borderId="9" xfId="0" applyNumberFormat="1" applyFont="1" applyFill="1" applyBorder="1"/>
    <xf numFmtId="166" fontId="8" fillId="3" borderId="2" xfId="0" applyNumberFormat="1" applyFont="1" applyFill="1" applyBorder="1"/>
    <xf numFmtId="166" fontId="8" fillId="3" borderId="9" xfId="0" applyNumberFormat="1" applyFont="1" applyFill="1" applyBorder="1"/>
    <xf numFmtId="0" fontId="16" fillId="4" borderId="3" xfId="0" applyFont="1" applyFill="1" applyBorder="1" applyAlignment="1">
      <alignment horizontal="center"/>
    </xf>
    <xf numFmtId="37" fontId="8" fillId="3" borderId="1" xfId="0" applyNumberFormat="1" applyFont="1" applyFill="1" applyBorder="1"/>
    <xf numFmtId="166" fontId="6" fillId="3" borderId="3" xfId="0" applyNumberFormat="1" applyFont="1" applyFill="1" applyBorder="1"/>
    <xf numFmtId="166" fontId="8" fillId="4" borderId="9" xfId="0" applyNumberFormat="1" applyFont="1" applyFill="1" applyBorder="1"/>
    <xf numFmtId="0" fontId="13" fillId="4" borderId="4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/>
    <xf numFmtId="0" fontId="0" fillId="0" borderId="7" xfId="0" applyBorder="1"/>
    <xf numFmtId="0" fontId="0" fillId="0" borderId="3" xfId="0" applyBorder="1"/>
    <xf numFmtId="0" fontId="5" fillId="0" borderId="10" xfId="0" applyFont="1" applyBorder="1"/>
    <xf numFmtId="0" fontId="0" fillId="0" borderId="6" xfId="0" applyBorder="1"/>
    <xf numFmtId="0" fontId="18" fillId="0" borderId="0" xfId="0" applyFont="1" applyAlignment="1">
      <alignment horizontal="centerContinuous"/>
    </xf>
    <xf numFmtId="0" fontId="6" fillId="4" borderId="8" xfId="0" applyFont="1" applyFill="1" applyBorder="1" applyAlignment="1">
      <alignment horizontal="center"/>
    </xf>
    <xf numFmtId="37" fontId="8" fillId="3" borderId="2" xfId="0" quotePrefix="1" applyNumberFormat="1" applyFont="1" applyFill="1" applyBorder="1"/>
    <xf numFmtId="37" fontId="8" fillId="3" borderId="3" xfId="0" quotePrefix="1" applyNumberFormat="1" applyFont="1" applyFill="1" applyBorder="1"/>
    <xf numFmtId="37" fontId="6" fillId="3" borderId="3" xfId="0" quotePrefix="1" applyNumberFormat="1" applyFont="1" applyFill="1" applyBorder="1"/>
    <xf numFmtId="166" fontId="6" fillId="3" borderId="2" xfId="0" applyNumberFormat="1" applyFont="1" applyFill="1" applyBorder="1"/>
    <xf numFmtId="37" fontId="8" fillId="3" borderId="1" xfId="0" quotePrefix="1" applyNumberFormat="1" applyFont="1" applyFill="1" applyBorder="1"/>
    <xf numFmtId="37" fontId="8" fillId="3" borderId="0" xfId="0" quotePrefix="1" applyNumberFormat="1" applyFont="1" applyFill="1"/>
    <xf numFmtId="37" fontId="8" fillId="3" borderId="5" xfId="0" quotePrefix="1" applyNumberFormat="1" applyFont="1" applyFill="1" applyBorder="1"/>
    <xf numFmtId="37" fontId="8" fillId="3" borderId="6" xfId="0" quotePrefix="1" applyNumberFormat="1" applyFont="1" applyFill="1" applyBorder="1"/>
    <xf numFmtId="37" fontId="8" fillId="3" borderId="4" xfId="0" quotePrefix="1" applyNumberFormat="1" applyFont="1" applyFill="1" applyBorder="1"/>
    <xf numFmtId="37" fontId="8" fillId="3" borderId="7" xfId="0" quotePrefix="1" applyNumberFormat="1" applyFont="1" applyFill="1" applyBorder="1"/>
    <xf numFmtId="0" fontId="3" fillId="0" borderId="0" xfId="0" applyFont="1" applyAlignment="1">
      <alignment horizontal="left"/>
    </xf>
    <xf numFmtId="0" fontId="6" fillId="4" borderId="8" xfId="0" applyFont="1" applyFill="1" applyBorder="1" applyAlignment="1">
      <alignment horizontal="right"/>
    </xf>
    <xf numFmtId="0" fontId="6" fillId="4" borderId="11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65" fontId="8" fillId="4" borderId="2" xfId="0" applyNumberFormat="1" applyFont="1" applyFill="1" applyBorder="1"/>
    <xf numFmtId="165" fontId="8" fillId="4" borderId="0" xfId="0" applyNumberFormat="1" applyFont="1" applyFill="1"/>
    <xf numFmtId="165" fontId="8" fillId="3" borderId="2" xfId="0" quotePrefix="1" applyNumberFormat="1" applyFont="1" applyFill="1" applyBorder="1" applyAlignment="1">
      <alignment horizontal="center"/>
    </xf>
    <xf numFmtId="4" fontId="8" fillId="3" borderId="5" xfId="0" applyNumberFormat="1" applyFont="1" applyFill="1" applyBorder="1"/>
    <xf numFmtId="165" fontId="8" fillId="3" borderId="2" xfId="0" applyNumberFormat="1" applyFont="1" applyFill="1" applyBorder="1" applyAlignment="1">
      <alignment horizontal="center"/>
    </xf>
    <xf numFmtId="0" fontId="8" fillId="4" borderId="16" xfId="0" applyFont="1" applyFill="1" applyBorder="1"/>
    <xf numFmtId="0" fontId="8" fillId="4" borderId="17" xfId="0" applyFont="1" applyFill="1" applyBorder="1"/>
    <xf numFmtId="165" fontId="8" fillId="3" borderId="18" xfId="0" applyNumberFormat="1" applyFont="1" applyFill="1" applyBorder="1" applyAlignment="1">
      <alignment horizontal="center"/>
    </xf>
    <xf numFmtId="4" fontId="8" fillId="3" borderId="19" xfId="0" applyNumberFormat="1" applyFont="1" applyFill="1" applyBorder="1"/>
    <xf numFmtId="165" fontId="8" fillId="3" borderId="0" xfId="0" applyNumberFormat="1" applyFont="1" applyFill="1"/>
    <xf numFmtId="165" fontId="8" fillId="3" borderId="2" xfId="0" applyNumberFormat="1" applyFont="1" applyFill="1" applyBorder="1"/>
    <xf numFmtId="167" fontId="8" fillId="3" borderId="5" xfId="0" applyNumberFormat="1" applyFont="1" applyFill="1" applyBorder="1"/>
    <xf numFmtId="167" fontId="8" fillId="3" borderId="0" xfId="0" applyNumberFormat="1" applyFont="1" applyFill="1"/>
    <xf numFmtId="167" fontId="8" fillId="3" borderId="2" xfId="0" applyNumberFormat="1" applyFont="1" applyFill="1" applyBorder="1"/>
    <xf numFmtId="0" fontId="0" fillId="4" borderId="16" xfId="0" applyFill="1" applyBorder="1"/>
    <xf numFmtId="167" fontId="8" fillId="3" borderId="17" xfId="0" applyNumberFormat="1" applyFont="1" applyFill="1" applyBorder="1"/>
    <xf numFmtId="167" fontId="8" fillId="3" borderId="18" xfId="0" applyNumberFormat="1" applyFont="1" applyFill="1" applyBorder="1"/>
    <xf numFmtId="167" fontId="8" fillId="3" borderId="19" xfId="0" applyNumberFormat="1" applyFont="1" applyFill="1" applyBorder="1"/>
    <xf numFmtId="37" fontId="8" fillId="3" borderId="5" xfId="0" applyNumberFormat="1" applyFont="1" applyFill="1" applyBorder="1"/>
    <xf numFmtId="0" fontId="8" fillId="4" borderId="17" xfId="0" applyFont="1" applyFill="1" applyBorder="1" applyAlignment="1">
      <alignment horizontal="left"/>
    </xf>
    <xf numFmtId="37" fontId="8" fillId="3" borderId="19" xfId="0" applyNumberFormat="1" applyFont="1" applyFill="1" applyBorder="1"/>
    <xf numFmtId="168" fontId="8" fillId="3" borderId="5" xfId="0" applyNumberFormat="1" applyFont="1" applyFill="1" applyBorder="1"/>
    <xf numFmtId="0" fontId="8" fillId="4" borderId="17" xfId="0" quotePrefix="1" applyFont="1" applyFill="1" applyBorder="1" applyAlignment="1">
      <alignment horizontal="left"/>
    </xf>
    <xf numFmtId="168" fontId="8" fillId="3" borderId="19" xfId="0" applyNumberFormat="1" applyFont="1" applyFill="1" applyBorder="1"/>
    <xf numFmtId="0" fontId="8" fillId="3" borderId="2" xfId="0" applyFont="1" applyFill="1" applyBorder="1" applyAlignment="1">
      <alignment horizontal="center"/>
    </xf>
    <xf numFmtId="0" fontId="8" fillId="3" borderId="0" xfId="0" applyFont="1" applyFill="1"/>
    <xf numFmtId="0" fontId="8" fillId="3" borderId="2" xfId="0" applyFont="1" applyFill="1" applyBorder="1"/>
    <xf numFmtId="0" fontId="6" fillId="4" borderId="1" xfId="0" applyFont="1" applyFill="1" applyBorder="1" applyAlignment="1">
      <alignment horizontal="centerContinuous"/>
    </xf>
    <xf numFmtId="39" fontId="8" fillId="3" borderId="5" xfId="0" applyNumberFormat="1" applyFont="1" applyFill="1" applyBorder="1"/>
    <xf numFmtId="0" fontId="6" fillId="4" borderId="0" xfId="0" quotePrefix="1" applyFont="1" applyFill="1" applyAlignment="1">
      <alignment horizontal="left"/>
    </xf>
    <xf numFmtId="0" fontId="10" fillId="4" borderId="0" xfId="0" applyFont="1" applyFill="1"/>
    <xf numFmtId="169" fontId="8" fillId="3" borderId="5" xfId="0" applyNumberFormat="1" applyFont="1" applyFill="1" applyBorder="1"/>
    <xf numFmtId="0" fontId="8" fillId="3" borderId="2" xfId="0" quotePrefix="1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169" fontId="8" fillId="3" borderId="16" xfId="0" applyNumberFormat="1" applyFont="1" applyFill="1" applyBorder="1"/>
    <xf numFmtId="169" fontId="8" fillId="3" borderId="18" xfId="0" applyNumberFormat="1" applyFont="1" applyFill="1" applyBorder="1"/>
    <xf numFmtId="0" fontId="6" fillId="4" borderId="0" xfId="0" applyFont="1" applyFill="1" applyAlignment="1">
      <alignment horizontal="left"/>
    </xf>
    <xf numFmtId="4" fontId="8" fillId="3" borderId="2" xfId="0" applyNumberFormat="1" applyFont="1" applyFill="1" applyBorder="1"/>
    <xf numFmtId="37" fontId="8" fillId="3" borderId="1" xfId="0" applyNumberFormat="1" applyFont="1" applyFill="1" applyBorder="1" applyAlignment="1">
      <alignment horizontal="right"/>
    </xf>
    <xf numFmtId="37" fontId="8" fillId="3" borderId="2" xfId="0" applyNumberFormat="1" applyFont="1" applyFill="1" applyBorder="1" applyAlignment="1">
      <alignment horizontal="right"/>
    </xf>
    <xf numFmtId="0" fontId="5" fillId="3" borderId="18" xfId="0" applyFont="1" applyFill="1" applyBorder="1" applyAlignment="1">
      <alignment horizontal="center"/>
    </xf>
    <xf numFmtId="0" fontId="3" fillId="5" borderId="0" xfId="0" applyFont="1" applyFill="1" applyAlignment="1">
      <alignment horizontal="centerContinuous"/>
    </xf>
    <xf numFmtId="0" fontId="10" fillId="5" borderId="4" xfId="0" applyFont="1" applyFill="1" applyBorder="1" applyAlignment="1">
      <alignment horizontal="centerContinuous"/>
    </xf>
    <xf numFmtId="0" fontId="8" fillId="5" borderId="4" xfId="0" applyFont="1" applyFill="1" applyBorder="1" applyAlignment="1">
      <alignment horizontal="centerContinuous"/>
    </xf>
    <xf numFmtId="37" fontId="8" fillId="5" borderId="4" xfId="0" applyNumberFormat="1" applyFont="1" applyFill="1" applyBorder="1" applyAlignment="1">
      <alignment horizontal="centerContinuous"/>
    </xf>
    <xf numFmtId="3" fontId="3" fillId="5" borderId="0" xfId="0" applyNumberFormat="1" applyFont="1" applyFill="1" applyAlignment="1">
      <alignment horizontal="centerContinuous"/>
    </xf>
    <xf numFmtId="166" fontId="8" fillId="5" borderId="4" xfId="0" applyNumberFormat="1" applyFont="1" applyFill="1" applyBorder="1" applyAlignment="1">
      <alignment horizontal="centerContinuous"/>
    </xf>
    <xf numFmtId="0" fontId="1" fillId="5" borderId="0" xfId="0" applyFont="1" applyFill="1" applyAlignment="1">
      <alignment horizontal="centerContinuous"/>
    </xf>
    <xf numFmtId="0" fontId="5" fillId="5" borderId="0" xfId="0" applyFont="1" applyFill="1" applyAlignment="1">
      <alignment horizontal="centerContinuous"/>
    </xf>
    <xf numFmtId="0" fontId="11" fillId="5" borderId="0" xfId="0" applyFont="1" applyFill="1" applyAlignment="1">
      <alignment horizontal="centerContinuous"/>
    </xf>
    <xf numFmtId="0" fontId="11" fillId="5" borderId="0" xfId="0" quotePrefix="1" applyFont="1" applyFill="1" applyAlignment="1">
      <alignment horizontal="centerContinuous"/>
    </xf>
    <xf numFmtId="39" fontId="8" fillId="3" borderId="2" xfId="0" quotePrefix="1" applyNumberFormat="1" applyFont="1" applyFill="1" applyBorder="1"/>
    <xf numFmtId="37" fontId="9" fillId="0" borderId="9" xfId="0" applyNumberFormat="1" applyFont="1" applyBorder="1" applyProtection="1">
      <protection locked="0"/>
    </xf>
    <xf numFmtId="166" fontId="8" fillId="0" borderId="14" xfId="0" applyNumberFormat="1" applyFont="1" applyBorder="1"/>
    <xf numFmtId="0" fontId="6" fillId="4" borderId="11" xfId="0" applyFont="1" applyFill="1" applyBorder="1" applyAlignment="1">
      <alignment horizontal="left"/>
    </xf>
    <xf numFmtId="37" fontId="7" fillId="0" borderId="2" xfId="0" applyNumberFormat="1" applyFont="1" applyBorder="1" applyProtection="1">
      <protection locked="0"/>
    </xf>
    <xf numFmtId="0" fontId="8" fillId="4" borderId="14" xfId="0" applyFont="1" applyFill="1" applyBorder="1"/>
    <xf numFmtId="0" fontId="16" fillId="4" borderId="8" xfId="0" applyFont="1" applyFill="1" applyBorder="1" applyAlignment="1">
      <alignment horizontal="centerContinuous"/>
    </xf>
    <xf numFmtId="166" fontId="6" fillId="0" borderId="2" xfId="0" applyNumberFormat="1" applyFont="1" applyBorder="1"/>
    <xf numFmtId="166" fontId="8" fillId="0" borderId="9" xfId="0" applyNumberFormat="1" applyFont="1" applyBorder="1"/>
    <xf numFmtId="0" fontId="6" fillId="4" borderId="14" xfId="0" applyFont="1" applyFill="1" applyBorder="1" applyAlignment="1">
      <alignment horizontal="left"/>
    </xf>
    <xf numFmtId="0" fontId="0" fillId="0" borderId="11" xfId="0" applyBorder="1"/>
    <xf numFmtId="37" fontId="7" fillId="0" borderId="10" xfId="0" applyNumberFormat="1" applyFont="1" applyBorder="1" applyProtection="1">
      <protection locked="0"/>
    </xf>
    <xf numFmtId="37" fontId="7" fillId="0" borderId="12" xfId="0" applyNumberFormat="1" applyFont="1" applyBorder="1" applyProtection="1">
      <protection locked="0"/>
    </xf>
    <xf numFmtId="0" fontId="13" fillId="4" borderId="0" xfId="0" applyFont="1" applyFill="1" applyAlignment="1">
      <alignment horizontal="center"/>
    </xf>
    <xf numFmtId="166" fontId="6" fillId="0" borderId="8" xfId="0" applyNumberFormat="1" applyFont="1" applyBorder="1"/>
    <xf numFmtId="0" fontId="8" fillId="3" borderId="18" xfId="0" applyFont="1" applyFill="1" applyBorder="1" applyAlignment="1">
      <alignment horizontal="center"/>
    </xf>
    <xf numFmtId="39" fontId="8" fillId="3" borderId="19" xfId="0" applyNumberFormat="1" applyFont="1" applyFill="1" applyBorder="1"/>
    <xf numFmtId="39" fontId="8" fillId="3" borderId="20" xfId="0" applyNumberFormat="1" applyFont="1" applyFill="1" applyBorder="1"/>
    <xf numFmtId="0" fontId="8" fillId="4" borderId="5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left"/>
    </xf>
    <xf numFmtId="0" fontId="6" fillId="4" borderId="15" xfId="0" applyFont="1" applyFill="1" applyBorder="1" applyAlignment="1">
      <alignment horizontal="left"/>
    </xf>
    <xf numFmtId="166" fontId="6" fillId="0" borderId="4" xfId="0" applyNumberFormat="1" applyFont="1" applyBorder="1"/>
    <xf numFmtId="0" fontId="8" fillId="4" borderId="14" xfId="0" applyFont="1" applyFill="1" applyBorder="1" applyAlignment="1">
      <alignment horizontal="left"/>
    </xf>
    <xf numFmtId="167" fontId="8" fillId="3" borderId="1" xfId="1" applyNumberFormat="1" applyFont="1" applyFill="1" applyBorder="1" applyProtection="1"/>
    <xf numFmtId="167" fontId="8" fillId="3" borderId="2" xfId="1" applyNumberFormat="1" applyFont="1" applyFill="1" applyBorder="1" applyProtection="1"/>
    <xf numFmtId="167" fontId="8" fillId="3" borderId="1" xfId="1" applyNumberFormat="1" applyFont="1" applyFill="1" applyBorder="1" applyAlignment="1" applyProtection="1">
      <alignment horizontal="right"/>
    </xf>
    <xf numFmtId="167" fontId="8" fillId="3" borderId="2" xfId="1" applyNumberFormat="1" applyFont="1" applyFill="1" applyBorder="1" applyAlignment="1" applyProtection="1">
      <alignment horizontal="right"/>
    </xf>
    <xf numFmtId="167" fontId="8" fillId="3" borderId="19" xfId="1" applyNumberFormat="1" applyFont="1" applyFill="1" applyBorder="1" applyProtection="1"/>
    <xf numFmtId="0" fontId="20" fillId="5" borderId="0" xfId="0" applyFont="1" applyFill="1" applyAlignment="1">
      <alignment horizontal="centerContinuous"/>
    </xf>
    <xf numFmtId="3" fontId="20" fillId="5" borderId="0" xfId="0" applyNumberFormat="1" applyFont="1" applyFill="1" applyAlignment="1">
      <alignment horizontal="centerContinuous"/>
    </xf>
    <xf numFmtId="0" fontId="21" fillId="5" borderId="0" xfId="0" applyFont="1" applyFill="1" applyAlignment="1">
      <alignment horizontal="centerContinuous"/>
    </xf>
    <xf numFmtId="3" fontId="21" fillId="5" borderId="0" xfId="0" applyNumberFormat="1" applyFont="1" applyFill="1" applyAlignment="1">
      <alignment horizontal="centerContinuous"/>
    </xf>
    <xf numFmtId="37" fontId="9" fillId="0" borderId="3" xfId="0" applyNumberFormat="1" applyFont="1" applyBorder="1"/>
    <xf numFmtId="37" fontId="9" fillId="0" borderId="9" xfId="0" applyNumberFormat="1" applyFont="1" applyBorder="1"/>
    <xf numFmtId="166" fontId="8" fillId="0" borderId="2" xfId="0" applyNumberFormat="1" applyFont="1" applyBorder="1" applyProtection="1">
      <protection locked="0"/>
    </xf>
    <xf numFmtId="166" fontId="8" fillId="0" borderId="5" xfId="0" applyNumberFormat="1" applyFont="1" applyBorder="1" applyProtection="1">
      <protection locked="0"/>
    </xf>
    <xf numFmtId="37" fontId="7" fillId="0" borderId="9" xfId="0" applyNumberFormat="1" applyFont="1" applyBorder="1" applyProtection="1">
      <protection locked="0"/>
    </xf>
    <xf numFmtId="166" fontId="6" fillId="0" borderId="14" xfId="0" applyNumberFormat="1" applyFont="1" applyBorder="1"/>
    <xf numFmtId="37" fontId="6" fillId="3" borderId="13" xfId="0" applyNumberFormat="1" applyFont="1" applyFill="1" applyBorder="1"/>
    <xf numFmtId="37" fontId="6" fillId="3" borderId="14" xfId="0" applyNumberFormat="1" applyFont="1" applyFill="1" applyBorder="1"/>
    <xf numFmtId="0" fontId="21" fillId="0" borderId="0" xfId="0" applyFont="1" applyAlignment="1" applyProtection="1">
      <alignment horizontal="centerContinuous"/>
      <protection locked="0"/>
    </xf>
    <xf numFmtId="0" fontId="22" fillId="0" borderId="0" xfId="0" applyFont="1" applyAlignment="1">
      <alignment horizontal="centerContinuous"/>
    </xf>
    <xf numFmtId="37" fontId="8" fillId="3" borderId="9" xfId="0" quotePrefix="1" applyNumberFormat="1" applyFont="1" applyFill="1" applyBorder="1"/>
    <xf numFmtId="37" fontId="6" fillId="3" borderId="9" xfId="0" quotePrefix="1" applyNumberFormat="1" applyFont="1" applyFill="1" applyBorder="1"/>
    <xf numFmtId="170" fontId="6" fillId="3" borderId="9" xfId="2" quotePrefix="1" applyNumberFormat="1" applyFont="1" applyFill="1" applyBorder="1" applyProtection="1"/>
    <xf numFmtId="0" fontId="6" fillId="4" borderId="14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171" fontId="8" fillId="3" borderId="8" xfId="0" applyNumberFormat="1" applyFont="1" applyFill="1" applyBorder="1"/>
    <xf numFmtId="171" fontId="8" fillId="3" borderId="2" xfId="0" applyNumberFormat="1" applyFont="1" applyFill="1" applyBorder="1"/>
    <xf numFmtId="170" fontId="8" fillId="3" borderId="9" xfId="2" quotePrefix="1" applyNumberFormat="1" applyFont="1" applyFill="1" applyBorder="1" applyProtection="1"/>
    <xf numFmtId="171" fontId="6" fillId="3" borderId="9" xfId="0" applyNumberFormat="1" applyFont="1" applyFill="1" applyBorder="1"/>
    <xf numFmtId="0" fontId="23" fillId="5" borderId="0" xfId="0" applyFont="1" applyFill="1" applyAlignment="1">
      <alignment horizontal="centerContinuous"/>
    </xf>
    <xf numFmtId="0" fontId="6" fillId="4" borderId="21" xfId="0" applyFont="1" applyFill="1" applyBorder="1"/>
    <xf numFmtId="0" fontId="6" fillId="4" borderId="22" xfId="0" applyFont="1" applyFill="1" applyBorder="1" applyAlignment="1">
      <alignment horizontal="right"/>
    </xf>
    <xf numFmtId="0" fontId="6" fillId="4" borderId="23" xfId="0" applyFont="1" applyFill="1" applyBorder="1" applyAlignment="1">
      <alignment horizontal="center"/>
    </xf>
    <xf numFmtId="0" fontId="16" fillId="4" borderId="22" xfId="0" applyFont="1" applyFill="1" applyBorder="1" applyAlignment="1">
      <alignment horizontal="centerContinuous"/>
    </xf>
    <xf numFmtId="0" fontId="16" fillId="4" borderId="24" xfId="0" applyFont="1" applyFill="1" applyBorder="1" applyAlignment="1">
      <alignment horizontal="centerContinuous"/>
    </xf>
    <xf numFmtId="0" fontId="6" fillId="4" borderId="25" xfId="0" applyFont="1" applyFill="1" applyBorder="1"/>
    <xf numFmtId="0" fontId="16" fillId="4" borderId="26" xfId="0" applyFont="1" applyFill="1" applyBorder="1" applyAlignment="1">
      <alignment horizontal="center"/>
    </xf>
    <xf numFmtId="0" fontId="8" fillId="4" borderId="27" xfId="0" applyFont="1" applyFill="1" applyBorder="1" applyAlignment="1">
      <alignment horizontal="right"/>
    </xf>
    <xf numFmtId="166" fontId="8" fillId="3" borderId="28" xfId="0" applyNumberFormat="1" applyFont="1" applyFill="1" applyBorder="1"/>
    <xf numFmtId="0" fontId="6" fillId="4" borderId="29" xfId="0" applyFont="1" applyFill="1" applyBorder="1" applyAlignment="1">
      <alignment horizontal="right"/>
    </xf>
    <xf numFmtId="0" fontId="6" fillId="4" borderId="30" xfId="0" applyFont="1" applyFill="1" applyBorder="1"/>
    <xf numFmtId="170" fontId="6" fillId="3" borderId="31" xfId="2" quotePrefix="1" applyNumberFormat="1" applyFont="1" applyFill="1" applyBorder="1" applyProtection="1"/>
    <xf numFmtId="166" fontId="6" fillId="3" borderId="31" xfId="0" applyNumberFormat="1" applyFont="1" applyFill="1" applyBorder="1"/>
    <xf numFmtId="166" fontId="6" fillId="3" borderId="32" xfId="0" applyNumberFormat="1" applyFont="1" applyFill="1" applyBorder="1"/>
    <xf numFmtId="0" fontId="6" fillId="4" borderId="33" xfId="0" applyFont="1" applyFill="1" applyBorder="1"/>
    <xf numFmtId="0" fontId="6" fillId="4" borderId="34" xfId="0" applyFont="1" applyFill="1" applyBorder="1" applyAlignment="1">
      <alignment horizontal="center"/>
    </xf>
    <xf numFmtId="171" fontId="8" fillId="3" borderId="28" xfId="0" applyNumberFormat="1" applyFont="1" applyFill="1" applyBorder="1"/>
    <xf numFmtId="0" fontId="6" fillId="4" borderId="33" xfId="0" applyFont="1" applyFill="1" applyBorder="1" applyAlignment="1">
      <alignment horizontal="right"/>
    </xf>
    <xf numFmtId="170" fontId="6" fillId="3" borderId="34" xfId="2" quotePrefix="1" applyNumberFormat="1" applyFont="1" applyFill="1" applyBorder="1" applyProtection="1"/>
    <xf numFmtId="171" fontId="6" fillId="3" borderId="34" xfId="0" applyNumberFormat="1" applyFont="1" applyFill="1" applyBorder="1"/>
    <xf numFmtId="0" fontId="8" fillId="4" borderId="33" xfId="0" applyFont="1" applyFill="1" applyBorder="1" applyAlignment="1">
      <alignment horizontal="right"/>
    </xf>
    <xf numFmtId="170" fontId="8" fillId="3" borderId="34" xfId="2" quotePrefix="1" applyNumberFormat="1" applyFont="1" applyFill="1" applyBorder="1" applyProtection="1"/>
    <xf numFmtId="171" fontId="6" fillId="3" borderId="31" xfId="0" applyNumberFormat="1" applyFont="1" applyFill="1" applyBorder="1"/>
    <xf numFmtId="171" fontId="6" fillId="3" borderId="32" xfId="0" applyNumberFormat="1" applyFont="1" applyFill="1" applyBorder="1"/>
    <xf numFmtId="0" fontId="0" fillId="0" borderId="27" xfId="0" applyBorder="1"/>
    <xf numFmtId="0" fontId="0" fillId="0" borderId="38" xfId="0" applyBorder="1"/>
    <xf numFmtId="0" fontId="0" fillId="0" borderId="0" xfId="0" applyProtection="1">
      <protection locked="0"/>
    </xf>
    <xf numFmtId="0" fontId="3" fillId="0" borderId="4" xfId="0" applyFont="1" applyBorder="1" applyAlignment="1">
      <alignment horizontal="center"/>
    </xf>
    <xf numFmtId="170" fontId="6" fillId="3" borderId="35" xfId="2" quotePrefix="1" applyNumberFormat="1" applyFont="1" applyFill="1" applyBorder="1" applyAlignment="1" applyProtection="1">
      <alignment horizontal="center"/>
    </xf>
    <xf numFmtId="170" fontId="6" fillId="3" borderId="36" xfId="2" quotePrefix="1" applyNumberFormat="1" applyFont="1" applyFill="1" applyBorder="1" applyAlignment="1" applyProtection="1">
      <alignment horizontal="center"/>
    </xf>
    <xf numFmtId="170" fontId="6" fillId="3" borderId="37" xfId="2" quotePrefix="1" applyNumberFormat="1" applyFont="1" applyFill="1" applyBorder="1" applyAlignment="1" applyProtection="1">
      <alignment horizont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84"/>
  <sheetViews>
    <sheetView tabSelected="1" workbookViewId="0">
      <selection activeCell="C27" sqref="C27"/>
    </sheetView>
  </sheetViews>
  <sheetFormatPr defaultRowHeight="12.75" x14ac:dyDescent="0.2"/>
  <cols>
    <col min="1" max="1" width="7.1640625" customWidth="1"/>
    <col min="2" max="2" width="30.6640625" customWidth="1"/>
    <col min="3" max="3" width="17.83203125" customWidth="1"/>
    <col min="4" max="4" width="1.83203125" customWidth="1"/>
    <col min="5" max="5" width="17.83203125" customWidth="1"/>
    <col min="6" max="6" width="1.83203125" customWidth="1"/>
    <col min="7" max="7" width="17.83203125" customWidth="1"/>
  </cols>
  <sheetData>
    <row r="2" spans="1:7" ht="20.25" x14ac:dyDescent="0.3">
      <c r="A2" s="96"/>
      <c r="B2" s="236" t="s">
        <v>348</v>
      </c>
      <c r="C2" s="27"/>
      <c r="D2" s="27"/>
      <c r="E2" s="27"/>
      <c r="F2" s="27"/>
      <c r="G2" s="27"/>
    </row>
    <row r="3" spans="1:7" ht="15.75" x14ac:dyDescent="0.25">
      <c r="A3" s="26"/>
      <c r="B3" s="13"/>
      <c r="C3" s="13"/>
      <c r="D3" s="13"/>
      <c r="E3" s="17" t="s">
        <v>1</v>
      </c>
      <c r="F3" s="13"/>
      <c r="G3" s="13"/>
    </row>
    <row r="4" spans="1:7" ht="15.75" x14ac:dyDescent="0.25">
      <c r="A4" s="185" t="s">
        <v>0</v>
      </c>
      <c r="B4" s="185"/>
      <c r="C4" s="185"/>
      <c r="D4" s="185"/>
      <c r="E4" s="185"/>
      <c r="F4" s="185"/>
      <c r="G4" s="185"/>
    </row>
    <row r="5" spans="1:7" ht="15.75" x14ac:dyDescent="0.25">
      <c r="A5" s="275" t="s">
        <v>144</v>
      </c>
      <c r="B5" s="275"/>
      <c r="C5" s="42">
        <v>1</v>
      </c>
      <c r="D5" s="42"/>
      <c r="E5" s="42">
        <v>1</v>
      </c>
      <c r="F5" s="42"/>
      <c r="G5" s="42">
        <v>1</v>
      </c>
    </row>
    <row r="6" spans="1:7" ht="14.25" x14ac:dyDescent="0.2">
      <c r="A6" s="48"/>
      <c r="B6" s="49" t="s">
        <v>2</v>
      </c>
      <c r="C6" s="65">
        <v>2010</v>
      </c>
      <c r="D6" s="65"/>
      <c r="E6" s="65">
        <v>2009</v>
      </c>
      <c r="F6" s="65"/>
      <c r="G6" s="65">
        <v>2008</v>
      </c>
    </row>
    <row r="7" spans="1:7" ht="15" x14ac:dyDescent="0.25">
      <c r="A7" s="53"/>
      <c r="B7" s="54" t="s">
        <v>4</v>
      </c>
      <c r="C7" s="66" t="s">
        <v>5</v>
      </c>
      <c r="D7" s="66"/>
      <c r="E7" s="66" t="s">
        <v>5</v>
      </c>
      <c r="F7" s="66"/>
      <c r="G7" s="67" t="s">
        <v>5</v>
      </c>
    </row>
    <row r="8" spans="1:7" ht="15" x14ac:dyDescent="0.25">
      <c r="A8" s="64"/>
      <c r="B8" s="68" t="s">
        <v>7</v>
      </c>
      <c r="C8" s="69"/>
      <c r="D8" s="69"/>
      <c r="E8" s="69"/>
      <c r="F8" s="69"/>
      <c r="G8" s="69"/>
    </row>
    <row r="9" spans="1:7" ht="14.25" x14ac:dyDescent="0.2">
      <c r="A9" s="94">
        <v>11</v>
      </c>
      <c r="B9" s="95" t="s">
        <v>8</v>
      </c>
      <c r="C9" s="91">
        <f>SUM(C10:C15)</f>
        <v>8310497</v>
      </c>
      <c r="D9" s="91"/>
      <c r="E9" s="91">
        <f>SUM(E10:E15)</f>
        <v>9836650</v>
      </c>
      <c r="F9" s="91"/>
      <c r="G9" s="91">
        <f>SUM(G10:G15)</f>
        <v>14360293</v>
      </c>
    </row>
    <row r="10" spans="1:7" ht="15" x14ac:dyDescent="0.25">
      <c r="A10" s="59">
        <v>111</v>
      </c>
      <c r="B10" s="61" t="s">
        <v>314</v>
      </c>
      <c r="C10" s="43">
        <v>171217</v>
      </c>
      <c r="D10" s="43"/>
      <c r="E10" s="43">
        <v>190053</v>
      </c>
      <c r="F10" s="43"/>
      <c r="G10" s="43">
        <v>657716</v>
      </c>
    </row>
    <row r="11" spans="1:7" ht="15" x14ac:dyDescent="0.25">
      <c r="A11" s="59">
        <v>112</v>
      </c>
      <c r="B11" s="61" t="s">
        <v>9</v>
      </c>
      <c r="C11" s="43">
        <v>580781</v>
      </c>
      <c r="D11" s="43"/>
      <c r="E11" s="43">
        <v>708465</v>
      </c>
      <c r="F11" s="43"/>
      <c r="G11" s="43">
        <f>1107044-82782</f>
        <v>1024262</v>
      </c>
    </row>
    <row r="12" spans="1:7" ht="15" x14ac:dyDescent="0.25">
      <c r="A12" s="59">
        <v>113</v>
      </c>
      <c r="B12" s="61" t="s">
        <v>10</v>
      </c>
      <c r="C12" s="43">
        <f>3654591+8171</f>
        <v>3662762</v>
      </c>
      <c r="D12" s="43"/>
      <c r="E12" s="43">
        <f>4245983+11257</f>
        <v>4257240</v>
      </c>
      <c r="F12" s="43"/>
      <c r="G12" s="43">
        <f>6906358+194745</f>
        <v>7101103</v>
      </c>
    </row>
    <row r="13" spans="1:7" ht="15" x14ac:dyDescent="0.25">
      <c r="A13" s="59">
        <v>114</v>
      </c>
      <c r="B13" s="61" t="s">
        <v>11</v>
      </c>
      <c r="C13" s="43">
        <f>1222198+11320+34061+1004163+1145819</f>
        <v>3417561</v>
      </c>
      <c r="D13" s="43"/>
      <c r="E13" s="43">
        <f>1660803+22148+19572+1075150+1507415</f>
        <v>4285088</v>
      </c>
      <c r="F13" s="43"/>
      <c r="G13" s="43">
        <f>3687540+22786+776829+20123</f>
        <v>4507278</v>
      </c>
    </row>
    <row r="14" spans="1:7" ht="15" x14ac:dyDescent="0.25">
      <c r="A14" s="59">
        <v>115</v>
      </c>
      <c r="B14" s="61" t="s">
        <v>12</v>
      </c>
      <c r="C14" s="43">
        <v>19379</v>
      </c>
      <c r="D14" s="43"/>
      <c r="E14" s="43">
        <v>20960</v>
      </c>
      <c r="F14" s="43"/>
      <c r="G14" s="43">
        <f>26886</f>
        <v>26886</v>
      </c>
    </row>
    <row r="15" spans="1:7" ht="15" x14ac:dyDescent="0.25">
      <c r="A15" s="53">
        <v>116</v>
      </c>
      <c r="B15" s="63" t="s">
        <v>13</v>
      </c>
      <c r="C15" s="44">
        <v>458797</v>
      </c>
      <c r="D15" s="44"/>
      <c r="E15" s="44">
        <v>374844</v>
      </c>
      <c r="F15" s="44"/>
      <c r="G15" s="44">
        <f>246100+316089+404508+76351</f>
        <v>1043048</v>
      </c>
    </row>
    <row r="16" spans="1:7" ht="14.25" x14ac:dyDescent="0.2">
      <c r="A16" s="94">
        <v>12</v>
      </c>
      <c r="B16" s="68" t="s">
        <v>265</v>
      </c>
      <c r="C16" s="91">
        <f>C17+C18</f>
        <v>5670517</v>
      </c>
      <c r="D16" s="91"/>
      <c r="E16" s="91">
        <f>E17+E18</f>
        <v>5641823</v>
      </c>
      <c r="F16" s="91"/>
      <c r="G16" s="91">
        <f>G17+G18</f>
        <v>7138877</v>
      </c>
    </row>
    <row r="17" spans="1:7" ht="14.25" x14ac:dyDescent="0.2">
      <c r="A17" s="94">
        <v>121</v>
      </c>
      <c r="B17" s="68" t="s">
        <v>266</v>
      </c>
      <c r="C17" s="97">
        <f>2484091-8171</f>
        <v>2475920</v>
      </c>
      <c r="D17" s="97"/>
      <c r="E17" s="97">
        <f>2472268-11257</f>
        <v>2461011</v>
      </c>
      <c r="F17" s="97"/>
      <c r="G17" s="97">
        <f>159633+13689+264538+1091720+76472+1152636+28137+424559+16786</f>
        <v>3228170</v>
      </c>
    </row>
    <row r="18" spans="1:7" ht="14.25" x14ac:dyDescent="0.2">
      <c r="A18" s="94">
        <v>122</v>
      </c>
      <c r="B18" s="68" t="s">
        <v>267</v>
      </c>
      <c r="C18" s="91">
        <f>SUM(C19:C22)</f>
        <v>3194597</v>
      </c>
      <c r="D18" s="91"/>
      <c r="E18" s="91">
        <f>SUM(E19:E22)</f>
        <v>3180812</v>
      </c>
      <c r="F18" s="91"/>
      <c r="G18" s="91">
        <f>SUM(G19:G22)</f>
        <v>3910707</v>
      </c>
    </row>
    <row r="19" spans="1:7" ht="15" x14ac:dyDescent="0.25">
      <c r="A19" s="59">
        <v>1221</v>
      </c>
      <c r="B19" s="61" t="s">
        <v>268</v>
      </c>
      <c r="C19" s="43">
        <v>8</v>
      </c>
      <c r="D19" s="43"/>
      <c r="E19" s="43">
        <v>9</v>
      </c>
      <c r="F19" s="43"/>
      <c r="G19" s="43">
        <v>10</v>
      </c>
    </row>
    <row r="20" spans="1:7" ht="15" x14ac:dyDescent="0.25">
      <c r="A20" s="59">
        <v>1222</v>
      </c>
      <c r="B20" s="61" t="s">
        <v>269</v>
      </c>
      <c r="C20" s="43">
        <v>2001074</v>
      </c>
      <c r="D20" s="43"/>
      <c r="E20" s="43">
        <v>1917645</v>
      </c>
      <c r="F20" s="43"/>
      <c r="G20" s="43">
        <v>2300207</v>
      </c>
    </row>
    <row r="21" spans="1:7" ht="15" x14ac:dyDescent="0.25">
      <c r="A21" s="59">
        <v>1223</v>
      </c>
      <c r="B21" s="61" t="s">
        <v>270</v>
      </c>
      <c r="C21" s="43">
        <v>1193515</v>
      </c>
      <c r="D21" s="43"/>
      <c r="E21" s="43">
        <v>1263158</v>
      </c>
      <c r="F21" s="43"/>
      <c r="G21" s="43">
        <v>1610490</v>
      </c>
    </row>
    <row r="22" spans="1:7" ht="15" x14ac:dyDescent="0.25">
      <c r="A22" s="53">
        <v>1224</v>
      </c>
      <c r="B22" s="63" t="s">
        <v>271</v>
      </c>
      <c r="C22" s="44">
        <v>0</v>
      </c>
      <c r="D22" s="44"/>
      <c r="E22" s="44">
        <v>0</v>
      </c>
      <c r="F22" s="44"/>
      <c r="G22" s="44">
        <v>0</v>
      </c>
    </row>
    <row r="23" spans="1:7" ht="15" x14ac:dyDescent="0.25">
      <c r="A23" s="64">
        <v>1</v>
      </c>
      <c r="B23" s="68" t="s">
        <v>14</v>
      </c>
      <c r="C23" s="91">
        <f>C18+C17+C9</f>
        <v>13981014</v>
      </c>
      <c r="D23" s="47"/>
      <c r="E23" s="91">
        <f>E18+E17+E9</f>
        <v>15478473</v>
      </c>
      <c r="F23" s="47"/>
      <c r="G23" s="91">
        <f>G18+G17+G9</f>
        <v>21499170</v>
      </c>
    </row>
    <row r="24" spans="1:7" ht="15" x14ac:dyDescent="0.25">
      <c r="A24" s="45"/>
      <c r="B24" s="45"/>
      <c r="C24" s="46"/>
      <c r="D24" s="46"/>
      <c r="E24" s="46"/>
      <c r="F24" s="46"/>
      <c r="G24" s="46"/>
    </row>
    <row r="25" spans="1:7" ht="15" x14ac:dyDescent="0.25">
      <c r="A25" s="64"/>
      <c r="B25" s="68" t="s">
        <v>15</v>
      </c>
      <c r="C25" s="70"/>
      <c r="D25" s="70"/>
      <c r="E25" s="70"/>
      <c r="F25" s="70"/>
      <c r="G25" s="70"/>
    </row>
    <row r="26" spans="1:7" ht="14.25" x14ac:dyDescent="0.2">
      <c r="A26" s="94">
        <v>21</v>
      </c>
      <c r="B26" s="95" t="s">
        <v>8</v>
      </c>
      <c r="C26" s="91">
        <f>SUM(C27:C35)</f>
        <v>3980282</v>
      </c>
      <c r="D26" s="91"/>
      <c r="E26" s="91">
        <f>SUM(E27:E35)</f>
        <v>4789198</v>
      </c>
      <c r="F26" s="91"/>
      <c r="G26" s="91">
        <f>SUM(G27:G35)</f>
        <v>8375018</v>
      </c>
    </row>
    <row r="27" spans="1:7" ht="15" x14ac:dyDescent="0.25">
      <c r="A27" s="59">
        <v>211</v>
      </c>
      <c r="B27" s="61" t="s">
        <v>16</v>
      </c>
      <c r="C27" s="43">
        <v>1250029</v>
      </c>
      <c r="D27" s="43"/>
      <c r="E27" s="43">
        <v>1038345</v>
      </c>
      <c r="F27" s="43"/>
      <c r="G27" s="43">
        <v>2520208</v>
      </c>
    </row>
    <row r="28" spans="1:7" ht="15" x14ac:dyDescent="0.25">
      <c r="A28" s="59">
        <v>212</v>
      </c>
      <c r="B28" s="61" t="s">
        <v>17</v>
      </c>
      <c r="C28" s="43">
        <v>132538</v>
      </c>
      <c r="D28" s="43"/>
      <c r="E28" s="43">
        <v>112976</v>
      </c>
      <c r="F28" s="43"/>
      <c r="G28" s="43">
        <f>148009</f>
        <v>148009</v>
      </c>
    </row>
    <row r="29" spans="1:7" ht="15" x14ac:dyDescent="0.25">
      <c r="A29" s="59">
        <v>213</v>
      </c>
      <c r="B29" s="61" t="s">
        <v>18</v>
      </c>
      <c r="C29" s="43">
        <v>515844</v>
      </c>
      <c r="D29" s="43"/>
      <c r="E29" s="43">
        <v>406527</v>
      </c>
      <c r="F29" s="43"/>
      <c r="G29" s="43">
        <f>891737</f>
        <v>891737</v>
      </c>
    </row>
    <row r="30" spans="1:7" ht="15" x14ac:dyDescent="0.25">
      <c r="A30" s="59">
        <v>214</v>
      </c>
      <c r="B30" s="61" t="s">
        <v>19</v>
      </c>
      <c r="C30" s="43">
        <v>140694</v>
      </c>
      <c r="D30" s="43"/>
      <c r="E30" s="43">
        <v>188194</v>
      </c>
      <c r="F30" s="43"/>
      <c r="G30" s="43">
        <f>163503</f>
        <v>163503</v>
      </c>
    </row>
    <row r="31" spans="1:7" ht="15" x14ac:dyDescent="0.25">
      <c r="A31" s="59">
        <v>215</v>
      </c>
      <c r="B31" s="61" t="s">
        <v>20</v>
      </c>
      <c r="C31" s="43">
        <v>122273</v>
      </c>
      <c r="D31" s="43"/>
      <c r="E31" s="43">
        <v>1032375</v>
      </c>
      <c r="F31" s="43"/>
      <c r="G31" s="43">
        <f>1259809</f>
        <v>1259809</v>
      </c>
    </row>
    <row r="32" spans="1:7" ht="15" x14ac:dyDescent="0.25">
      <c r="A32" s="59">
        <v>216</v>
      </c>
      <c r="B32" s="61" t="s">
        <v>315</v>
      </c>
      <c r="C32" s="43">
        <v>16658</v>
      </c>
      <c r="D32" s="43"/>
      <c r="E32" s="43">
        <v>23617</v>
      </c>
      <c r="F32" s="43"/>
      <c r="G32" s="43">
        <f>84737</f>
        <v>84737</v>
      </c>
    </row>
    <row r="33" spans="1:7" ht="15" x14ac:dyDescent="0.25">
      <c r="A33" s="59">
        <v>217</v>
      </c>
      <c r="B33" s="61" t="s">
        <v>165</v>
      </c>
      <c r="C33" s="43">
        <v>82331</v>
      </c>
      <c r="D33" s="43"/>
      <c r="E33" s="43">
        <v>208256</v>
      </c>
      <c r="F33" s="43"/>
      <c r="G33" s="43">
        <v>2002</v>
      </c>
    </row>
    <row r="34" spans="1:7" ht="15" x14ac:dyDescent="0.25">
      <c r="A34" s="59">
        <v>218</v>
      </c>
      <c r="B34" s="61" t="s">
        <v>166</v>
      </c>
      <c r="C34" s="43">
        <v>1298699</v>
      </c>
      <c r="D34" s="43"/>
      <c r="E34" s="43">
        <v>1328138</v>
      </c>
      <c r="F34" s="43"/>
      <c r="G34" s="43">
        <f>2691041</f>
        <v>2691041</v>
      </c>
    </row>
    <row r="35" spans="1:7" ht="15" x14ac:dyDescent="0.25">
      <c r="A35" s="59">
        <v>219</v>
      </c>
      <c r="B35" s="61" t="s">
        <v>21</v>
      </c>
      <c r="C35" s="43">
        <v>421216</v>
      </c>
      <c r="D35" s="43"/>
      <c r="E35" s="43">
        <v>450770</v>
      </c>
      <c r="F35" s="43"/>
      <c r="G35" s="43">
        <f>321753+5823+22137+264259</f>
        <v>613972</v>
      </c>
    </row>
    <row r="36" spans="1:7" ht="14.25" x14ac:dyDescent="0.2">
      <c r="A36" s="94">
        <v>22</v>
      </c>
      <c r="B36" s="68" t="s">
        <v>265</v>
      </c>
      <c r="C36" s="91">
        <f>C37</f>
        <v>4782975</v>
      </c>
      <c r="D36" s="91"/>
      <c r="E36" s="91">
        <f>E37</f>
        <v>5669463</v>
      </c>
      <c r="F36" s="91"/>
      <c r="G36" s="91">
        <f>G37</f>
        <v>6990127</v>
      </c>
    </row>
    <row r="37" spans="1:7" ht="14.25" x14ac:dyDescent="0.2">
      <c r="A37" s="94">
        <v>221</v>
      </c>
      <c r="B37" s="68" t="s">
        <v>272</v>
      </c>
      <c r="C37" s="91">
        <f>SUM(C38:C39)</f>
        <v>4782975</v>
      </c>
      <c r="D37" s="91"/>
      <c r="E37" s="91">
        <f>SUM(E38:E39)</f>
        <v>5669463</v>
      </c>
      <c r="F37" s="91"/>
      <c r="G37" s="91">
        <f>SUM(G38:G39)</f>
        <v>6990127</v>
      </c>
    </row>
    <row r="38" spans="1:7" ht="15" x14ac:dyDescent="0.25">
      <c r="A38" s="59">
        <v>2211</v>
      </c>
      <c r="B38" s="71" t="s">
        <v>273</v>
      </c>
      <c r="C38" s="43">
        <v>2637860</v>
      </c>
      <c r="D38" s="43"/>
      <c r="E38" s="43">
        <v>3007358</v>
      </c>
      <c r="F38" s="43"/>
      <c r="G38" s="43">
        <f>3039870</f>
        <v>3039870</v>
      </c>
    </row>
    <row r="39" spans="1:7" ht="15" x14ac:dyDescent="0.25">
      <c r="A39" s="59">
        <v>2212</v>
      </c>
      <c r="B39" s="61" t="s">
        <v>274</v>
      </c>
      <c r="C39" s="43">
        <v>2145115</v>
      </c>
      <c r="D39" s="43"/>
      <c r="E39" s="43">
        <v>2662105</v>
      </c>
      <c r="F39" s="43"/>
      <c r="G39" s="43">
        <f>857391+41218+103453+1049800+547027+80114+235902+921430+7949+105973</f>
        <v>3950257</v>
      </c>
    </row>
    <row r="40" spans="1:7" ht="14.25" x14ac:dyDescent="0.2">
      <c r="A40" s="94">
        <v>23</v>
      </c>
      <c r="B40" s="68" t="s">
        <v>22</v>
      </c>
      <c r="C40" s="91">
        <f>SUM(C41:C47)</f>
        <v>5217757</v>
      </c>
      <c r="D40" s="91"/>
      <c r="E40" s="91">
        <f>SUM(E41:E47)</f>
        <v>5019812</v>
      </c>
      <c r="F40" s="91"/>
      <c r="G40" s="91">
        <f>SUM(G41:G47)</f>
        <v>6134025</v>
      </c>
    </row>
    <row r="41" spans="1:7" ht="15" x14ac:dyDescent="0.25">
      <c r="A41" s="59">
        <v>231</v>
      </c>
      <c r="B41" s="61" t="s">
        <v>23</v>
      </c>
      <c r="C41" s="43">
        <v>4789617</v>
      </c>
      <c r="D41" s="43"/>
      <c r="E41" s="43">
        <v>4789617</v>
      </c>
      <c r="F41" s="43"/>
      <c r="G41" s="43">
        <v>4789617</v>
      </c>
    </row>
    <row r="42" spans="1:7" ht="15" x14ac:dyDescent="0.25">
      <c r="A42" s="59">
        <v>232</v>
      </c>
      <c r="B42" s="61" t="s">
        <v>24</v>
      </c>
      <c r="C42" s="43">
        <v>5809</v>
      </c>
      <c r="D42" s="43"/>
      <c r="E42" s="43">
        <v>0</v>
      </c>
      <c r="F42" s="43"/>
      <c r="G42" s="43">
        <v>0</v>
      </c>
    </row>
    <row r="43" spans="1:7" ht="15" x14ac:dyDescent="0.25">
      <c r="A43" s="59">
        <v>233</v>
      </c>
      <c r="B43" s="61" t="s">
        <v>182</v>
      </c>
      <c r="C43" s="43">
        <v>-1801329</v>
      </c>
      <c r="D43" s="43"/>
      <c r="E43" s="43">
        <v>-1561265</v>
      </c>
      <c r="F43" s="43"/>
      <c r="G43" s="43">
        <v>13487</v>
      </c>
    </row>
    <row r="44" spans="1:7" ht="15" x14ac:dyDescent="0.25">
      <c r="A44" s="59">
        <v>234</v>
      </c>
      <c r="B44" s="61" t="s">
        <v>25</v>
      </c>
      <c r="C44" s="43">
        <v>2372289</v>
      </c>
      <c r="D44" s="43"/>
      <c r="E44" s="43">
        <v>2239478</v>
      </c>
      <c r="F44" s="43"/>
      <c r="G44" s="43">
        <f>1487677</f>
        <v>1487677</v>
      </c>
    </row>
    <row r="45" spans="1:7" ht="15" x14ac:dyDescent="0.25">
      <c r="A45" s="59">
        <v>235</v>
      </c>
      <c r="B45" s="61" t="s">
        <v>26</v>
      </c>
      <c r="C45" s="43">
        <v>0</v>
      </c>
      <c r="D45" s="43"/>
      <c r="E45" s="43">
        <v>-285053</v>
      </c>
      <c r="F45" s="43"/>
      <c r="G45" s="43">
        <v>0</v>
      </c>
    </row>
    <row r="46" spans="1:7" ht="15" x14ac:dyDescent="0.25">
      <c r="A46" s="59">
        <v>236</v>
      </c>
      <c r="B46" s="61" t="s">
        <v>159</v>
      </c>
      <c r="C46" s="43">
        <v>-320250</v>
      </c>
      <c r="D46" s="43"/>
      <c r="E46" s="43">
        <v>-320250</v>
      </c>
      <c r="F46" s="43"/>
      <c r="G46" s="43">
        <v>-320250</v>
      </c>
    </row>
    <row r="47" spans="1:7" ht="15" x14ac:dyDescent="0.25">
      <c r="A47" s="53">
        <v>237</v>
      </c>
      <c r="B47" s="63" t="s">
        <v>27</v>
      </c>
      <c r="C47" s="44">
        <v>171621</v>
      </c>
      <c r="D47" s="44"/>
      <c r="E47" s="44">
        <v>157285</v>
      </c>
      <c r="F47" s="44"/>
      <c r="G47" s="44">
        <v>163494</v>
      </c>
    </row>
    <row r="48" spans="1:7" ht="15" x14ac:dyDescent="0.25">
      <c r="A48" s="64">
        <v>2</v>
      </c>
      <c r="B48" s="68" t="s">
        <v>28</v>
      </c>
      <c r="C48" s="91">
        <f>C40+C37+C26</f>
        <v>13981014</v>
      </c>
      <c r="D48" s="47"/>
      <c r="E48" s="91">
        <f>E40+E37+E26</f>
        <v>15478473</v>
      </c>
      <c r="F48" s="47"/>
      <c r="G48" s="91">
        <f>G40+G37+G26</f>
        <v>21499170</v>
      </c>
    </row>
    <row r="49" spans="1:7" ht="15" x14ac:dyDescent="0.25">
      <c r="A49" s="18"/>
      <c r="B49" s="23"/>
      <c r="C49" s="21"/>
      <c r="D49" s="21"/>
      <c r="E49" s="21"/>
      <c r="F49" s="21"/>
      <c r="G49" s="21"/>
    </row>
    <row r="50" spans="1:7" ht="15" x14ac:dyDescent="0.25">
      <c r="A50" s="18"/>
      <c r="B50" s="23"/>
      <c r="C50" s="21"/>
      <c r="D50" s="21"/>
      <c r="E50" s="21"/>
      <c r="F50" s="21"/>
      <c r="G50" s="21"/>
    </row>
    <row r="51" spans="1:7" ht="15" x14ac:dyDescent="0.25">
      <c r="A51" s="18"/>
      <c r="B51" s="23"/>
      <c r="C51" s="21"/>
      <c r="D51" s="21"/>
      <c r="E51" s="21"/>
      <c r="F51" s="21"/>
      <c r="G51" s="21"/>
    </row>
    <row r="52" spans="1:7" ht="15" x14ac:dyDescent="0.25">
      <c r="A52" s="18"/>
      <c r="B52" s="23"/>
      <c r="C52" s="21"/>
      <c r="D52" s="21"/>
      <c r="E52" s="21"/>
      <c r="F52" s="21"/>
      <c r="G52" s="21"/>
    </row>
    <row r="53" spans="1:7" ht="15" x14ac:dyDescent="0.25">
      <c r="A53" s="18"/>
      <c r="B53" s="23"/>
      <c r="C53" s="21"/>
      <c r="D53" s="21"/>
      <c r="E53" s="21"/>
      <c r="F53" s="21"/>
      <c r="G53" s="21"/>
    </row>
    <row r="54" spans="1:7" ht="15" x14ac:dyDescent="0.25">
      <c r="A54" s="186" t="s">
        <v>29</v>
      </c>
      <c r="B54" s="187"/>
      <c r="C54" s="188"/>
      <c r="D54" s="188"/>
      <c r="E54" s="188"/>
      <c r="F54" s="188"/>
      <c r="G54" s="188"/>
    </row>
    <row r="55" spans="1:7" ht="15" x14ac:dyDescent="0.25">
      <c r="A55" s="59">
        <v>31</v>
      </c>
      <c r="B55" s="60" t="s">
        <v>30</v>
      </c>
      <c r="C55" s="84">
        <f>(C11+E11)/2</f>
        <v>644623</v>
      </c>
      <c r="D55" s="84"/>
      <c r="E55" s="84">
        <f>(E11+G11)/2</f>
        <v>866363.5</v>
      </c>
      <c r="F55" s="84"/>
      <c r="G55" s="84">
        <f>(G11+G11)/2</f>
        <v>1024262</v>
      </c>
    </row>
    <row r="56" spans="1:7" ht="15" x14ac:dyDescent="0.25">
      <c r="A56" s="59">
        <v>32</v>
      </c>
      <c r="B56" s="60" t="s">
        <v>31</v>
      </c>
      <c r="C56" s="84">
        <f>(C27+E27)/2</f>
        <v>1144187</v>
      </c>
      <c r="D56" s="84"/>
      <c r="E56" s="84">
        <f>(E27+G27)/2</f>
        <v>1779276.5</v>
      </c>
      <c r="F56" s="84"/>
      <c r="G56" s="84">
        <f>(G27+G27)/2</f>
        <v>2520208</v>
      </c>
    </row>
    <row r="57" spans="1:7" ht="15" x14ac:dyDescent="0.25">
      <c r="A57" s="59">
        <v>33</v>
      </c>
      <c r="B57" s="61" t="s">
        <v>32</v>
      </c>
      <c r="C57" s="84">
        <f>-DFC_DVA_AV!C37</f>
        <v>6907684</v>
      </c>
      <c r="D57" s="84"/>
      <c r="E57" s="84">
        <f>-DFC_DVA_AV!E37</f>
        <v>8208348</v>
      </c>
      <c r="F57" s="84"/>
      <c r="G57" s="84">
        <f>-'Dados DRE'!G16</f>
        <v>9339709</v>
      </c>
    </row>
    <row r="58" spans="1:7" ht="15" x14ac:dyDescent="0.25">
      <c r="A58" s="59">
        <v>34</v>
      </c>
      <c r="B58" s="62" t="s">
        <v>33</v>
      </c>
      <c r="C58" s="84">
        <f>(C12+E12)/2</f>
        <v>3960001</v>
      </c>
      <c r="D58" s="84"/>
      <c r="E58" s="84">
        <f>(E12+G12)/2</f>
        <v>5679171.5</v>
      </c>
      <c r="F58" s="84"/>
      <c r="G58" s="84">
        <f>(G12+G12)/2</f>
        <v>7101103</v>
      </c>
    </row>
    <row r="59" spans="1:7" ht="15" x14ac:dyDescent="0.25">
      <c r="A59" s="59">
        <v>35</v>
      </c>
      <c r="B59" s="61" t="s">
        <v>34</v>
      </c>
      <c r="C59" s="84">
        <f>(C23+E23)/2</f>
        <v>14729743.5</v>
      </c>
      <c r="D59" s="84"/>
      <c r="E59" s="84">
        <f>(E23+G23)/2</f>
        <v>18488821.5</v>
      </c>
      <c r="F59" s="84"/>
      <c r="G59" s="84">
        <f>(G23+G23)/2</f>
        <v>21499170</v>
      </c>
    </row>
    <row r="60" spans="1:7" ht="15" x14ac:dyDescent="0.25">
      <c r="A60" s="59">
        <v>36</v>
      </c>
      <c r="B60" s="62" t="s">
        <v>35</v>
      </c>
      <c r="C60" s="84">
        <f>(C40+E40)/2</f>
        <v>5118784.5</v>
      </c>
      <c r="D60" s="84"/>
      <c r="E60" s="84">
        <f>(E40+G40)/2</f>
        <v>5576918.5</v>
      </c>
      <c r="F60" s="84"/>
      <c r="G60" s="84">
        <f>(G40+G40)/2</f>
        <v>6134025</v>
      </c>
    </row>
    <row r="61" spans="1:7" ht="15" x14ac:dyDescent="0.25">
      <c r="A61" s="59">
        <v>37</v>
      </c>
      <c r="B61" s="61" t="s">
        <v>36</v>
      </c>
      <c r="C61" s="84">
        <f>((C23-C19-C17-C13)+(E23-E19-E17-E13))/2</f>
        <v>8409945</v>
      </c>
      <c r="D61" s="84"/>
      <c r="E61" s="84">
        <f>((E23-E19-E17-E13)+(G23-G19-G17-G13))/2</f>
        <v>11248038.5</v>
      </c>
      <c r="F61" s="84"/>
      <c r="G61" s="84">
        <f>((G23-G19-G17-G13)+(G23-G19-G17-G13))/2</f>
        <v>13763712</v>
      </c>
    </row>
    <row r="62" spans="1:7" ht="15" x14ac:dyDescent="0.25">
      <c r="A62" s="59">
        <v>38</v>
      </c>
      <c r="B62" s="61" t="s">
        <v>37</v>
      </c>
      <c r="C62" s="2">
        <f>740465044/1000</f>
        <v>740465.04399999999</v>
      </c>
      <c r="D62" s="2"/>
      <c r="E62" s="2">
        <f>740465044/1000</f>
        <v>740465.04399999999</v>
      </c>
      <c r="F62" s="2"/>
      <c r="G62" s="2">
        <f>740465044/1000</f>
        <v>740465.04399999999</v>
      </c>
    </row>
    <row r="63" spans="1:7" ht="15" x14ac:dyDescent="0.25">
      <c r="A63" s="59">
        <v>381</v>
      </c>
      <c r="B63" s="61" t="s">
        <v>38</v>
      </c>
      <c r="C63" s="28">
        <v>11.9</v>
      </c>
      <c r="D63" s="28"/>
      <c r="E63" s="28">
        <v>9.51</v>
      </c>
      <c r="F63" s="28"/>
      <c r="G63" s="28">
        <v>8.81</v>
      </c>
    </row>
    <row r="64" spans="1:7" ht="15" x14ac:dyDescent="0.25">
      <c r="A64" s="59">
        <v>39</v>
      </c>
      <c r="B64" s="60" t="s">
        <v>168</v>
      </c>
      <c r="C64" s="2">
        <v>-179819</v>
      </c>
      <c r="D64" s="230"/>
      <c r="E64" s="2">
        <v>-228341</v>
      </c>
      <c r="F64" s="231"/>
      <c r="G64" s="2">
        <v>-227574</v>
      </c>
    </row>
    <row r="65" spans="1:7" ht="15" x14ac:dyDescent="0.25">
      <c r="A65" s="59">
        <v>391</v>
      </c>
      <c r="B65" s="61" t="s">
        <v>183</v>
      </c>
      <c r="C65" s="2">
        <v>17149</v>
      </c>
      <c r="D65" s="2"/>
      <c r="E65" s="2">
        <v>16853</v>
      </c>
      <c r="F65" s="2"/>
      <c r="G65" s="2">
        <v>23509</v>
      </c>
    </row>
    <row r="66" spans="1:7" ht="15" x14ac:dyDescent="0.25">
      <c r="A66" s="53">
        <v>40</v>
      </c>
      <c r="B66" s="72" t="s">
        <v>39</v>
      </c>
      <c r="C66" s="29">
        <v>3.54</v>
      </c>
      <c r="D66" s="29"/>
      <c r="E66" s="29">
        <v>4.17</v>
      </c>
      <c r="F66" s="29"/>
      <c r="G66" s="29">
        <v>3.42</v>
      </c>
    </row>
    <row r="67" spans="1:7" x14ac:dyDescent="0.2">
      <c r="C67" s="25"/>
      <c r="D67" s="25"/>
      <c r="E67" s="25"/>
      <c r="F67" s="25"/>
      <c r="G67" s="25"/>
    </row>
    <row r="68" spans="1:7" x14ac:dyDescent="0.2">
      <c r="C68" s="25"/>
      <c r="D68" s="25"/>
      <c r="E68" s="25"/>
      <c r="F68" s="25"/>
      <c r="G68" s="25"/>
    </row>
    <row r="69" spans="1:7" ht="15" x14ac:dyDescent="0.25">
      <c r="A69" s="186" t="s">
        <v>40</v>
      </c>
      <c r="B69" s="187"/>
      <c r="C69" s="188"/>
      <c r="D69" s="188"/>
      <c r="E69" s="188"/>
      <c r="F69" s="188"/>
      <c r="G69" s="188"/>
    </row>
    <row r="70" spans="1:7" ht="15" x14ac:dyDescent="0.25">
      <c r="A70" s="59" t="s">
        <v>41</v>
      </c>
      <c r="B70" s="60" t="s">
        <v>42</v>
      </c>
      <c r="C70" s="2">
        <f>1191025+(-'Dados DRE'!C12/2)</f>
        <v>1244968.5</v>
      </c>
      <c r="D70" s="2"/>
      <c r="E70" s="2">
        <f>1145434+63257</f>
        <v>1208691</v>
      </c>
      <c r="F70" s="2"/>
      <c r="G70" s="2">
        <v>522065</v>
      </c>
    </row>
    <row r="71" spans="1:7" ht="15" x14ac:dyDescent="0.25">
      <c r="A71" s="59" t="s">
        <v>41</v>
      </c>
      <c r="B71" s="60" t="s">
        <v>43</v>
      </c>
      <c r="C71" s="2">
        <f>1260394+3072396+2065574+1443726+347510+(-'Dados DRE'!C12/2)</f>
        <v>8243543.5</v>
      </c>
      <c r="D71" s="2"/>
      <c r="E71" s="2">
        <f>2496927+3522464+2251593+753085+701772+63257</f>
        <v>9789098</v>
      </c>
      <c r="F71" s="2"/>
      <c r="G71" s="2">
        <v>11359543</v>
      </c>
    </row>
    <row r="72" spans="1:7" ht="14.25" x14ac:dyDescent="0.2">
      <c r="A72" s="98"/>
      <c r="B72" s="77" t="s">
        <v>44</v>
      </c>
      <c r="C72" s="99">
        <f>'Dados DRE'!C11</f>
        <v>9488512</v>
      </c>
      <c r="D72" s="99"/>
      <c r="E72" s="99">
        <f>'Dados DRE'!E11</f>
        <v>10997789</v>
      </c>
      <c r="F72" s="99"/>
      <c r="G72" s="99">
        <f>'Dados DRE'!G11</f>
        <v>11881608</v>
      </c>
    </row>
    <row r="73" spans="1:7" ht="15" x14ac:dyDescent="0.25">
      <c r="A73" s="59"/>
      <c r="B73" s="62"/>
      <c r="C73" s="24"/>
      <c r="D73" s="24"/>
      <c r="E73" s="24"/>
      <c r="F73" s="24"/>
      <c r="G73" s="24"/>
    </row>
    <row r="74" spans="1:7" ht="15" x14ac:dyDescent="0.25">
      <c r="A74" s="59"/>
      <c r="B74" s="61" t="s">
        <v>160</v>
      </c>
      <c r="C74" s="2">
        <f>422496+1182064</f>
        <v>1604560</v>
      </c>
      <c r="D74" s="274"/>
      <c r="E74" s="2">
        <v>1682747</v>
      </c>
      <c r="F74" s="2"/>
      <c r="G74" s="2">
        <f>400543+2501909</f>
        <v>2902452</v>
      </c>
    </row>
    <row r="75" spans="1:7" ht="15" x14ac:dyDescent="0.25">
      <c r="A75" s="59"/>
      <c r="B75" s="62" t="s">
        <v>167</v>
      </c>
      <c r="C75" s="2">
        <f>1253771</f>
        <v>1253771</v>
      </c>
      <c r="D75" s="2"/>
      <c r="E75" s="2">
        <v>1563351</v>
      </c>
      <c r="F75" s="2"/>
      <c r="G75" s="2">
        <f>2343954</f>
        <v>2343954</v>
      </c>
    </row>
    <row r="76" spans="1:7" ht="15" x14ac:dyDescent="0.25">
      <c r="A76" s="59"/>
      <c r="B76" s="61" t="s">
        <v>45</v>
      </c>
      <c r="C76" s="2">
        <f>536456+221218</f>
        <v>757674</v>
      </c>
      <c r="D76" s="2"/>
      <c r="E76" s="2">
        <f>581267+261228</f>
        <v>842495</v>
      </c>
      <c r="F76" s="2"/>
      <c r="G76" s="2">
        <f>722586+266999+348110</f>
        <v>1337695</v>
      </c>
    </row>
    <row r="77" spans="1:7" ht="15" x14ac:dyDescent="0.25">
      <c r="A77" s="59"/>
      <c r="B77" s="61" t="s">
        <v>46</v>
      </c>
      <c r="C77" s="2">
        <f>32957+348485+58625-254722-138588</f>
        <v>46757</v>
      </c>
      <c r="D77" s="2"/>
      <c r="E77" s="2">
        <f>35502+377192+92978-277474-59551</f>
        <v>168647</v>
      </c>
      <c r="F77" s="2"/>
      <c r="G77" s="2">
        <f>43621+852207+82859-396123-65562</f>
        <v>517002</v>
      </c>
    </row>
    <row r="78" spans="1:7" ht="14.25" x14ac:dyDescent="0.2">
      <c r="A78" s="98"/>
      <c r="B78" s="77" t="s">
        <v>47</v>
      </c>
      <c r="C78" s="99">
        <f>C12</f>
        <v>3662762</v>
      </c>
      <c r="D78" s="99"/>
      <c r="E78" s="99">
        <f>E12</f>
        <v>4257240</v>
      </c>
      <c r="F78" s="99"/>
      <c r="G78" s="99">
        <f>G12</f>
        <v>7101103</v>
      </c>
    </row>
    <row r="79" spans="1:7" ht="15" x14ac:dyDescent="0.25">
      <c r="A79" s="59"/>
      <c r="B79" s="61"/>
      <c r="C79" s="19"/>
      <c r="D79" s="19"/>
      <c r="E79" s="19"/>
      <c r="F79" s="19"/>
      <c r="G79" s="19"/>
    </row>
    <row r="80" spans="1:7" ht="15" x14ac:dyDescent="0.25">
      <c r="A80" s="59"/>
      <c r="B80" s="62" t="s">
        <v>161</v>
      </c>
      <c r="C80" s="2">
        <v>742209</v>
      </c>
      <c r="D80" s="2"/>
      <c r="E80" s="2">
        <v>726272</v>
      </c>
      <c r="F80" s="2"/>
      <c r="G80" s="2">
        <v>1045804</v>
      </c>
    </row>
    <row r="81" spans="1:7" ht="15" x14ac:dyDescent="0.25">
      <c r="A81" s="59"/>
      <c r="B81" s="61" t="s">
        <v>48</v>
      </c>
      <c r="C81" s="2">
        <v>922723</v>
      </c>
      <c r="D81" s="2"/>
      <c r="E81" s="2">
        <v>988855</v>
      </c>
      <c r="F81" s="2"/>
      <c r="G81" s="2">
        <f>952912+246947</f>
        <v>1199859</v>
      </c>
    </row>
    <row r="82" spans="1:7" ht="15" x14ac:dyDescent="0.25">
      <c r="A82" s="59"/>
      <c r="B82" s="61" t="s">
        <v>49</v>
      </c>
      <c r="C82" s="2">
        <v>1853722</v>
      </c>
      <c r="D82" s="2"/>
      <c r="E82" s="2">
        <v>1661896</v>
      </c>
      <c r="F82" s="2"/>
      <c r="G82" s="2">
        <f>97762+29493+789983+593345+5603+173879</f>
        <v>1690065</v>
      </c>
    </row>
    <row r="83" spans="1:7" ht="15" x14ac:dyDescent="0.25">
      <c r="A83" s="59"/>
      <c r="B83" s="61" t="s">
        <v>162</v>
      </c>
      <c r="C83" s="2">
        <v>-1517580</v>
      </c>
      <c r="D83" s="2"/>
      <c r="E83" s="2">
        <v>-1459378</v>
      </c>
      <c r="F83" s="2"/>
      <c r="G83" s="2">
        <v>-1635521</v>
      </c>
    </row>
    <row r="84" spans="1:7" ht="14.25" x14ac:dyDescent="0.2">
      <c r="A84" s="100"/>
      <c r="B84" s="101" t="s">
        <v>50</v>
      </c>
      <c r="C84" s="102">
        <f>C20</f>
        <v>2001074</v>
      </c>
      <c r="D84" s="102"/>
      <c r="E84" s="102">
        <f>E20</f>
        <v>1917645</v>
      </c>
      <c r="F84" s="102"/>
      <c r="G84" s="102">
        <f>G20</f>
        <v>2300207</v>
      </c>
    </row>
  </sheetData>
  <sheetProtection password="DC0E" sheet="1"/>
  <mergeCells count="1">
    <mergeCell ref="A5:B5"/>
  </mergeCells>
  <phoneticPr fontId="0" type="noConversion"/>
  <pageMargins left="0.78740157480314965" right="0.78740157480314965" top="0.78740157480314965" bottom="0.98425196850393704" header="0.51181102362204722" footer="0.51181102362204722"/>
  <pageSetup paperSize="9" orientation="portrait" horizontalDpi="4294967292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0"/>
  <sheetViews>
    <sheetView workbookViewId="0">
      <selection activeCell="D60" sqref="D60"/>
    </sheetView>
  </sheetViews>
  <sheetFormatPr defaultColWidth="12" defaultRowHeight="12.75" x14ac:dyDescent="0.2"/>
  <cols>
    <col min="1" max="1" width="5.83203125" customWidth="1"/>
    <col min="2" max="2" width="37.33203125" customWidth="1"/>
    <col min="3" max="3" width="20" customWidth="1"/>
    <col min="4" max="6" width="13.83203125" customWidth="1"/>
  </cols>
  <sheetData>
    <row r="1" spans="1:6" ht="15.75" x14ac:dyDescent="0.25">
      <c r="A1" s="15" t="str">
        <f>BP_AV!A2</f>
        <v>EMPRESA : EMBRAER S.A.</v>
      </c>
      <c r="B1" s="13"/>
      <c r="C1" s="13"/>
      <c r="D1" s="13"/>
      <c r="E1" s="13"/>
      <c r="F1" s="13"/>
    </row>
    <row r="2" spans="1:6" ht="8.25" customHeight="1" x14ac:dyDescent="0.25">
      <c r="A2" s="15"/>
      <c r="B2" s="13"/>
      <c r="C2" s="13"/>
      <c r="D2" s="13"/>
      <c r="E2" s="13"/>
      <c r="F2" s="13"/>
    </row>
    <row r="3" spans="1:6" ht="15.75" x14ac:dyDescent="0.25">
      <c r="A3" s="185" t="s">
        <v>68</v>
      </c>
      <c r="B3" s="185"/>
      <c r="C3" s="185"/>
      <c r="D3" s="185"/>
      <c r="E3" s="185"/>
      <c r="F3" s="185"/>
    </row>
    <row r="4" spans="1:6" ht="14.25" customHeight="1" x14ac:dyDescent="0.25">
      <c r="A4" s="139"/>
      <c r="B4" s="139"/>
      <c r="C4" s="139"/>
      <c r="D4" s="139"/>
      <c r="E4" s="17" t="s">
        <v>1</v>
      </c>
      <c r="F4" s="15"/>
    </row>
    <row r="5" spans="1:6" ht="14.25" x14ac:dyDescent="0.2">
      <c r="A5" s="48"/>
      <c r="B5" s="49" t="s">
        <v>41</v>
      </c>
      <c r="C5" s="140" t="s">
        <v>2</v>
      </c>
      <c r="D5" s="141">
        <f>BP_AV!G6</f>
        <v>2008</v>
      </c>
      <c r="E5" s="142">
        <f>BP_AV!E6</f>
        <v>2009</v>
      </c>
      <c r="F5" s="128">
        <f>BP_AV!C6</f>
        <v>2010</v>
      </c>
    </row>
    <row r="6" spans="1:6" ht="15" x14ac:dyDescent="0.25">
      <c r="A6" s="53"/>
      <c r="B6" s="54" t="s">
        <v>69</v>
      </c>
      <c r="C6" s="66" t="s">
        <v>70</v>
      </c>
      <c r="D6" s="54" t="s">
        <v>71</v>
      </c>
      <c r="E6" s="66" t="s">
        <v>71</v>
      </c>
      <c r="F6" s="66" t="s">
        <v>71</v>
      </c>
    </row>
    <row r="7" spans="1:6" ht="15" x14ac:dyDescent="0.25">
      <c r="A7" s="143">
        <v>1</v>
      </c>
      <c r="B7" s="77" t="s">
        <v>72</v>
      </c>
      <c r="C7" s="144"/>
      <c r="D7" s="145"/>
      <c r="E7" s="144"/>
      <c r="F7" s="144"/>
    </row>
    <row r="8" spans="1:6" ht="15" x14ac:dyDescent="0.25">
      <c r="A8" s="59" t="s">
        <v>41</v>
      </c>
      <c r="B8" s="62" t="s">
        <v>215</v>
      </c>
      <c r="C8" s="146" t="s">
        <v>73</v>
      </c>
      <c r="D8" s="147">
        <f>BP_AV!G9/BP_AV!G26</f>
        <v>1.7146581655108084</v>
      </c>
      <c r="E8" s="147">
        <f>BP_AV!E9/BP_AV!E26</f>
        <v>2.0539242687397765</v>
      </c>
      <c r="F8" s="147">
        <f>BP_AV!C9/BP_AV!C26</f>
        <v>2.0879166350524914</v>
      </c>
    </row>
    <row r="9" spans="1:6" ht="15" x14ac:dyDescent="0.25">
      <c r="A9" s="59" t="s">
        <v>41</v>
      </c>
      <c r="B9" s="61" t="s">
        <v>216</v>
      </c>
      <c r="C9" s="148" t="s">
        <v>74</v>
      </c>
      <c r="D9" s="147">
        <f>(BP_AV!G9-BP_AV!G12)/BP_AV!G26</f>
        <v>0.8667670923214732</v>
      </c>
      <c r="E9" s="147">
        <f>(BP_AV!E9-BP_AV!E12)/BP_AV!E26</f>
        <v>1.1649988160856994</v>
      </c>
      <c r="F9" s="147">
        <f>(BP_AV!C9-BP_AV!C12)/BP_AV!C26</f>
        <v>1.1676898772499034</v>
      </c>
    </row>
    <row r="10" spans="1:6" ht="15.75" thickBot="1" x14ac:dyDescent="0.3">
      <c r="A10" s="149" t="s">
        <v>41</v>
      </c>
      <c r="B10" s="150" t="s">
        <v>217</v>
      </c>
      <c r="C10" s="151" t="s">
        <v>294</v>
      </c>
      <c r="D10" s="152">
        <f>(BP_AV!G9+BP_AV!G17)/(BP_AV!G26+BP_AV!G37)</f>
        <v>1.1446987971802414</v>
      </c>
      <c r="E10" s="152">
        <f>(BP_AV!E9+BP_AV!E17)/(BP_AV!E26+BP_AV!E37)</f>
        <v>1.1758351284165345</v>
      </c>
      <c r="F10" s="152">
        <f>(BP_AV!C9+BP_AV!C17)/(BP_AV!C26+BP_AV!C37)</f>
        <v>1.2308685001478332</v>
      </c>
    </row>
    <row r="11" spans="1:6" ht="15" x14ac:dyDescent="0.25">
      <c r="A11" s="143">
        <v>2</v>
      </c>
      <c r="B11" s="77" t="s">
        <v>75</v>
      </c>
      <c r="C11" s="148"/>
      <c r="D11" s="153"/>
      <c r="E11" s="154"/>
      <c r="F11" s="154"/>
    </row>
    <row r="12" spans="1:6" ht="15" x14ac:dyDescent="0.25">
      <c r="A12" s="59" t="s">
        <v>41</v>
      </c>
      <c r="B12" s="62" t="s">
        <v>218</v>
      </c>
      <c r="C12" s="148" t="s">
        <v>295</v>
      </c>
      <c r="D12" s="155">
        <f>(BP_AV!G26+BP_AV!G37)/BP_AV!G23</f>
        <v>0.71468549716105323</v>
      </c>
      <c r="E12" s="155">
        <f>(BP_AV!E26+BP_AV!E37)/BP_AV!E23</f>
        <v>0.67569074804730411</v>
      </c>
      <c r="F12" s="155">
        <f>(BP_AV!C26+BP_AV!C37)/BP_AV!C23</f>
        <v>0.62679695478453856</v>
      </c>
    </row>
    <row r="13" spans="1:6" ht="15" x14ac:dyDescent="0.25">
      <c r="A13" s="59" t="s">
        <v>41</v>
      </c>
      <c r="B13" s="61" t="s">
        <v>219</v>
      </c>
      <c r="C13" s="148" t="s">
        <v>296</v>
      </c>
      <c r="D13" s="155">
        <f>(BP_AV!G40)/(BP_AV!G26+BP_AV!G37)</f>
        <v>0.3992168638825081</v>
      </c>
      <c r="E13" s="155">
        <f>(BP_AV!E40)/(BP_AV!E26+BP_AV!E37)</f>
        <v>0.47996698621362716</v>
      </c>
      <c r="F13" s="155">
        <f>(BP_AV!C40)/(BP_AV!C26+BP_AV!C37)</f>
        <v>0.59541298400811482</v>
      </c>
    </row>
    <row r="14" spans="1:6" ht="15" x14ac:dyDescent="0.25">
      <c r="A14" s="59"/>
      <c r="B14" s="61" t="s">
        <v>220</v>
      </c>
      <c r="C14" s="148" t="s">
        <v>297</v>
      </c>
      <c r="D14" s="155">
        <f>BP_AV!G26/(BP_AV!G26+BP_AV!G37)</f>
        <v>0.54506599189268956</v>
      </c>
      <c r="E14" s="155">
        <f>BP_AV!E26/(BP_AV!E26+BP_AV!E37)</f>
        <v>0.45791693602077743</v>
      </c>
      <c r="F14" s="155">
        <f>BP_AV!C26/(BP_AV!C26+BP_AV!C37)</f>
        <v>0.45420121765229526</v>
      </c>
    </row>
    <row r="15" spans="1:6" ht="15" x14ac:dyDescent="0.25">
      <c r="A15" s="59" t="s">
        <v>41</v>
      </c>
      <c r="B15" s="61" t="s">
        <v>221</v>
      </c>
      <c r="C15" s="148" t="s">
        <v>298</v>
      </c>
      <c r="D15" s="156">
        <f>(BP_AV!G26+BP_AV!G37)/BP_AV!G40</f>
        <v>2.5049042023793513</v>
      </c>
      <c r="E15" s="157">
        <f>(BP_AV!E26+BP_AV!E37)/BP_AV!E40</f>
        <v>2.0834766321926002</v>
      </c>
      <c r="F15" s="155">
        <f>(BP_AV!C26+BP_AV!C37)/BP_AV!C40</f>
        <v>1.6795065389208428</v>
      </c>
    </row>
    <row r="16" spans="1:6" ht="15" x14ac:dyDescent="0.25">
      <c r="A16" s="59"/>
      <c r="B16" s="61" t="s">
        <v>222</v>
      </c>
      <c r="C16" s="148" t="s">
        <v>76</v>
      </c>
      <c r="D16" s="157">
        <f>BP_AV!G31/BP_AV!G23</f>
        <v>5.8598029598351933E-2</v>
      </c>
      <c r="E16" s="157">
        <f>BP_AV!E31/BP_AV!E23</f>
        <v>6.6697470738877149E-2</v>
      </c>
      <c r="F16" s="155">
        <f>BP_AV!C31/BP_AV!C23</f>
        <v>8.7456460597207034E-3</v>
      </c>
    </row>
    <row r="17" spans="1:6" ht="15.75" thickBot="1" x14ac:dyDescent="0.3">
      <c r="A17" s="158"/>
      <c r="B17" s="150" t="s">
        <v>223</v>
      </c>
      <c r="C17" s="151" t="s">
        <v>299</v>
      </c>
      <c r="D17" s="159">
        <f>(BP_AV!G31+BP_AV!G38)/BP_AV!G23</f>
        <v>0.19999279041935109</v>
      </c>
      <c r="E17" s="160">
        <f>(BP_AV!E31+BP_AV!E38)/BP_AV!E23</f>
        <v>0.26099040906683751</v>
      </c>
      <c r="F17" s="161">
        <f>(BP_AV!C31+BP_AV!C38)/BP_AV!C23</f>
        <v>0.19742008698367658</v>
      </c>
    </row>
    <row r="18" spans="1:6" ht="15" x14ac:dyDescent="0.25">
      <c r="A18" s="143">
        <v>3</v>
      </c>
      <c r="B18" s="77" t="s">
        <v>77</v>
      </c>
      <c r="C18" s="148"/>
      <c r="D18" s="153"/>
      <c r="E18" s="154"/>
      <c r="F18" s="154"/>
    </row>
    <row r="19" spans="1:6" ht="15" x14ac:dyDescent="0.25">
      <c r="A19" s="59" t="s">
        <v>41</v>
      </c>
      <c r="B19" s="62" t="s">
        <v>224</v>
      </c>
      <c r="C19" s="148" t="s">
        <v>78</v>
      </c>
      <c r="D19" s="162">
        <f>(BP_AV!G60/DRE_AV!G10)*360</f>
        <v>31.034041856960776</v>
      </c>
      <c r="E19" s="162">
        <f>(BP_AV!E60/DRE_AV!E10)*360</f>
        <v>28.3594147878269</v>
      </c>
      <c r="F19" s="162">
        <f>(BP_AV!C60/DRE_AV!C10)*360</f>
        <v>24.457394373322181</v>
      </c>
    </row>
    <row r="20" spans="1:6" ht="15" x14ac:dyDescent="0.25">
      <c r="A20" s="59"/>
      <c r="B20" s="61" t="s">
        <v>225</v>
      </c>
      <c r="C20" s="148" t="s">
        <v>261</v>
      </c>
      <c r="D20" s="162">
        <f>(BP_AV!G61/BP_AV!G62)*360</f>
        <v>97.141664692122646</v>
      </c>
      <c r="E20" s="162">
        <f>(BP_AV!E61/BP_AV!E62)*360</f>
        <v>78.035134475292708</v>
      </c>
      <c r="F20" s="162">
        <f>(BP_AV!C61/BP_AV!C62)*360</f>
        <v>59.630307350480997</v>
      </c>
    </row>
    <row r="21" spans="1:6" ht="15" x14ac:dyDescent="0.25">
      <c r="A21" s="59"/>
      <c r="B21" s="61" t="s">
        <v>226</v>
      </c>
      <c r="C21" s="148" t="s">
        <v>79</v>
      </c>
      <c r="D21" s="162">
        <f>(BP_AV!G63/-DRE_AV!G15)*360</f>
        <v>273.71271203417581</v>
      </c>
      <c r="E21" s="162">
        <f>(BP_AV!E63/-DRE_AV!E15)*360</f>
        <v>233.4043847108328</v>
      </c>
      <c r="F21" s="162">
        <f>(BP_AV!C63/-DRE_AV!C15)*360</f>
        <v>188.0079001279498</v>
      </c>
    </row>
    <row r="22" spans="1:6" ht="15.75" thickBot="1" x14ac:dyDescent="0.3">
      <c r="A22" s="149" t="s">
        <v>41</v>
      </c>
      <c r="B22" s="163" t="s">
        <v>227</v>
      </c>
      <c r="C22" s="151" t="s">
        <v>80</v>
      </c>
      <c r="D22" s="164">
        <f>D19-D20+D21</f>
        <v>207.60508919901395</v>
      </c>
      <c r="E22" s="164">
        <f>E19-E20+E21</f>
        <v>183.728665023367</v>
      </c>
      <c r="F22" s="164">
        <f>F19-F20+F21</f>
        <v>152.83498715079099</v>
      </c>
    </row>
    <row r="23" spans="1:6" ht="15" x14ac:dyDescent="0.25">
      <c r="A23" s="143">
        <v>4</v>
      </c>
      <c r="B23" s="77" t="s">
        <v>81</v>
      </c>
      <c r="C23" s="148"/>
      <c r="D23" s="153"/>
      <c r="E23" s="154"/>
      <c r="F23" s="154"/>
    </row>
    <row r="24" spans="1:6" ht="15" x14ac:dyDescent="0.25">
      <c r="A24" s="59" t="s">
        <v>41</v>
      </c>
      <c r="B24" s="61" t="s">
        <v>228</v>
      </c>
      <c r="C24" s="148" t="s">
        <v>300</v>
      </c>
      <c r="D24" s="165">
        <f>DRE_AV!G31/BP_AV!G64</f>
        <v>2.0840013823789475E-2</v>
      </c>
      <c r="E24" s="165">
        <f>DRE_AV!E31/BP_AV!E64</f>
        <v>2.3103852238499895E-2</v>
      </c>
      <c r="F24" s="165">
        <f>DRE_AV!C31/BP_AV!C64</f>
        <v>3.2039661790444617E-2</v>
      </c>
    </row>
    <row r="25" spans="1:6" ht="15.75" thickBot="1" x14ac:dyDescent="0.3">
      <c r="A25" s="149" t="s">
        <v>41</v>
      </c>
      <c r="B25" s="163" t="s">
        <v>229</v>
      </c>
      <c r="C25" s="151" t="s">
        <v>301</v>
      </c>
      <c r="D25" s="167">
        <f>DRE_AV!G31/BP_AV!G65</f>
        <v>7.3042252028643506E-2</v>
      </c>
      <c r="E25" s="167">
        <f>DRE_AV!E31/BP_AV!E65</f>
        <v>7.6594807688152522E-2</v>
      </c>
      <c r="F25" s="167">
        <f>DRE_AV!C31/BP_AV!C65</f>
        <v>9.2196887757240026E-2</v>
      </c>
    </row>
    <row r="26" spans="1:6" ht="15" x14ac:dyDescent="0.25">
      <c r="A26" s="143">
        <v>5</v>
      </c>
      <c r="B26" s="77" t="s">
        <v>82</v>
      </c>
      <c r="C26" s="148"/>
      <c r="D26" s="153"/>
      <c r="E26" s="154"/>
      <c r="F26" s="154"/>
    </row>
    <row r="27" spans="1:6" ht="15" x14ac:dyDescent="0.25">
      <c r="A27" s="59" t="s">
        <v>41</v>
      </c>
      <c r="B27" s="61" t="s">
        <v>230</v>
      </c>
      <c r="C27" s="148" t="s">
        <v>83</v>
      </c>
      <c r="D27" s="165">
        <f>DRE_AV!G16/DRE_AV!G14</f>
        <v>0.20491224605242381</v>
      </c>
      <c r="E27" s="165">
        <f>DRE_AV!E16/DRE_AV!E14</f>
        <v>0.19425430779738348</v>
      </c>
      <c r="F27" s="165">
        <f>DRE_AV!C16/DRE_AV!C14</f>
        <v>0.19166771936837898</v>
      </c>
    </row>
    <row r="28" spans="1:6" ht="15" x14ac:dyDescent="0.25">
      <c r="A28" s="59"/>
      <c r="B28" s="61" t="s">
        <v>231</v>
      </c>
      <c r="C28" s="148" t="s">
        <v>84</v>
      </c>
      <c r="D28" s="165">
        <f>DRE_AV!G21/DRE_AV!G14</f>
        <v>9.4706585174726826E-2</v>
      </c>
      <c r="E28" s="165">
        <f>DRE_AV!E21/DRE_AV!E14</f>
        <v>7.0528985790535154E-2</v>
      </c>
      <c r="F28" s="165">
        <f>DRE_AV!C21/DRE_AV!C14</f>
        <v>7.307828636151642E-2</v>
      </c>
    </row>
    <row r="29" spans="1:6" ht="15" x14ac:dyDescent="0.25">
      <c r="A29" s="59" t="s">
        <v>41</v>
      </c>
      <c r="B29" s="61" t="s">
        <v>232</v>
      </c>
      <c r="C29" s="148" t="s">
        <v>85</v>
      </c>
      <c r="D29" s="165">
        <f>DRE_AV!G28/DRE_AV!G14</f>
        <v>7.5184870047200231E-2</v>
      </c>
      <c r="E29" s="165">
        <f>DRE_AV!E28/DRE_AV!E14</f>
        <v>5.9534599207544656E-2</v>
      </c>
      <c r="F29" s="165">
        <f>DRE_AV!C28/DRE_AV!C14</f>
        <v>7.6226797254980341E-2</v>
      </c>
    </row>
    <row r="30" spans="1:6" ht="15.75" thickBot="1" x14ac:dyDescent="0.3">
      <c r="A30" s="149" t="s">
        <v>41</v>
      </c>
      <c r="B30" s="150" t="s">
        <v>233</v>
      </c>
      <c r="C30" s="151" t="s">
        <v>302</v>
      </c>
      <c r="D30" s="167">
        <f>DRE_AV!G31/DRE_AV!G14</f>
        <v>3.8141820322446222E-2</v>
      </c>
      <c r="E30" s="167">
        <f>DRE_AV!E31/DRE_AV!E14</f>
        <v>3.9292815240162725E-2</v>
      </c>
      <c r="F30" s="167">
        <f>DRE_AV!C31/DRE_AV!C14</f>
        <v>5.0309654207475511E-2</v>
      </c>
    </row>
    <row r="31" spans="1:6" ht="15" x14ac:dyDescent="0.25">
      <c r="A31" s="143">
        <v>6</v>
      </c>
      <c r="B31" s="77" t="s">
        <v>234</v>
      </c>
      <c r="C31" s="168"/>
      <c r="D31" s="169"/>
      <c r="E31" s="170"/>
      <c r="F31" s="170"/>
    </row>
    <row r="32" spans="1:6" ht="15" x14ac:dyDescent="0.25">
      <c r="A32" s="171"/>
      <c r="B32" s="62" t="s">
        <v>235</v>
      </c>
      <c r="C32" s="168" t="s">
        <v>88</v>
      </c>
      <c r="D32" s="172">
        <f>BP_AV!G40/BP_AV!G67</f>
        <v>8.2840169832514068</v>
      </c>
      <c r="E32" s="172">
        <f>BP_AV!E40/BP_AV!E67</f>
        <v>6.7792693803382296</v>
      </c>
      <c r="F32" s="172">
        <f>BP_AV!C40/BP_AV!C67</f>
        <v>7.0465946262819124</v>
      </c>
    </row>
    <row r="33" spans="1:6" ht="15" x14ac:dyDescent="0.25">
      <c r="A33" s="59" t="s">
        <v>41</v>
      </c>
      <c r="B33" s="61" t="s">
        <v>236</v>
      </c>
      <c r="C33" s="168" t="s">
        <v>303</v>
      </c>
      <c r="D33" s="172">
        <f>DRE_AV!G31/BP_AV!G67</f>
        <v>0.60508325630021231</v>
      </c>
      <c r="E33" s="172">
        <f>DRE_AV!E31/BP_AV!E67</f>
        <v>0.57688476108535924</v>
      </c>
      <c r="F33" s="172">
        <f>DRE_AV!C31/BP_AV!C67</f>
        <v>0.63735081598261101</v>
      </c>
    </row>
    <row r="34" spans="1:6" ht="15" x14ac:dyDescent="0.25">
      <c r="A34" s="59" t="s">
        <v>41</v>
      </c>
      <c r="B34" s="61" t="s">
        <v>237</v>
      </c>
      <c r="C34" s="168" t="s">
        <v>262</v>
      </c>
      <c r="D34" s="172">
        <f>BP_AV!G68/Indicadores!D33</f>
        <v>14.559979818097817</v>
      </c>
      <c r="E34" s="172">
        <f>BP_AV!E68/Indicadores!E33</f>
        <v>16.485094843045861</v>
      </c>
      <c r="F34" s="172">
        <f>BP_AV!C68/Indicadores!F33</f>
        <v>18.671035953180095</v>
      </c>
    </row>
    <row r="35" spans="1:6" ht="15.75" thickBot="1" x14ac:dyDescent="0.3">
      <c r="A35" s="149" t="s">
        <v>41</v>
      </c>
      <c r="B35" s="150" t="s">
        <v>238</v>
      </c>
      <c r="C35" s="210" t="s">
        <v>304</v>
      </c>
      <c r="D35" s="211">
        <f>-DFC_DVA_AV!G24/'Dados BP'!G62</f>
        <v>0.5718946538143399</v>
      </c>
      <c r="E35" s="211">
        <f>-DFC_DVA_AV!E24/'Dados BP'!E62</f>
        <v>0</v>
      </c>
      <c r="F35" s="211">
        <f>-DFC_DVA_AV!C24/'Dados BP'!C62</f>
        <v>0.37912930836475789</v>
      </c>
    </row>
    <row r="36" spans="1:6" ht="15" x14ac:dyDescent="0.25">
      <c r="A36" s="143">
        <v>7</v>
      </c>
      <c r="B36" s="77" t="s">
        <v>239</v>
      </c>
      <c r="C36" s="168"/>
      <c r="D36" s="212"/>
      <c r="E36" s="172"/>
      <c r="F36" s="172"/>
    </row>
    <row r="37" spans="1:6" ht="15" x14ac:dyDescent="0.25">
      <c r="A37" s="59" t="s">
        <v>41</v>
      </c>
      <c r="B37" s="62" t="s">
        <v>240</v>
      </c>
      <c r="C37" s="168" t="s">
        <v>89</v>
      </c>
      <c r="D37" s="156">
        <f>BP_AV!G18/BP_AV!G40</f>
        <v>0.63754337486397594</v>
      </c>
      <c r="E37" s="157">
        <f>BP_AV!E18/BP_AV!E40</f>
        <v>0.63365161882556553</v>
      </c>
      <c r="F37" s="155">
        <f>BP_AV!C18/BP_AV!C40</f>
        <v>0.61225484437086664</v>
      </c>
    </row>
    <row r="38" spans="1:6" ht="15" x14ac:dyDescent="0.25">
      <c r="A38" s="59" t="s">
        <v>41</v>
      </c>
      <c r="B38" s="62" t="s">
        <v>241</v>
      </c>
      <c r="C38" s="146" t="s">
        <v>86</v>
      </c>
      <c r="D38" s="147">
        <f>DRE_AV!G14/BP_AV!G64</f>
        <v>0.54638225568707999</v>
      </c>
      <c r="E38" s="147">
        <f>DRE_AV!E14/BP_AV!E64</f>
        <v>0.58799177654454615</v>
      </c>
      <c r="F38" s="147">
        <f>DRE_AV!C14/BP_AV!C64</f>
        <v>0.63684917527586271</v>
      </c>
    </row>
    <row r="39" spans="1:6" ht="15" x14ac:dyDescent="0.25">
      <c r="A39" s="61" t="s">
        <v>41</v>
      </c>
      <c r="B39" s="213" t="s">
        <v>242</v>
      </c>
      <c r="C39" s="146" t="s">
        <v>87</v>
      </c>
      <c r="D39" s="181">
        <f>DRE_AV!G14/BP_AV!G66</f>
        <v>0.85345908138734672</v>
      </c>
      <c r="E39" s="181">
        <f>DRE_AV!E14/BP_AV!E66</f>
        <v>0.96650407090978574</v>
      </c>
      <c r="F39" s="181">
        <f>DRE_AV!C14/BP_AV!C66</f>
        <v>1.1154204932374707</v>
      </c>
    </row>
    <row r="40" spans="1:6" ht="15" x14ac:dyDescent="0.25">
      <c r="A40" s="59" t="s">
        <v>41</v>
      </c>
      <c r="B40" s="61" t="s">
        <v>243</v>
      </c>
      <c r="C40" s="148" t="s">
        <v>305</v>
      </c>
      <c r="D40" s="182">
        <f>DRE_AV!G31-(BP_AV!G23*0.05)</f>
        <v>-626915.5</v>
      </c>
      <c r="E40" s="182">
        <f>DRE_AV!E31-(BP_AV!E23*0.05)</f>
        <v>-346760.65</v>
      </c>
      <c r="F40" s="183">
        <f>DRE_AV!C31-(BP_AV!C23*0.05)</f>
        <v>-227114.70000000007</v>
      </c>
    </row>
    <row r="41" spans="1:6" ht="15" x14ac:dyDescent="0.25">
      <c r="A41" s="59"/>
      <c r="B41" s="61" t="s">
        <v>244</v>
      </c>
      <c r="C41" s="148" t="s">
        <v>143</v>
      </c>
      <c r="D41" s="182">
        <f>(BP_AV!G67*BP_AV!G68)-BP_AV!G41</f>
        <v>1733880.0376400007</v>
      </c>
      <c r="E41" s="182">
        <f>(BP_AV!E67*BP_AV!E68)-BP_AV!E41</f>
        <v>2252205.5684399996</v>
      </c>
      <c r="F41" s="183">
        <f>(BP_AV!C67*BP_AV!C68)-BP_AV!C41</f>
        <v>4021917.0236000009</v>
      </c>
    </row>
    <row r="42" spans="1:6" ht="15" x14ac:dyDescent="0.25">
      <c r="A42" s="59"/>
      <c r="B42" s="62" t="s">
        <v>245</v>
      </c>
      <c r="C42" s="168" t="s">
        <v>98</v>
      </c>
      <c r="D42" s="182">
        <f>DRE_AV!G21-BP_AV!G69</f>
        <v>1340070</v>
      </c>
      <c r="E42" s="182">
        <f>DRE_AV!E21-BP_AV!E69</f>
        <v>995081</v>
      </c>
      <c r="F42" s="183">
        <f>DRE_AV!C21-BP_AV!C69</f>
        <v>865339</v>
      </c>
    </row>
    <row r="43" spans="1:6" ht="15.75" thickBot="1" x14ac:dyDescent="0.3">
      <c r="A43" s="149"/>
      <c r="B43" s="163" t="s">
        <v>246</v>
      </c>
      <c r="C43" s="210" t="s">
        <v>306</v>
      </c>
      <c r="D43" s="161">
        <f>-DFC_DVA_AV!G15/(BP_AV!G20+DFC_DVA_AV!G15)</f>
        <v>0.2629312522099308</v>
      </c>
      <c r="E43" s="161">
        <f>-DFC_DVA_AV!E15/(BP_AV!E20+DFC_DVA_AV!E15)</f>
        <v>0.21511982678485547</v>
      </c>
      <c r="F43" s="161">
        <f>-DFC_DVA_AV!C15/(BP_AV!C20+DFC_DVA_AV!C15)</f>
        <v>0.11721689843919238</v>
      </c>
    </row>
    <row r="44" spans="1:6" ht="15" x14ac:dyDescent="0.25">
      <c r="A44" s="143">
        <v>8</v>
      </c>
      <c r="B44" s="173" t="s">
        <v>90</v>
      </c>
      <c r="C44" s="168"/>
      <c r="D44" s="169"/>
      <c r="E44" s="170"/>
      <c r="F44" s="170"/>
    </row>
    <row r="45" spans="1:6" ht="15" x14ac:dyDescent="0.25">
      <c r="A45" s="59" t="s">
        <v>41</v>
      </c>
      <c r="B45" s="174" t="s">
        <v>91</v>
      </c>
      <c r="C45" s="168" t="s">
        <v>92</v>
      </c>
      <c r="D45" s="175">
        <f>D46+D47+D48-D49-D50</f>
        <v>2.3252722634634173</v>
      </c>
      <c r="E45" s="175">
        <f>E46+E47+E48-E49-E50</f>
        <v>3.214996485888201</v>
      </c>
      <c r="F45" s="175">
        <f>F46+F47+F48-F49-F50</f>
        <v>3.413413142869425</v>
      </c>
    </row>
    <row r="46" spans="1:6" ht="15" x14ac:dyDescent="0.25">
      <c r="A46" s="59"/>
      <c r="B46" s="71" t="s">
        <v>93</v>
      </c>
      <c r="C46" s="176" t="s">
        <v>263</v>
      </c>
      <c r="D46" s="175">
        <f>D25*0.05</f>
        <v>3.6521126014321757E-3</v>
      </c>
      <c r="E46" s="175">
        <f>E25*0.05</f>
        <v>3.8297403844076263E-3</v>
      </c>
      <c r="F46" s="175">
        <f>F25*0.05</f>
        <v>4.6098443878620013E-3</v>
      </c>
    </row>
    <row r="47" spans="1:6" ht="15" x14ac:dyDescent="0.25">
      <c r="A47" s="59"/>
      <c r="B47" s="71" t="s">
        <v>94</v>
      </c>
      <c r="C47" s="176" t="s">
        <v>307</v>
      </c>
      <c r="D47" s="175">
        <f>D10*1.65</f>
        <v>1.8887530153473981</v>
      </c>
      <c r="E47" s="175">
        <f>E10*1.65</f>
        <v>1.9401279618872818</v>
      </c>
      <c r="F47" s="175">
        <f>F10*1.65</f>
        <v>2.0309330252439248</v>
      </c>
    </row>
    <row r="48" spans="1:6" ht="15" x14ac:dyDescent="0.25">
      <c r="A48" s="59"/>
      <c r="B48" s="71" t="s">
        <v>95</v>
      </c>
      <c r="C48" s="168" t="s">
        <v>308</v>
      </c>
      <c r="D48" s="175">
        <f>D9*3.55</f>
        <v>3.0770231777412298</v>
      </c>
      <c r="E48" s="175">
        <f>E9*3.55</f>
        <v>4.1357457971042324</v>
      </c>
      <c r="F48" s="175">
        <f>F9*3.55</f>
        <v>4.1452990642371565</v>
      </c>
    </row>
    <row r="49" spans="1:6" ht="15" x14ac:dyDescent="0.25">
      <c r="A49" s="59"/>
      <c r="B49" s="71" t="s">
        <v>96</v>
      </c>
      <c r="C49" s="168" t="s">
        <v>309</v>
      </c>
      <c r="D49" s="175">
        <f>D8*1.06</f>
        <v>1.8175376554414571</v>
      </c>
      <c r="E49" s="175">
        <f>E8*1.06</f>
        <v>2.1771597248641634</v>
      </c>
      <c r="F49" s="175">
        <f>F8*1.06</f>
        <v>2.2131916331556409</v>
      </c>
    </row>
    <row r="50" spans="1:6" ht="15.75" thickBot="1" x14ac:dyDescent="0.3">
      <c r="A50" s="149"/>
      <c r="B50" s="166" t="s">
        <v>97</v>
      </c>
      <c r="C50" s="177" t="s">
        <v>264</v>
      </c>
      <c r="D50" s="178">
        <f>D15*0.33</f>
        <v>0.82661838678518595</v>
      </c>
      <c r="E50" s="178">
        <f>E15*0.33</f>
        <v>0.68754728862355807</v>
      </c>
      <c r="F50" s="179">
        <f>F15*0.33</f>
        <v>0.55423715784387817</v>
      </c>
    </row>
    <row r="51" spans="1:6" ht="15" x14ac:dyDescent="0.25">
      <c r="A51" s="143">
        <v>9</v>
      </c>
      <c r="B51" s="180" t="s">
        <v>247</v>
      </c>
      <c r="C51" s="168"/>
      <c r="D51" s="169"/>
      <c r="E51" s="170"/>
      <c r="F51" s="170"/>
    </row>
    <row r="52" spans="1:6" ht="15" x14ac:dyDescent="0.25">
      <c r="A52" s="59" t="s">
        <v>41</v>
      </c>
      <c r="B52" s="61" t="s">
        <v>256</v>
      </c>
      <c r="C52" s="214" t="s">
        <v>310</v>
      </c>
      <c r="D52" s="219">
        <f>(DFC_DVA_AV!G11/BP_AV!G66)</f>
        <v>0.13954883682541455</v>
      </c>
      <c r="E52" s="219">
        <f>(DFC_DVA_AV!E11/BP_AV!E66)</f>
        <v>-1.8147430772040833E-2</v>
      </c>
      <c r="F52" s="220">
        <f>(DFC_DVA_AV!C11/BP_AV!C66)</f>
        <v>0.17854361711045671</v>
      </c>
    </row>
    <row r="53" spans="1:6" ht="15" x14ac:dyDescent="0.25">
      <c r="A53" s="59"/>
      <c r="B53" s="62" t="s">
        <v>259</v>
      </c>
      <c r="C53" s="168" t="s">
        <v>311</v>
      </c>
      <c r="D53" s="147">
        <f>(DFC_DVA_AV!G11+DFC_DVA_AV!G24)/(BP_AV!G31+BP_AV!G38)</f>
        <v>0.34822180911644801</v>
      </c>
      <c r="E53" s="147">
        <f>(DFC_DVA_AV!E11+DFC_DVA_AV!E24)/(BP_AV!E31+BP_AV!E38)</f>
        <v>-5.05288344551484E-2</v>
      </c>
      <c r="F53" s="147">
        <f>(DFC_DVA_AV!C11+DFC_DVA_AV!C24)/(BP_AV!C31+BP_AV!C38)</f>
        <v>0.44230114998081616</v>
      </c>
    </row>
    <row r="54" spans="1:6" ht="15" x14ac:dyDescent="0.25">
      <c r="A54" s="59"/>
      <c r="B54" s="62" t="s">
        <v>257</v>
      </c>
      <c r="C54" s="168" t="s">
        <v>312</v>
      </c>
      <c r="D54" s="147">
        <f>(BP_AV!G31+BP_AV!G38)/Indicadores!D42</f>
        <v>3.2085480609221908</v>
      </c>
      <c r="E54" s="147">
        <f>(BP_AV!E31+BP_AV!E38)/Indicadores!E42</f>
        <v>4.0597026774704776</v>
      </c>
      <c r="F54" s="147">
        <f>(BP_AV!C31+BP_AV!C38)/Indicadores!F42</f>
        <v>3.189655152489371</v>
      </c>
    </row>
    <row r="55" spans="1:6" ht="15.75" thickBot="1" x14ac:dyDescent="0.3">
      <c r="A55" s="149"/>
      <c r="B55" s="163" t="s">
        <v>258</v>
      </c>
      <c r="C55" s="210" t="s">
        <v>313</v>
      </c>
      <c r="D55" s="152">
        <f>(DFC_DVA_AV!G11+DFC_DVA_AV!G24)/-(DFC_DVA_AV!G15)</f>
        <v>3.1265298622001616</v>
      </c>
      <c r="E55" s="152">
        <f>(DFC_DVA_AV!E11+DFC_DVA_AV!E24)/-(DFC_DVA_AV!E15)</f>
        <v>-0.60126011805874657</v>
      </c>
      <c r="F55" s="152">
        <f>(DFC_DVA_AV!C11+DFC_DVA_AV!C24)/-(DFC_DVA_AV!C15)</f>
        <v>5.8147654203381753</v>
      </c>
    </row>
    <row r="56" spans="1:6" ht="15" x14ac:dyDescent="0.25">
      <c r="A56" s="143">
        <v>10</v>
      </c>
      <c r="B56" s="180" t="s">
        <v>248</v>
      </c>
      <c r="C56" s="168"/>
      <c r="D56" s="169"/>
      <c r="E56" s="170"/>
      <c r="F56" s="170"/>
    </row>
    <row r="57" spans="1:6" ht="15" x14ac:dyDescent="0.25">
      <c r="A57" s="59" t="s">
        <v>41</v>
      </c>
      <c r="B57" s="61" t="s">
        <v>249</v>
      </c>
      <c r="C57" s="148" t="s">
        <v>250</v>
      </c>
      <c r="D57" s="221">
        <f>DFC_DVA_AV!G42/BP_AV!G23</f>
        <v>0.13761354508104268</v>
      </c>
      <c r="E57" s="221">
        <f>DFC_DVA_AV!E42/BP_AV!E23</f>
        <v>0.19165882836116974</v>
      </c>
      <c r="F57" s="222">
        <f>DFC_DVA_AV!C42/BP_AV!C23</f>
        <v>0.19362300903210597</v>
      </c>
    </row>
    <row r="58" spans="1:6" ht="15" x14ac:dyDescent="0.25">
      <c r="A58" s="59"/>
      <c r="B58" s="61" t="s">
        <v>251</v>
      </c>
      <c r="C58" s="148" t="s">
        <v>252</v>
      </c>
      <c r="D58" s="221">
        <f>DFC_DVA_AV!G42/DFC_DVA_AV!G36</f>
        <v>0.24051715573936147</v>
      </c>
      <c r="E58" s="221">
        <f>DFC_DVA_AV!E42/DFC_DVA_AV!E36</f>
        <v>0.26196613639452326</v>
      </c>
      <c r="F58" s="222">
        <f>DFC_DVA_AV!C42/DFC_DVA_AV!C36</f>
        <v>0.27760306389817607</v>
      </c>
    </row>
    <row r="59" spans="1:6" ht="15" x14ac:dyDescent="0.25">
      <c r="A59" s="59"/>
      <c r="B59" s="62" t="s">
        <v>253</v>
      </c>
      <c r="C59" s="168" t="s">
        <v>260</v>
      </c>
      <c r="D59" s="182">
        <f>DFC_DVA_AV!G42/'Dados BP'!G65</f>
        <v>125.84869624399167</v>
      </c>
      <c r="E59" s="182">
        <f>DFC_DVA_AV!E42/'Dados BP'!E65</f>
        <v>176.02717617041478</v>
      </c>
      <c r="F59" s="183">
        <f>DFC_DVA_AV!C42/'Dados BP'!C65</f>
        <v>157.85445215464458</v>
      </c>
    </row>
    <row r="60" spans="1:6" ht="15.75" thickBot="1" x14ac:dyDescent="0.3">
      <c r="A60" s="149"/>
      <c r="B60" s="163" t="s">
        <v>254</v>
      </c>
      <c r="C60" s="184" t="s">
        <v>255</v>
      </c>
      <c r="D60" s="223">
        <f>DFC_DVA_AV!G45/DFC_DVA_AV!G44</f>
        <v>0.51602848261174206</v>
      </c>
      <c r="E60" s="223">
        <f>DFC_DVA_AV!E45/DFC_DVA_AV!E44</f>
        <v>0.49471648554938236</v>
      </c>
      <c r="F60" s="223">
        <f>DFC_DVA_AV!C45/DFC_DVA_AV!C44</f>
        <v>0.50208142088513485</v>
      </c>
    </row>
  </sheetData>
  <sheetProtection password="D00E" sheet="1"/>
  <phoneticPr fontId="0" type="noConversion"/>
  <printOptions gridLines="1"/>
  <pageMargins left="0.78740157480314965" right="0.39370078740157483" top="0.39370078740157483" bottom="0.39370078740157483" header="0.51181102362204722" footer="0.51181102362204722"/>
  <pageSetup paperSize="9" scale="87" orientation="portrait" horizontalDpi="120" verticalDpi="144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C54"/>
  <sheetViews>
    <sheetView topLeftCell="M2" workbookViewId="0">
      <selection activeCell="AG26" sqref="AG26"/>
    </sheetView>
  </sheetViews>
  <sheetFormatPr defaultRowHeight="12.75" x14ac:dyDescent="0.2"/>
  <cols>
    <col min="1" max="1" width="6" customWidth="1"/>
    <col min="2" max="4" width="10.83203125" customWidth="1"/>
    <col min="5" max="6" width="2.83203125" customWidth="1"/>
    <col min="7" max="9" width="10.83203125" customWidth="1"/>
    <col min="10" max="11" width="2.83203125" customWidth="1"/>
    <col min="12" max="14" width="13.83203125" customWidth="1"/>
    <col min="15" max="16" width="2.83203125" customWidth="1"/>
    <col min="17" max="19" width="13.83203125" customWidth="1"/>
    <col min="20" max="21" width="2.83203125" customWidth="1"/>
    <col min="22" max="24" width="13.83203125" customWidth="1"/>
    <col min="25" max="26" width="2.83203125" customWidth="1"/>
    <col min="27" max="29" width="13.83203125" customWidth="1"/>
  </cols>
  <sheetData>
    <row r="1" spans="1:29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193" t="s">
        <v>100</v>
      </c>
      <c r="R1" s="193"/>
      <c r="S1" s="193"/>
      <c r="T1" s="6"/>
      <c r="U1" s="6"/>
      <c r="V1" s="193" t="s">
        <v>101</v>
      </c>
      <c r="W1" s="193"/>
      <c r="X1" s="193"/>
      <c r="Y1" s="6"/>
      <c r="Z1" s="6"/>
      <c r="AA1" s="14" t="s">
        <v>1</v>
      </c>
      <c r="AB1" s="7"/>
      <c r="AC1" s="7"/>
    </row>
    <row r="2" spans="1:29" x14ac:dyDescent="0.2">
      <c r="A2" s="6"/>
      <c r="B2" s="7" t="str">
        <f>BP_AV!A2</f>
        <v>EMPRESA : EMBRAER S.A.</v>
      </c>
      <c r="C2" s="7"/>
      <c r="D2" s="7"/>
      <c r="E2" s="7"/>
      <c r="F2" s="7"/>
      <c r="G2" s="7"/>
      <c r="H2" s="7"/>
      <c r="I2" s="6"/>
      <c r="J2" s="6"/>
      <c r="K2" s="6"/>
      <c r="L2" s="6"/>
      <c r="M2" s="6"/>
      <c r="N2" s="6"/>
      <c r="O2" s="6"/>
      <c r="P2" s="8"/>
      <c r="Q2" s="80">
        <f>DRE_AV!G10</f>
        <v>11881608</v>
      </c>
      <c r="R2" s="80">
        <f>DRE_AV!E10</f>
        <v>10997789</v>
      </c>
      <c r="S2" s="80">
        <f>DRE_AV!C10</f>
        <v>9488512</v>
      </c>
      <c r="T2" s="8"/>
      <c r="U2" s="8"/>
      <c r="V2" s="80">
        <f>BP_AV!G75</f>
        <v>522065</v>
      </c>
      <c r="W2" s="80">
        <f>BP_AV!E75</f>
        <v>1208691</v>
      </c>
      <c r="X2" s="80">
        <f>BP_AV!C75</f>
        <v>1244968.5</v>
      </c>
      <c r="Y2" s="6"/>
      <c r="Z2" s="6"/>
      <c r="AA2" s="6"/>
      <c r="AB2" s="6"/>
      <c r="AC2" s="6"/>
    </row>
    <row r="3" spans="1:29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9"/>
      <c r="Q3" s="81">
        <f>Q2*S3/S2</f>
        <v>125.22098301609357</v>
      </c>
      <c r="R3" s="81">
        <f>R2*S3/S2</f>
        <v>115.90636129247663</v>
      </c>
      <c r="S3" s="81">
        <f>IF(S2&gt;0,100,-100)</f>
        <v>100</v>
      </c>
      <c r="T3" s="6"/>
      <c r="U3" s="9"/>
      <c r="V3" s="81">
        <f>V2*X3/X2</f>
        <v>41.933992707446009</v>
      </c>
      <c r="W3" s="81">
        <f>W2*X3/X2</f>
        <v>97.086070852395054</v>
      </c>
      <c r="X3" s="81">
        <f>IF(X2&gt;0,100,-100)</f>
        <v>100</v>
      </c>
      <c r="Y3" s="6"/>
      <c r="Z3" s="6"/>
      <c r="AA3" s="6"/>
      <c r="AB3" s="6"/>
      <c r="AC3" s="6"/>
    </row>
    <row r="4" spans="1:29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193" t="s">
        <v>102</v>
      </c>
      <c r="M4" s="193"/>
      <c r="N4" s="193"/>
      <c r="O4" s="6"/>
      <c r="P4" s="9"/>
      <c r="Q4" s="6"/>
      <c r="R4" s="6"/>
      <c r="S4" s="6"/>
      <c r="T4" s="6"/>
      <c r="U4" s="9"/>
      <c r="V4" s="194" t="s">
        <v>103</v>
      </c>
      <c r="W4" s="193"/>
      <c r="X4" s="193"/>
      <c r="Y4" s="6"/>
      <c r="Z4" s="6"/>
      <c r="AA4" s="6"/>
      <c r="AB4" s="6"/>
      <c r="AC4" s="6"/>
    </row>
    <row r="5" spans="1:29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8"/>
      <c r="L5" s="80">
        <f>DRE_AV!G14</f>
        <v>11746765</v>
      </c>
      <c r="M5" s="80">
        <f>DRE_AV!E14</f>
        <v>10871275</v>
      </c>
      <c r="N5" s="80">
        <f>DRE_AV!C14</f>
        <v>9380625</v>
      </c>
      <c r="O5" s="8"/>
      <c r="P5" s="9"/>
      <c r="Q5" s="7" t="s">
        <v>104</v>
      </c>
      <c r="R5" s="7"/>
      <c r="S5" s="7"/>
      <c r="T5" s="6"/>
      <c r="U5" s="10"/>
      <c r="V5" s="80">
        <f>BP_AV!G76</f>
        <v>11359543</v>
      </c>
      <c r="W5" s="80">
        <f>BP_AV!E76</f>
        <v>9789098</v>
      </c>
      <c r="X5" s="80">
        <f>BP_AV!C76</f>
        <v>8243543.5</v>
      </c>
      <c r="Y5" s="6"/>
      <c r="Z5" s="6"/>
      <c r="AA5" s="6"/>
      <c r="AB5" s="6"/>
      <c r="AC5" s="6"/>
    </row>
    <row r="6" spans="1:29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9"/>
      <c r="L6" s="81">
        <f>L5*N6/N5</f>
        <v>125.22369245119594</v>
      </c>
      <c r="M6" s="81">
        <f>M5*N6/N5</f>
        <v>115.89073222733028</v>
      </c>
      <c r="N6" s="81">
        <f>IF(N5&gt;0,100,-100)</f>
        <v>100</v>
      </c>
      <c r="O6" s="6"/>
      <c r="P6" s="9"/>
      <c r="Q6" s="6"/>
      <c r="R6" s="6"/>
      <c r="S6" s="6"/>
      <c r="T6" s="6"/>
      <c r="U6" s="6"/>
      <c r="V6" s="81">
        <f>V5*X6/X5</f>
        <v>137.79927284910912</v>
      </c>
      <c r="W6" s="81">
        <f>W5*X6/X5</f>
        <v>118.74866675962831</v>
      </c>
      <c r="X6" s="81">
        <f>IF(X5&gt;0,100,-100)</f>
        <v>100</v>
      </c>
      <c r="Y6" s="6"/>
      <c r="Z6" s="6"/>
      <c r="AA6" s="193" t="s">
        <v>107</v>
      </c>
      <c r="AB6" s="193"/>
      <c r="AC6" s="193"/>
    </row>
    <row r="7" spans="1:29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9"/>
      <c r="L7" s="6" t="s">
        <v>41</v>
      </c>
      <c r="M7" s="6"/>
      <c r="N7" s="6"/>
      <c r="O7" s="6"/>
      <c r="P7" s="9"/>
      <c r="Q7" s="193" t="s">
        <v>105</v>
      </c>
      <c r="R7" s="193"/>
      <c r="S7" s="193"/>
      <c r="T7" s="6"/>
      <c r="U7" s="6"/>
      <c r="V7" s="6"/>
      <c r="W7" s="6"/>
      <c r="X7" s="6"/>
      <c r="Z7" s="8"/>
      <c r="AA7" s="80">
        <f>BP_AV!G79</f>
        <v>2902452</v>
      </c>
      <c r="AB7" s="80">
        <f>BP_AV!E79</f>
        <v>1682747</v>
      </c>
      <c r="AC7" s="80">
        <f>BP_AV!C79</f>
        <v>1604560</v>
      </c>
    </row>
    <row r="8" spans="1:2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9"/>
      <c r="L8" s="6"/>
      <c r="M8" s="6"/>
      <c r="N8" s="6"/>
      <c r="O8" s="6"/>
      <c r="P8" s="10"/>
      <c r="Q8" s="80">
        <f>DRE_AV!G11</f>
        <v>-134843</v>
      </c>
      <c r="R8" s="80">
        <f>DRE_AV!E11</f>
        <v>-126514</v>
      </c>
      <c r="S8" s="80">
        <f>DRE_AV!C11</f>
        <v>-107887</v>
      </c>
      <c r="T8" s="6"/>
      <c r="U8" s="6"/>
      <c r="V8" s="193" t="s">
        <v>106</v>
      </c>
      <c r="W8" s="193"/>
      <c r="X8" s="193"/>
      <c r="Z8" s="9"/>
      <c r="AA8" s="81">
        <f>AA7*AC8/AC7</f>
        <v>180.88771999800568</v>
      </c>
      <c r="AB8" s="81">
        <f>AB7*AC8/AC7</f>
        <v>104.87280001994316</v>
      </c>
      <c r="AC8" s="81">
        <f>IF(AC7&gt;0,100,-100)</f>
        <v>100</v>
      </c>
    </row>
    <row r="9" spans="1:29" x14ac:dyDescent="0.2">
      <c r="A9" s="6"/>
      <c r="B9" s="6"/>
      <c r="C9" s="6"/>
      <c r="D9" s="6"/>
      <c r="E9" s="6"/>
      <c r="K9" s="9"/>
      <c r="L9" s="6"/>
      <c r="M9" s="6"/>
      <c r="N9" s="6"/>
      <c r="O9" s="6"/>
      <c r="P9" s="6"/>
      <c r="Q9" s="81">
        <f>Q8*S9/S8</f>
        <v>-124.98540139219739</v>
      </c>
      <c r="R9" s="81">
        <f>R8*S9/S8</f>
        <v>-117.26528682788474</v>
      </c>
      <c r="S9" s="81">
        <f>IF(S8&gt;0,100,-100)</f>
        <v>-100</v>
      </c>
      <c r="T9" s="6"/>
      <c r="U9" s="8"/>
      <c r="V9" s="80">
        <f>BP_AV!G10+BP_AV!G13</f>
        <v>5164994</v>
      </c>
      <c r="W9" s="80">
        <f>BP_AV!E10+BP_AV!E13</f>
        <v>4475141</v>
      </c>
      <c r="X9" s="80">
        <f>BP_AV!C10+BP_AV!C13</f>
        <v>3588778</v>
      </c>
      <c r="Z9" s="9"/>
      <c r="AA9" s="193" t="s">
        <v>112</v>
      </c>
      <c r="AB9" s="193"/>
      <c r="AC9" s="193"/>
    </row>
    <row r="10" spans="1:29" x14ac:dyDescent="0.2">
      <c r="A10" s="6"/>
      <c r="B10" s="6"/>
      <c r="C10" s="6"/>
      <c r="D10" s="6"/>
      <c r="E10" s="6"/>
      <c r="F10" s="6"/>
      <c r="G10" s="191" t="s">
        <v>108</v>
      </c>
      <c r="H10" s="191"/>
      <c r="I10" s="191"/>
      <c r="J10" s="6"/>
      <c r="K10" s="9"/>
      <c r="O10" s="6"/>
      <c r="P10" s="6"/>
      <c r="Q10" s="6"/>
      <c r="R10" s="6"/>
      <c r="S10" s="6"/>
      <c r="T10" s="6"/>
      <c r="U10" s="9"/>
      <c r="V10" s="81">
        <f>V9*X10/X9</f>
        <v>143.92068832343489</v>
      </c>
      <c r="W10" s="81">
        <f>W9*X10/X9</f>
        <v>124.69818417299705</v>
      </c>
      <c r="X10" s="81">
        <f>IF(X9&gt;0,100,-100)</f>
        <v>100</v>
      </c>
      <c r="Y10" s="6"/>
      <c r="Z10" s="10"/>
      <c r="AA10" s="80">
        <f>BP_AV!G80</f>
        <v>2343954</v>
      </c>
      <c r="AB10" s="80">
        <f>BP_AV!E80</f>
        <v>1563351</v>
      </c>
      <c r="AC10" s="80">
        <f>BP_AV!C80</f>
        <v>1253771</v>
      </c>
    </row>
    <row r="11" spans="1:29" x14ac:dyDescent="0.2">
      <c r="A11" s="6"/>
      <c r="B11" s="6"/>
      <c r="C11" s="6"/>
      <c r="D11" s="6"/>
      <c r="E11" s="6"/>
      <c r="F11" s="6"/>
      <c r="G11" s="78">
        <f>B25</f>
        <v>2008</v>
      </c>
      <c r="H11" s="78">
        <f>C25</f>
        <v>2009</v>
      </c>
      <c r="I11" s="78">
        <f>D25</f>
        <v>2010</v>
      </c>
      <c r="J11" s="6"/>
      <c r="K11" s="9"/>
      <c r="O11" s="6"/>
      <c r="T11" s="6"/>
      <c r="U11" s="9"/>
      <c r="V11" s="193" t="s">
        <v>109</v>
      </c>
      <c r="W11" s="193"/>
      <c r="X11" s="193"/>
      <c r="Y11" s="6"/>
      <c r="Z11" s="9"/>
      <c r="AA11" s="81">
        <f>AA10*AC11/AC10</f>
        <v>186.9523222342836</v>
      </c>
      <c r="AB11" s="81">
        <f>AB10*AC11/AC10</f>
        <v>124.69190944757854</v>
      </c>
      <c r="AC11" s="81">
        <f>IF(AC10&gt;0,100,-100)</f>
        <v>100</v>
      </c>
    </row>
    <row r="12" spans="1:29" x14ac:dyDescent="0.2">
      <c r="A12" s="6"/>
      <c r="B12" s="6"/>
      <c r="C12" s="6"/>
      <c r="D12" s="6"/>
      <c r="E12" s="6"/>
      <c r="F12" s="8"/>
      <c r="G12" s="81">
        <f>L5/L19</f>
        <v>0.54638225568707999</v>
      </c>
      <c r="H12" s="81">
        <f>M5/M19</f>
        <v>0.70234802877518987</v>
      </c>
      <c r="I12" s="81">
        <f>N5/N19</f>
        <v>0.67095455308177221</v>
      </c>
      <c r="J12" s="8"/>
      <c r="K12" s="9"/>
      <c r="L12" s="7" t="s">
        <v>110</v>
      </c>
      <c r="M12" s="7"/>
      <c r="N12" s="7"/>
      <c r="O12" s="6"/>
      <c r="P12" s="6"/>
      <c r="Q12" s="193" t="s">
        <v>111</v>
      </c>
      <c r="R12" s="193"/>
      <c r="S12" s="193"/>
      <c r="T12" s="6"/>
      <c r="U12" s="10"/>
      <c r="V12" s="80">
        <f>BP_AV!G11</f>
        <v>1024262</v>
      </c>
      <c r="W12" s="80">
        <f>BP_AV!E11</f>
        <v>708465</v>
      </c>
      <c r="X12" s="80">
        <f>BP_AV!C11</f>
        <v>580781</v>
      </c>
      <c r="Y12" s="6"/>
      <c r="Z12" s="9"/>
      <c r="AA12" s="193" t="s">
        <v>114</v>
      </c>
      <c r="AB12" s="193"/>
      <c r="AC12" s="193"/>
    </row>
    <row r="13" spans="1:29" x14ac:dyDescent="0.2">
      <c r="A13" s="6"/>
      <c r="B13" s="6"/>
      <c r="C13" s="6"/>
      <c r="D13" s="6"/>
      <c r="E13" s="6"/>
      <c r="F13" s="9"/>
      <c r="G13" s="81">
        <f>G12*I13/I12</f>
        <v>81.433571495637494</v>
      </c>
      <c r="H13" s="81">
        <f>H12*I13/I12</f>
        <v>104.67892729086103</v>
      </c>
      <c r="I13" s="81">
        <f>IF(I12&gt;0,100,-100)</f>
        <v>100</v>
      </c>
      <c r="J13" s="6"/>
      <c r="K13" s="9"/>
      <c r="L13" s="6" t="s">
        <v>41</v>
      </c>
      <c r="M13" s="6"/>
      <c r="N13" s="6"/>
      <c r="O13" s="6"/>
      <c r="P13" s="8"/>
      <c r="Q13" s="80">
        <f>BP_AV!G9</f>
        <v>14360293</v>
      </c>
      <c r="R13" s="80">
        <f>BP_AV!E9</f>
        <v>9836650</v>
      </c>
      <c r="S13" s="80">
        <f>BP_AV!C9</f>
        <v>8310497</v>
      </c>
      <c r="T13" s="8"/>
      <c r="U13" s="9"/>
      <c r="V13" s="81">
        <f>V12*X13/X12</f>
        <v>176.359419471367</v>
      </c>
      <c r="W13" s="81">
        <f>W12*X13/X12</f>
        <v>121.98487898192262</v>
      </c>
      <c r="X13" s="81">
        <f>IF(X12&gt;0,100,-100)</f>
        <v>100</v>
      </c>
      <c r="Y13" s="6"/>
      <c r="Z13" s="10"/>
      <c r="AA13" s="80">
        <f>BP_AV!G81</f>
        <v>1337695</v>
      </c>
      <c r="AB13" s="80">
        <f>BP_AV!E81</f>
        <v>842495</v>
      </c>
      <c r="AC13" s="80">
        <f>BP_AV!C81</f>
        <v>757674</v>
      </c>
    </row>
    <row r="14" spans="1:29" x14ac:dyDescent="0.2">
      <c r="A14" s="6"/>
      <c r="B14" s="6"/>
      <c r="C14" s="6"/>
      <c r="D14" s="6"/>
      <c r="E14" s="6"/>
      <c r="F14" s="9"/>
      <c r="G14" s="6"/>
      <c r="H14" s="6"/>
      <c r="I14" s="6"/>
      <c r="J14" s="11"/>
      <c r="O14" s="11"/>
      <c r="P14" s="6"/>
      <c r="Q14" s="81">
        <f>Q13*S14/S13</f>
        <v>172.79704210229545</v>
      </c>
      <c r="R14" s="81">
        <f>R13*S14/S13</f>
        <v>118.36416041062286</v>
      </c>
      <c r="S14" s="81">
        <f>IF(S13&gt;0,100,-100)</f>
        <v>100</v>
      </c>
      <c r="T14" s="6"/>
      <c r="U14" s="9"/>
      <c r="V14" s="193" t="s">
        <v>113</v>
      </c>
      <c r="W14" s="193"/>
      <c r="X14" s="193"/>
      <c r="Y14" s="6"/>
      <c r="Z14" s="9"/>
      <c r="AA14" s="81">
        <f>AA13*AC14/AC13</f>
        <v>176.55284462710875</v>
      </c>
      <c r="AB14" s="81">
        <f>AB13*AC14/AC13</f>
        <v>111.19492024274292</v>
      </c>
      <c r="AC14" s="81">
        <f>IF(AC13&gt;0,100,-100)</f>
        <v>100</v>
      </c>
    </row>
    <row r="15" spans="1:29" x14ac:dyDescent="0.2">
      <c r="A15" s="6"/>
      <c r="B15" s="6"/>
      <c r="C15" s="6"/>
      <c r="D15" s="6"/>
      <c r="E15" s="6"/>
      <c r="F15" s="9"/>
      <c r="G15" s="6"/>
      <c r="H15" s="6"/>
      <c r="I15" s="6"/>
      <c r="J15" s="11"/>
      <c r="O15" s="11"/>
      <c r="T15" s="6"/>
      <c r="U15" s="10"/>
      <c r="V15" s="80">
        <f>BP_AV!G12</f>
        <v>7101103</v>
      </c>
      <c r="W15" s="80">
        <f>BP_AV!E12</f>
        <v>4257240</v>
      </c>
      <c r="X15" s="80">
        <f>BP_AV!C12</f>
        <v>3662762</v>
      </c>
      <c r="Y15" s="8"/>
      <c r="Z15" s="9"/>
      <c r="AA15" s="193" t="s">
        <v>119</v>
      </c>
      <c r="AB15" s="193"/>
      <c r="AC15" s="193"/>
    </row>
    <row r="16" spans="1:29" x14ac:dyDescent="0.2">
      <c r="A16" s="6"/>
      <c r="B16" s="6"/>
      <c r="C16" s="6"/>
      <c r="D16" s="6"/>
      <c r="E16" s="6"/>
      <c r="F16" s="9"/>
      <c r="G16" s="6"/>
      <c r="H16" s="6"/>
      <c r="I16" s="6"/>
      <c r="J16" s="11"/>
      <c r="O16" s="5"/>
      <c r="P16" s="6"/>
      <c r="Q16" s="7" t="s">
        <v>115</v>
      </c>
      <c r="R16" s="7"/>
      <c r="S16" s="7"/>
      <c r="T16" s="11"/>
      <c r="U16" s="6"/>
      <c r="V16" s="81">
        <f>V15*X16/X15</f>
        <v>193.87290247086761</v>
      </c>
      <c r="W16" s="81">
        <f>W15*X16/X15</f>
        <v>116.2303201791435</v>
      </c>
      <c r="X16" s="81">
        <f>IF(X15&gt;0,100,-100)</f>
        <v>100</v>
      </c>
      <c r="Y16" s="6"/>
      <c r="Z16" s="10"/>
      <c r="AA16" s="80">
        <f>BP_AV!G82</f>
        <v>517002</v>
      </c>
      <c r="AB16" s="80">
        <f>BP_AV!E82</f>
        <v>168647</v>
      </c>
      <c r="AC16" s="80">
        <f>BP_AV!C82</f>
        <v>46757</v>
      </c>
    </row>
    <row r="17" spans="1:29" x14ac:dyDescent="0.2">
      <c r="A17" s="6"/>
      <c r="B17" s="6"/>
      <c r="C17" s="6"/>
      <c r="D17" s="6"/>
      <c r="E17" s="6"/>
      <c r="F17" s="9"/>
      <c r="G17" s="6"/>
      <c r="H17" s="6"/>
      <c r="I17" s="6"/>
      <c r="J17" s="11"/>
      <c r="O17" s="5"/>
      <c r="T17" s="6"/>
      <c r="U17" s="9"/>
      <c r="V17" s="193" t="s">
        <v>116</v>
      </c>
      <c r="W17" s="193"/>
      <c r="X17" s="193"/>
      <c r="Y17" s="6"/>
      <c r="Z17" s="6"/>
      <c r="AA17" s="81">
        <f>AA16*AC17/AC16</f>
        <v>1105.7210685031118</v>
      </c>
      <c r="AB17" s="81">
        <f>AB16*AC17/AC16</f>
        <v>360.68823919413137</v>
      </c>
      <c r="AC17" s="81">
        <f>IF(AC16&gt;0,100,-100)</f>
        <v>100</v>
      </c>
    </row>
    <row r="18" spans="1:29" x14ac:dyDescent="0.2">
      <c r="E18" s="6"/>
      <c r="F18" s="9"/>
      <c r="G18" s="6"/>
      <c r="H18" s="6"/>
      <c r="I18" s="6"/>
      <c r="J18" s="6"/>
      <c r="K18" s="9"/>
      <c r="L18" s="193" t="s">
        <v>117</v>
      </c>
      <c r="M18" s="193"/>
      <c r="N18" s="193"/>
      <c r="O18" s="11"/>
      <c r="P18" s="6"/>
      <c r="Q18" s="194" t="s">
        <v>118</v>
      </c>
      <c r="R18" s="193"/>
      <c r="S18" s="193"/>
      <c r="T18" s="6"/>
      <c r="U18" s="10"/>
      <c r="V18" s="80">
        <f>BP_AV!G14+BP_AV!G15</f>
        <v>1069934</v>
      </c>
      <c r="W18" s="80">
        <f>BP_AV!E14+BP_AV!E15</f>
        <v>395804</v>
      </c>
      <c r="X18" s="80">
        <f>BP_AV!C14+BP_AV!C15</f>
        <v>478176</v>
      </c>
      <c r="Y18" s="6"/>
    </row>
    <row r="19" spans="1:29" x14ac:dyDescent="0.2">
      <c r="E19" s="6"/>
      <c r="F19" s="9"/>
      <c r="G19" s="6"/>
      <c r="H19" s="6"/>
      <c r="I19" s="6"/>
      <c r="J19" s="6"/>
      <c r="K19" s="10"/>
      <c r="L19" s="80">
        <f>BP_AV!G23</f>
        <v>21499170</v>
      </c>
      <c r="M19" s="80">
        <f>BP_AV!E23</f>
        <v>15478473</v>
      </c>
      <c r="N19" s="80">
        <f>BP_AV!C23</f>
        <v>13981014</v>
      </c>
      <c r="O19" s="12"/>
      <c r="P19" s="8"/>
      <c r="Q19" s="80">
        <f>BP_AV!G17</f>
        <v>3228170</v>
      </c>
      <c r="R19" s="80">
        <f>BP_AV!E17</f>
        <v>2461011</v>
      </c>
      <c r="S19" s="80">
        <f>BP_AV!C17</f>
        <v>2475920</v>
      </c>
      <c r="T19" s="6"/>
      <c r="U19" s="6"/>
      <c r="V19" s="81">
        <f>V18*X19/X18</f>
        <v>223.7531787459011</v>
      </c>
      <c r="W19" s="81">
        <f>W18*X19/X18</f>
        <v>82.773706752325509</v>
      </c>
      <c r="X19" s="81">
        <f>IF(X18&gt;0,100,-100)</f>
        <v>100</v>
      </c>
      <c r="Y19" s="6"/>
      <c r="Z19" s="6"/>
      <c r="AA19" s="193" t="s">
        <v>173</v>
      </c>
      <c r="AB19" s="193"/>
      <c r="AC19" s="193"/>
    </row>
    <row r="20" spans="1:29" x14ac:dyDescent="0.2">
      <c r="E20" s="6"/>
      <c r="F20" s="9"/>
      <c r="G20" s="6"/>
      <c r="H20" s="6"/>
      <c r="I20" s="6"/>
      <c r="J20" s="6"/>
      <c r="K20" s="6"/>
      <c r="L20" s="81">
        <f>L19*N20/N19</f>
        <v>153.77403956537057</v>
      </c>
      <c r="M20" s="81">
        <f>M19*N20/N19</f>
        <v>110.71066090056129</v>
      </c>
      <c r="N20" s="81">
        <f>IF(N19&gt;0,100,-100)</f>
        <v>100</v>
      </c>
      <c r="O20" s="11"/>
      <c r="P20" s="6"/>
      <c r="Q20" s="81">
        <f>Q19*S20/S19</f>
        <v>130.38264564283176</v>
      </c>
      <c r="R20" s="81">
        <f>R19*S20/S19</f>
        <v>99.397839994830207</v>
      </c>
      <c r="S20" s="81">
        <f>IF(S19&gt;0,100,-100)</f>
        <v>100</v>
      </c>
      <c r="T20" s="6"/>
      <c r="Y20" s="6"/>
      <c r="Z20" s="8"/>
      <c r="AA20" s="80">
        <f>BP_AV!G85</f>
        <v>1045804</v>
      </c>
      <c r="AB20" s="80">
        <f>BP_AV!E85</f>
        <v>726272</v>
      </c>
      <c r="AC20" s="80">
        <f>BP_AV!C85</f>
        <v>742209</v>
      </c>
    </row>
    <row r="21" spans="1:29" x14ac:dyDescent="0.2">
      <c r="E21" s="6"/>
      <c r="F21" s="9"/>
      <c r="G21" s="6"/>
      <c r="H21" s="6"/>
      <c r="I21" s="6"/>
      <c r="J21" s="6"/>
      <c r="K21" s="6"/>
      <c r="L21" s="6"/>
      <c r="M21" s="6"/>
      <c r="N21" s="6"/>
      <c r="O21" s="11"/>
      <c r="T21" s="6"/>
      <c r="U21" s="6"/>
      <c r="V21" s="193" t="s">
        <v>120</v>
      </c>
      <c r="W21" s="193"/>
      <c r="X21" s="193"/>
      <c r="Y21" s="6"/>
      <c r="Z21" s="9"/>
      <c r="AA21" s="81">
        <f>AA20*AC21/AC20</f>
        <v>140.90424664750765</v>
      </c>
      <c r="AB21" s="81">
        <f>AB20*AC21/AC20</f>
        <v>97.852761149487549</v>
      </c>
      <c r="AC21" s="81">
        <f>IF(AC20&gt;0,100,-100)</f>
        <v>100</v>
      </c>
    </row>
    <row r="22" spans="1:29" x14ac:dyDescent="0.2">
      <c r="F22" s="9"/>
      <c r="G22" s="6"/>
      <c r="H22" s="6"/>
      <c r="I22" s="6"/>
      <c r="J22" s="6"/>
      <c r="K22" s="6"/>
      <c r="L22" s="6"/>
      <c r="M22" s="6"/>
      <c r="N22" s="6"/>
      <c r="O22" s="11"/>
      <c r="P22" s="6"/>
      <c r="Q22" s="7" t="s">
        <v>121</v>
      </c>
      <c r="R22" s="7"/>
      <c r="S22" s="7"/>
      <c r="T22" s="6"/>
      <c r="U22" s="8"/>
      <c r="V22" s="80">
        <f>BP_AV!G19</f>
        <v>10</v>
      </c>
      <c r="W22" s="80">
        <f>BP_AV!E19</f>
        <v>9</v>
      </c>
      <c r="X22" s="80">
        <f>BP_AV!C19</f>
        <v>8</v>
      </c>
      <c r="Y22" s="6"/>
      <c r="Z22" s="9"/>
      <c r="AA22" s="193" t="s">
        <v>174</v>
      </c>
      <c r="AB22" s="193"/>
      <c r="AC22" s="193"/>
    </row>
    <row r="23" spans="1:29" x14ac:dyDescent="0.2">
      <c r="F23" s="9"/>
      <c r="G23" s="6"/>
      <c r="H23" s="6"/>
      <c r="I23" s="6"/>
      <c r="J23" s="6"/>
      <c r="K23" s="6"/>
      <c r="L23" s="6"/>
      <c r="M23" s="6"/>
      <c r="N23" s="6"/>
      <c r="O23" s="11"/>
      <c r="P23" s="6"/>
      <c r="T23" s="6"/>
      <c r="U23" s="9"/>
      <c r="V23" s="81">
        <f>V22*X23/X22</f>
        <v>125</v>
      </c>
      <c r="W23" s="81">
        <f>W22*X23/X22</f>
        <v>112.5</v>
      </c>
      <c r="X23" s="81">
        <f>IF(X22&gt;0,100,-100)</f>
        <v>100</v>
      </c>
      <c r="Y23" s="6"/>
      <c r="Z23" s="10"/>
      <c r="AA23" s="80">
        <f>BP_AV!G86</f>
        <v>1199859</v>
      </c>
      <c r="AB23" s="80">
        <f>BP_AV!E86</f>
        <v>988855</v>
      </c>
      <c r="AC23" s="80">
        <f>BP_AV!C86</f>
        <v>922723</v>
      </c>
    </row>
    <row r="24" spans="1:29" x14ac:dyDescent="0.2">
      <c r="A24" s="191" t="s">
        <v>147</v>
      </c>
      <c r="B24" s="192"/>
      <c r="C24" s="192"/>
      <c r="D24" s="192"/>
      <c r="E24" s="6"/>
      <c r="F24" s="9"/>
      <c r="O24" s="11"/>
      <c r="P24" s="6"/>
      <c r="Q24" s="193" t="s">
        <v>122</v>
      </c>
      <c r="R24" s="193"/>
      <c r="S24" s="193"/>
      <c r="T24" s="6"/>
      <c r="U24" s="9"/>
      <c r="V24" s="194" t="s">
        <v>123</v>
      </c>
      <c r="W24" s="193"/>
      <c r="X24" s="193"/>
      <c r="Y24" s="6"/>
      <c r="Z24" s="9"/>
      <c r="AA24" s="81">
        <f>AA23*AC24/AC23</f>
        <v>130.03458242614522</v>
      </c>
      <c r="AB24" s="81">
        <f>AB23*AC24/AC23</f>
        <v>107.16704796564082</v>
      </c>
      <c r="AC24" s="81">
        <f>IF(AC23&gt;0,100,-100)</f>
        <v>100</v>
      </c>
    </row>
    <row r="25" spans="1:29" x14ac:dyDescent="0.2">
      <c r="A25" s="78" t="s">
        <v>124</v>
      </c>
      <c r="B25" s="78">
        <f>BP_AV!G6</f>
        <v>2008</v>
      </c>
      <c r="C25" s="78">
        <f>BP_AV!E6</f>
        <v>2009</v>
      </c>
      <c r="D25" s="78">
        <f>BP_AV!C6</f>
        <v>2010</v>
      </c>
      <c r="E25" s="6"/>
      <c r="F25" s="9"/>
      <c r="O25" s="11"/>
      <c r="P25" s="8"/>
      <c r="Q25" s="80">
        <f>BP_AV!G18</f>
        <v>3910707</v>
      </c>
      <c r="R25" s="80">
        <f>BP_AV!E18</f>
        <v>3180812</v>
      </c>
      <c r="S25" s="80">
        <f>BP_AV!C18</f>
        <v>3194597</v>
      </c>
      <c r="T25" s="8"/>
      <c r="U25" s="10"/>
      <c r="V25" s="80">
        <f>BP_AV!G20</f>
        <v>2300207</v>
      </c>
      <c r="W25" s="80">
        <f>BP_AV!E20</f>
        <v>1917645</v>
      </c>
      <c r="X25" s="80">
        <f>BP_AV!C20</f>
        <v>2001074</v>
      </c>
      <c r="Y25" s="8"/>
      <c r="Z25" s="9"/>
      <c r="AA25" s="193" t="s">
        <v>128</v>
      </c>
      <c r="AB25" s="193"/>
      <c r="AC25" s="193"/>
    </row>
    <row r="26" spans="1:29" x14ac:dyDescent="0.2">
      <c r="A26" s="79" t="s">
        <v>125</v>
      </c>
      <c r="B26" s="82">
        <f>G12*G42</f>
        <v>2.0840013823789474</v>
      </c>
      <c r="C26" s="81">
        <f>H12*H42</f>
        <v>2.7597231328956031</v>
      </c>
      <c r="D26" s="81">
        <f>I12*I42</f>
        <v>3.3755491554475228</v>
      </c>
      <c r="E26" s="8"/>
      <c r="F26" s="9"/>
      <c r="G26" s="13" t="s">
        <v>126</v>
      </c>
      <c r="H26" s="13"/>
      <c r="I26" s="13"/>
      <c r="O26" s="6"/>
      <c r="P26" s="6"/>
      <c r="Q26" s="81">
        <f>Q25*S26/S25</f>
        <v>122.41628599788956</v>
      </c>
      <c r="R26" s="81">
        <f>R25*S26/S25</f>
        <v>99.568490172625843</v>
      </c>
      <c r="S26" s="81">
        <f>IF(S25&gt;0,100,-100)</f>
        <v>100</v>
      </c>
      <c r="T26" s="6"/>
      <c r="U26" s="9"/>
      <c r="V26" s="81">
        <f>V25*X26/X25</f>
        <v>114.94862258966934</v>
      </c>
      <c r="W26" s="81">
        <f>W25*X26/X25</f>
        <v>95.830788866378754</v>
      </c>
      <c r="X26" s="81">
        <f>IF(X25&gt;0,100,-100)</f>
        <v>100</v>
      </c>
      <c r="Y26" s="6"/>
      <c r="Z26" s="10"/>
      <c r="AA26" s="80">
        <f>BP_AV!G87</f>
        <v>1690065</v>
      </c>
      <c r="AB26" s="80">
        <f>BP_AV!E87</f>
        <v>1661896</v>
      </c>
      <c r="AC26" s="80">
        <f>BP_AV!C87</f>
        <v>1853722</v>
      </c>
    </row>
    <row r="27" spans="1:29" x14ac:dyDescent="0.2">
      <c r="A27" s="79" t="s">
        <v>99</v>
      </c>
      <c r="B27" s="81">
        <f>B26*D27/D26</f>
        <v>61.738143525942967</v>
      </c>
      <c r="C27" s="81">
        <f>C26*D27/D26</f>
        <v>81.756271522276947</v>
      </c>
      <c r="D27" s="81">
        <f>IF(D26&gt;0,100,-100)</f>
        <v>100</v>
      </c>
      <c r="E27" s="11"/>
      <c r="F27" s="9"/>
      <c r="T27" s="6"/>
      <c r="U27" s="9"/>
      <c r="V27" s="193" t="s">
        <v>181</v>
      </c>
      <c r="W27" s="193"/>
      <c r="X27" s="193"/>
      <c r="Y27" s="6"/>
      <c r="Z27" s="39"/>
      <c r="AA27" s="81">
        <f>AA26*AC27/AC26</f>
        <v>91.171437788406237</v>
      </c>
      <c r="AB27" s="81">
        <f>AB26*AC27/AC26</f>
        <v>89.651846393364266</v>
      </c>
      <c r="AC27" s="81">
        <f>IF(AC26&gt;0,100,-100)</f>
        <v>100</v>
      </c>
    </row>
    <row r="28" spans="1:29" x14ac:dyDescent="0.2">
      <c r="A28" s="6"/>
      <c r="B28" s="6"/>
      <c r="C28" s="6"/>
      <c r="D28" s="6"/>
      <c r="E28" s="11"/>
      <c r="F28" s="9"/>
      <c r="T28" s="6"/>
      <c r="U28" s="10"/>
      <c r="V28" s="80">
        <f>BP_AV!G21</f>
        <v>1610490</v>
      </c>
      <c r="W28" s="80">
        <f>BP_AV!E21</f>
        <v>1263158</v>
      </c>
      <c r="X28" s="80">
        <f>BP_AV!C21</f>
        <v>1193515</v>
      </c>
      <c r="Y28" s="6"/>
      <c r="Z28" s="9"/>
      <c r="AA28" s="193" t="s">
        <v>175</v>
      </c>
      <c r="AB28" s="193"/>
      <c r="AC28" s="193"/>
    </row>
    <row r="29" spans="1:29" x14ac:dyDescent="0.2">
      <c r="A29" s="6"/>
      <c r="B29" s="6"/>
      <c r="C29" s="6"/>
      <c r="D29" s="6"/>
      <c r="E29" s="11"/>
      <c r="F29" s="6"/>
      <c r="T29" s="6"/>
      <c r="U29" s="9"/>
      <c r="V29" s="81">
        <f>V28*X29/X28</f>
        <v>134.9367205271823</v>
      </c>
      <c r="W29" s="81">
        <f>W28*X29/X28</f>
        <v>105.83511727963202</v>
      </c>
      <c r="X29" s="81">
        <f>IF(X28&gt;0,100,-100)</f>
        <v>100</v>
      </c>
      <c r="Y29" s="6"/>
      <c r="Z29" s="10"/>
      <c r="AA29" s="80">
        <f>BP_AV!G88</f>
        <v>-1635521</v>
      </c>
      <c r="AB29" s="80">
        <f>BP_AV!E88</f>
        <v>-1459378</v>
      </c>
      <c r="AC29" s="80">
        <f>BP_AV!C88</f>
        <v>-1517580</v>
      </c>
    </row>
    <row r="30" spans="1:29" x14ac:dyDescent="0.2">
      <c r="A30" s="6"/>
      <c r="B30" s="6"/>
      <c r="C30" s="6"/>
      <c r="D30" s="6"/>
      <c r="E30" s="11"/>
      <c r="F30" s="6"/>
      <c r="T30" s="6"/>
      <c r="U30" s="9"/>
      <c r="V30" s="193" t="s">
        <v>127</v>
      </c>
      <c r="W30" s="193"/>
      <c r="X30" s="193"/>
      <c r="Y30" s="6"/>
      <c r="Z30" s="6"/>
      <c r="AA30" s="81">
        <f>AA29*AC30/AC29</f>
        <v>-107.77164960002109</v>
      </c>
      <c r="AB30" s="81">
        <f>AB29*AC30/AC29</f>
        <v>-96.164815034462762</v>
      </c>
      <c r="AC30" s="81">
        <f>IF(AC29&gt;0,100,-100)</f>
        <v>-100</v>
      </c>
    </row>
    <row r="31" spans="1:29" x14ac:dyDescent="0.2">
      <c r="A31" s="6"/>
      <c r="B31" s="6"/>
      <c r="C31" s="6"/>
      <c r="D31" s="6"/>
      <c r="E31" s="11"/>
      <c r="F31" s="6"/>
      <c r="T31" s="6"/>
      <c r="U31" s="10"/>
      <c r="V31" s="80">
        <f>BP_AV!G22</f>
        <v>0</v>
      </c>
      <c r="W31" s="80">
        <f>BP_AV!E22</f>
        <v>0</v>
      </c>
      <c r="X31" s="80">
        <f>BP_AV!C22</f>
        <v>0</v>
      </c>
    </row>
    <row r="32" spans="1:29" x14ac:dyDescent="0.2">
      <c r="A32" s="6"/>
      <c r="B32" s="6"/>
      <c r="C32" s="6"/>
      <c r="D32" s="6"/>
      <c r="E32" s="11"/>
      <c r="F32" s="6"/>
      <c r="G32" s="6"/>
      <c r="H32" s="6"/>
      <c r="I32" s="6"/>
      <c r="O32" s="6"/>
      <c r="P32" s="6"/>
      <c r="Q32" s="193" t="s">
        <v>102</v>
      </c>
      <c r="R32" s="193"/>
      <c r="S32" s="193"/>
      <c r="T32" s="6"/>
      <c r="V32" s="81" t="e">
        <f>V31*X32/X31</f>
        <v>#DIV/0!</v>
      </c>
      <c r="W32" s="81" t="e">
        <f>W31*X32/X31</f>
        <v>#DIV/0!</v>
      </c>
      <c r="X32" s="81">
        <f>IF(X31&gt;0,100,-100)</f>
        <v>-100</v>
      </c>
      <c r="Z32" s="6"/>
      <c r="AA32" s="193" t="s">
        <v>129</v>
      </c>
      <c r="AB32" s="193"/>
      <c r="AC32" s="193"/>
    </row>
    <row r="33" spans="1:29" x14ac:dyDescent="0.2">
      <c r="A33" s="6"/>
      <c r="B33" s="6"/>
      <c r="C33" s="6"/>
      <c r="D33" s="6"/>
      <c r="E33" s="11"/>
      <c r="F33" s="6"/>
      <c r="G33" s="6"/>
      <c r="H33" s="6"/>
      <c r="I33" s="6"/>
      <c r="O33" s="6"/>
      <c r="P33" s="8"/>
      <c r="Q33" s="80">
        <f>DRE_AV!G14</f>
        <v>11746765</v>
      </c>
      <c r="R33" s="80">
        <f>DRE_AV!E14</f>
        <v>10871275</v>
      </c>
      <c r="S33" s="80">
        <f>DRE_AV!C14</f>
        <v>9380625</v>
      </c>
      <c r="T33" s="6"/>
      <c r="U33" s="6"/>
      <c r="V33" s="193" t="s">
        <v>130</v>
      </c>
      <c r="W33" s="193"/>
      <c r="X33" s="193"/>
      <c r="Y33" s="6"/>
      <c r="Z33" s="8"/>
      <c r="AA33" s="80">
        <f>DRE_AV!G18</f>
        <v>-731155</v>
      </c>
      <c r="AB33" s="80">
        <f>DRE_AV!E18</f>
        <v>-601119</v>
      </c>
      <c r="AC33" s="80">
        <f>DRE_AV!C18</f>
        <v>-657010</v>
      </c>
    </row>
    <row r="34" spans="1:29" x14ac:dyDescent="0.2">
      <c r="A34" s="6"/>
      <c r="B34" s="6"/>
      <c r="C34" s="6"/>
      <c r="D34" s="6"/>
      <c r="E34" s="11"/>
      <c r="F34" s="6"/>
      <c r="G34" s="6"/>
      <c r="H34" s="6"/>
      <c r="I34" s="6"/>
      <c r="O34" s="6"/>
      <c r="P34" s="9"/>
      <c r="Q34" s="81">
        <f>Q33*S34/S33</f>
        <v>125.22369245119594</v>
      </c>
      <c r="R34" s="81">
        <f>R33*S34/S33</f>
        <v>115.89073222733028</v>
      </c>
      <c r="S34" s="81">
        <f>IF(S33&gt;0,100,-100)</f>
        <v>100</v>
      </c>
      <c r="T34" s="6"/>
      <c r="U34" s="8"/>
      <c r="V34" s="80">
        <f>DRE_AV!G15</f>
        <v>-9339709</v>
      </c>
      <c r="W34" s="80">
        <f>DRE_AV!E15</f>
        <v>-8759483</v>
      </c>
      <c r="X34" s="80">
        <f>DRE_AV!C15</f>
        <v>-7582662</v>
      </c>
      <c r="Y34" s="6"/>
      <c r="Z34" s="9"/>
      <c r="AA34" s="81">
        <f>AA33*AC34/AC33</f>
        <v>-111.28521635895953</v>
      </c>
      <c r="AB34" s="81">
        <f>AB33*AC34/AC33</f>
        <v>-91.493127958478567</v>
      </c>
      <c r="AC34" s="81">
        <f>IF(AC33&gt;0,100,-100)</f>
        <v>-100</v>
      </c>
    </row>
    <row r="35" spans="1:29" x14ac:dyDescent="0.2">
      <c r="A35" s="6"/>
      <c r="B35" s="6"/>
      <c r="C35" s="6"/>
      <c r="D35" s="6"/>
      <c r="E35" s="11"/>
      <c r="O35" s="6"/>
      <c r="P35" s="9"/>
      <c r="Q35" s="6"/>
      <c r="R35" s="6"/>
      <c r="S35" s="6"/>
      <c r="T35" s="6"/>
      <c r="U35" s="9"/>
      <c r="V35" s="81">
        <f>V34*X35/X34</f>
        <v>-123.17190189935936</v>
      </c>
      <c r="W35" s="81">
        <f>W34*X35/X34</f>
        <v>-115.51989261818606</v>
      </c>
      <c r="X35" s="81">
        <f>IF(X34&gt;0,100,-100)</f>
        <v>-100</v>
      </c>
      <c r="Y35" s="6"/>
      <c r="Z35" s="9"/>
      <c r="AA35" s="194" t="s">
        <v>176</v>
      </c>
      <c r="AB35" s="193"/>
      <c r="AC35" s="193"/>
    </row>
    <row r="36" spans="1:29" x14ac:dyDescent="0.2">
      <c r="A36" s="6"/>
      <c r="B36" s="6"/>
      <c r="C36" s="6"/>
      <c r="D36" s="6"/>
      <c r="E36" s="11"/>
      <c r="O36" s="6"/>
      <c r="P36" s="9"/>
      <c r="Q36" s="6"/>
      <c r="R36" s="6"/>
      <c r="S36" s="6"/>
      <c r="T36" s="6"/>
      <c r="U36" s="9"/>
      <c r="V36" s="7" t="s">
        <v>131</v>
      </c>
      <c r="W36" s="7"/>
      <c r="X36" s="7"/>
      <c r="Y36" s="6"/>
      <c r="Z36" s="10"/>
      <c r="AA36" s="80">
        <f>DRE_AV!G19</f>
        <v>-425296</v>
      </c>
      <c r="AB36" s="80">
        <f>DRE_AV!E19</f>
        <v>-376199</v>
      </c>
      <c r="AC36" s="80">
        <f>DRE_AV!C19</f>
        <v>-346061</v>
      </c>
    </row>
    <row r="37" spans="1:29" x14ac:dyDescent="0.2">
      <c r="A37" s="6"/>
      <c r="B37" s="6"/>
      <c r="C37" s="6"/>
      <c r="D37" s="6"/>
      <c r="E37" s="11"/>
      <c r="J37" s="6"/>
      <c r="K37" s="6"/>
      <c r="L37" s="193" t="s">
        <v>132</v>
      </c>
      <c r="M37" s="193"/>
      <c r="N37" s="193"/>
      <c r="O37" s="6"/>
      <c r="P37" s="9"/>
      <c r="Q37" s="6"/>
      <c r="R37" s="6"/>
      <c r="S37" s="6"/>
      <c r="U37" s="9"/>
      <c r="V37" s="194" t="s">
        <v>133</v>
      </c>
      <c r="W37" s="193"/>
      <c r="X37" s="193"/>
      <c r="Y37" s="6"/>
      <c r="Z37" s="9"/>
      <c r="AA37" s="81">
        <f>AA36*AC37/AC36</f>
        <v>-122.89625239480901</v>
      </c>
      <c r="AB37" s="81">
        <f>AB36*AC37/AC36</f>
        <v>-108.70886924559542</v>
      </c>
      <c r="AC37" s="81">
        <f>IF(AC36&gt;0,100,-100)</f>
        <v>-100</v>
      </c>
    </row>
    <row r="38" spans="1:29" x14ac:dyDescent="0.2">
      <c r="A38" s="6"/>
      <c r="B38" s="6"/>
      <c r="C38" s="6"/>
      <c r="D38" s="6"/>
      <c r="E38" s="11"/>
      <c r="J38" s="6"/>
      <c r="K38" s="8"/>
      <c r="L38" s="80">
        <f>DRE_AV!G31</f>
        <v>448043</v>
      </c>
      <c r="M38" s="80">
        <f>DRE_AV!E31</f>
        <v>427163</v>
      </c>
      <c r="N38" s="80">
        <f>DRE_AV!C31</f>
        <v>471936</v>
      </c>
      <c r="O38" s="8"/>
      <c r="P38" s="9"/>
      <c r="Q38" s="7" t="s">
        <v>134</v>
      </c>
      <c r="R38" s="7"/>
      <c r="S38" s="7"/>
      <c r="U38" s="10"/>
      <c r="V38" s="80">
        <f>DRE_AV!G17</f>
        <v>-1294560</v>
      </c>
      <c r="W38" s="80">
        <f>DRE_AV!E17</f>
        <v>-1345052</v>
      </c>
      <c r="X38" s="80">
        <f>DRE_AV!C17</f>
        <v>-1112443</v>
      </c>
      <c r="Y38" s="8"/>
      <c r="Z38" s="9"/>
      <c r="AA38" s="193" t="s">
        <v>177</v>
      </c>
      <c r="AB38" s="193"/>
      <c r="AC38" s="193"/>
    </row>
    <row r="39" spans="1:29" x14ac:dyDescent="0.2">
      <c r="A39" s="6"/>
      <c r="B39" s="6"/>
      <c r="C39" s="6"/>
      <c r="D39" s="6"/>
      <c r="E39" s="11"/>
      <c r="F39" s="6"/>
      <c r="G39" s="6"/>
      <c r="H39" s="6"/>
      <c r="I39" s="6"/>
      <c r="J39" s="6"/>
      <c r="K39" s="9"/>
      <c r="L39" s="81">
        <f>L38*N39/N38</f>
        <v>94.937237252508808</v>
      </c>
      <c r="M39" s="81">
        <f>M38*N39/N38</f>
        <v>90.512908529970161</v>
      </c>
      <c r="N39" s="81">
        <f>IF(N38&gt;0,100,-100)</f>
        <v>100</v>
      </c>
      <c r="O39" s="6"/>
      <c r="P39" s="9"/>
      <c r="Q39" s="6"/>
      <c r="R39" s="6"/>
      <c r="S39" s="6"/>
      <c r="U39" s="9"/>
      <c r="V39" s="81">
        <f>V38*X39/X38</f>
        <v>-116.37090619474436</v>
      </c>
      <c r="W39" s="81">
        <f>W38*X39/X38</f>
        <v>-120.90974548808343</v>
      </c>
      <c r="X39" s="81">
        <f>IF(X38&gt;0,100,-100)</f>
        <v>-100</v>
      </c>
      <c r="Y39" s="6"/>
      <c r="Z39" s="10"/>
      <c r="AA39" s="80">
        <f>DRE_AV!G20</f>
        <v>-138109</v>
      </c>
      <c r="AB39" s="80">
        <f>DRE_AV!E20</f>
        <v>-367734</v>
      </c>
      <c r="AC39" s="80">
        <f>DRE_AV!C20</f>
        <v>-109372</v>
      </c>
    </row>
    <row r="40" spans="1:29" x14ac:dyDescent="0.2">
      <c r="A40" s="6"/>
      <c r="B40" s="6"/>
      <c r="C40" s="6"/>
      <c r="D40" s="6"/>
      <c r="E40" s="11"/>
      <c r="F40" s="6"/>
      <c r="G40" s="191" t="s">
        <v>135</v>
      </c>
      <c r="H40" s="191"/>
      <c r="I40" s="191"/>
      <c r="J40" s="6"/>
      <c r="K40" s="9"/>
      <c r="L40" s="6"/>
      <c r="M40" s="6"/>
      <c r="N40" s="6"/>
      <c r="O40" s="6"/>
      <c r="P40" s="9"/>
      <c r="Q40" s="6"/>
      <c r="R40" s="6"/>
      <c r="S40" s="6"/>
      <c r="T40" s="6"/>
      <c r="U40" s="1"/>
      <c r="V40" s="7" t="s">
        <v>136</v>
      </c>
      <c r="W40" s="7"/>
      <c r="X40" s="7"/>
      <c r="Z40" s="6"/>
      <c r="AA40" s="81">
        <f>AA39*AC40/AC39</f>
        <v>-126.27454924477928</v>
      </c>
      <c r="AB40" s="81">
        <f>AB39*AC40/AC39</f>
        <v>-336.22316497823942</v>
      </c>
      <c r="AC40" s="81">
        <f>IF(AC39&gt;0,100,-100)</f>
        <v>-100</v>
      </c>
    </row>
    <row r="41" spans="1:29" x14ac:dyDescent="0.2">
      <c r="A41" s="6"/>
      <c r="B41" s="6"/>
      <c r="C41" s="6"/>
      <c r="D41" s="6"/>
      <c r="E41" s="11"/>
      <c r="F41" s="6"/>
      <c r="G41" s="78">
        <f>G11</f>
        <v>2008</v>
      </c>
      <c r="H41" s="78">
        <f>H11</f>
        <v>2009</v>
      </c>
      <c r="I41" s="78">
        <f>I11</f>
        <v>2010</v>
      </c>
      <c r="J41" s="6"/>
      <c r="K41" s="9"/>
      <c r="L41" s="6"/>
      <c r="M41" s="6"/>
      <c r="N41" s="6"/>
      <c r="O41" s="6"/>
      <c r="P41" s="9"/>
      <c r="Q41" s="193" t="s">
        <v>172</v>
      </c>
      <c r="R41" s="193"/>
      <c r="S41" s="193"/>
      <c r="U41" s="9"/>
      <c r="V41" s="193" t="s">
        <v>137</v>
      </c>
      <c r="W41" s="193"/>
      <c r="X41" s="193"/>
    </row>
    <row r="42" spans="1:29" x14ac:dyDescent="0.2">
      <c r="A42" s="6"/>
      <c r="B42" s="6"/>
      <c r="C42" s="6"/>
      <c r="D42" s="6"/>
      <c r="E42" s="11"/>
      <c r="F42" s="8"/>
      <c r="G42" s="81">
        <f>L38/L46*100</f>
        <v>3.8141820322446223</v>
      </c>
      <c r="H42" s="81">
        <f>M38/M46*100</f>
        <v>3.9292815240162726</v>
      </c>
      <c r="I42" s="81">
        <f>N38/N46*100</f>
        <v>5.0309654207475507</v>
      </c>
      <c r="J42" s="8"/>
      <c r="K42" s="9"/>
      <c r="L42" s="7" t="s">
        <v>138</v>
      </c>
      <c r="M42" s="7"/>
      <c r="N42" s="7"/>
      <c r="O42" s="6"/>
      <c r="P42" s="10"/>
      <c r="Q42" s="80">
        <f>-(Q33-L38)</f>
        <v>-11298722</v>
      </c>
      <c r="R42" s="80">
        <f>-(R33-M38)</f>
        <v>-10444112</v>
      </c>
      <c r="S42" s="80">
        <f>-(S33-N38)</f>
        <v>-8908689</v>
      </c>
      <c r="T42" s="8"/>
      <c r="U42" s="10"/>
      <c r="V42" s="80">
        <f>DRE_AV!G22</f>
        <v>-40487</v>
      </c>
      <c r="W42" s="80">
        <f>DRE_AV!E22</f>
        <v>16301</v>
      </c>
      <c r="X42" s="80">
        <f>DRE_AV!C22</f>
        <v>30885</v>
      </c>
      <c r="Z42" s="6"/>
      <c r="AA42" s="193" t="s">
        <v>178</v>
      </c>
      <c r="AB42" s="193"/>
      <c r="AC42" s="193"/>
    </row>
    <row r="43" spans="1:29" x14ac:dyDescent="0.2">
      <c r="A43" s="6"/>
      <c r="B43" s="6"/>
      <c r="C43" s="6"/>
      <c r="D43" s="6"/>
      <c r="E43" s="6"/>
      <c r="F43" s="6"/>
      <c r="G43" s="81">
        <f>G42*I43/I42</f>
        <v>75.81411743589112</v>
      </c>
      <c r="H43" s="81">
        <f>H42*I43/I42</f>
        <v>78.101938602321397</v>
      </c>
      <c r="I43" s="81">
        <f>IF(I42&gt;0,100,-100)</f>
        <v>100</v>
      </c>
      <c r="J43" s="6"/>
      <c r="K43" s="9"/>
      <c r="L43" s="6"/>
      <c r="M43" s="6"/>
      <c r="N43" s="6"/>
      <c r="O43" s="6"/>
      <c r="P43" s="6"/>
      <c r="Q43" s="81">
        <f>Q42*S43/S42</f>
        <v>-126.82811129673513</v>
      </c>
      <c r="R43" s="81">
        <f>R42*S43/S42</f>
        <v>-117.23511731075133</v>
      </c>
      <c r="S43" s="81">
        <f>IF(S42&gt;0,100,-100)</f>
        <v>-100</v>
      </c>
      <c r="T43" s="6"/>
      <c r="U43" s="9"/>
      <c r="V43" s="81">
        <f>V42*X43/X42</f>
        <v>-131.08952565970534</v>
      </c>
      <c r="W43" s="81">
        <f>W42*X43/X42</f>
        <v>52.779666504775783</v>
      </c>
      <c r="X43" s="81">
        <f>IF(X42&gt;0,100,-100)</f>
        <v>100</v>
      </c>
      <c r="Z43" s="8"/>
      <c r="AA43" s="80">
        <f>DRE_AV!G25</f>
        <v>0</v>
      </c>
      <c r="AB43" s="80">
        <f>DRE_AV!E25</f>
        <v>0</v>
      </c>
      <c r="AC43" s="80">
        <f>DRE_AV!C25</f>
        <v>0</v>
      </c>
    </row>
    <row r="44" spans="1:29" x14ac:dyDescent="0.2">
      <c r="A44" s="6"/>
      <c r="B44" s="6"/>
      <c r="C44" s="6"/>
      <c r="D44" s="6"/>
      <c r="E44" s="6"/>
      <c r="J44" s="6"/>
      <c r="K44" s="9"/>
      <c r="L44" s="6"/>
      <c r="M44" s="6"/>
      <c r="N44" s="6"/>
      <c r="O44" s="6"/>
      <c r="P44" s="6"/>
      <c r="Q44" s="6"/>
      <c r="R44" s="6"/>
      <c r="S44" s="6"/>
      <c r="T44" s="6"/>
      <c r="U44" s="9"/>
      <c r="V44" s="7" t="s">
        <v>136</v>
      </c>
      <c r="W44" s="7"/>
      <c r="X44" s="7"/>
      <c r="Y44" s="6"/>
      <c r="Z44" s="9"/>
      <c r="AA44" s="81" t="e">
        <f>AA43*AC44/AC43</f>
        <v>#DIV/0!</v>
      </c>
      <c r="AB44" s="81" t="e">
        <f>AB43*AC44/AC43</f>
        <v>#DIV/0!</v>
      </c>
      <c r="AC44" s="81">
        <f>IF(AC43&gt;0,100,-100)</f>
        <v>-100</v>
      </c>
    </row>
    <row r="45" spans="1:29" x14ac:dyDescent="0.2">
      <c r="J45" s="6"/>
      <c r="K45" s="9"/>
      <c r="L45" s="193" t="s">
        <v>102</v>
      </c>
      <c r="M45" s="193"/>
      <c r="N45" s="193"/>
      <c r="U45" s="9"/>
      <c r="V45" s="193" t="s">
        <v>139</v>
      </c>
      <c r="W45" s="193"/>
      <c r="X45" s="193"/>
      <c r="Y45" s="6"/>
      <c r="Z45" s="9"/>
      <c r="AA45" s="193" t="s">
        <v>140</v>
      </c>
      <c r="AB45" s="193"/>
      <c r="AC45" s="193"/>
    </row>
    <row r="46" spans="1:29" x14ac:dyDescent="0.2">
      <c r="J46" s="6"/>
      <c r="K46" s="10"/>
      <c r="L46" s="80">
        <f>DRE_AV!G14</f>
        <v>11746765</v>
      </c>
      <c r="M46" s="80">
        <f>DRE_AV!E14</f>
        <v>10871275</v>
      </c>
      <c r="N46" s="80">
        <f>DRE_AV!C14</f>
        <v>9380625</v>
      </c>
      <c r="U46" s="10"/>
      <c r="V46" s="80">
        <f>DRE_AV!G25+DRE_AV!G26</f>
        <v>0</v>
      </c>
      <c r="W46" s="80">
        <f>DRE_AV!E25+DRE_AV!E26</f>
        <v>0</v>
      </c>
      <c r="X46" s="80">
        <f>DRE_AV!C25+DRE_AV!C26</f>
        <v>0</v>
      </c>
      <c r="Y46" s="8"/>
      <c r="Z46" s="10"/>
      <c r="AA46" s="80">
        <f>DRE_AV!G26</f>
        <v>0</v>
      </c>
      <c r="AB46" s="80">
        <f>DRE_AV!E26</f>
        <v>0</v>
      </c>
      <c r="AC46" s="80">
        <f>DRE_AV!C26</f>
        <v>0</v>
      </c>
    </row>
    <row r="47" spans="1:29" x14ac:dyDescent="0.2">
      <c r="J47" s="6"/>
      <c r="K47" s="6"/>
      <c r="L47" s="81">
        <f>L46*N47/N46</f>
        <v>125.22369245119594</v>
      </c>
      <c r="M47" s="81">
        <f>M46*N47/N46</f>
        <v>115.89073222733028</v>
      </c>
      <c r="N47" s="81">
        <f>IF(N46&gt;0,100,-100)</f>
        <v>100</v>
      </c>
      <c r="T47" s="5"/>
      <c r="U47" s="6"/>
      <c r="V47" s="81" t="e">
        <f>V46*X47/X46</f>
        <v>#DIV/0!</v>
      </c>
      <c r="W47" s="81" t="e">
        <f>W46*X47/X46</f>
        <v>#DIV/0!</v>
      </c>
      <c r="X47" s="81">
        <f>IF(X46&gt;0,100,-100)</f>
        <v>-100</v>
      </c>
      <c r="Y47" s="6"/>
      <c r="Z47" s="6"/>
      <c r="AA47" s="81" t="e">
        <f>AA46*AC47/AC46</f>
        <v>#DIV/0!</v>
      </c>
      <c r="AB47" s="81" t="e">
        <f>AB46*AC47/AC46</f>
        <v>#DIV/0!</v>
      </c>
      <c r="AC47" s="81">
        <f>IF(AC46&gt;0,100,-100)</f>
        <v>-100</v>
      </c>
    </row>
    <row r="48" spans="1:29" x14ac:dyDescent="0.2">
      <c r="T48" s="5"/>
      <c r="V48" s="7" t="s">
        <v>136</v>
      </c>
      <c r="W48" s="7"/>
      <c r="X48" s="7"/>
    </row>
    <row r="49" spans="20:29" x14ac:dyDescent="0.2">
      <c r="T49" s="5"/>
      <c r="V49" s="193" t="s">
        <v>141</v>
      </c>
      <c r="W49" s="193"/>
      <c r="X49" s="193"/>
      <c r="Z49" s="6"/>
      <c r="AA49" s="193" t="s">
        <v>139</v>
      </c>
      <c r="AB49" s="193"/>
      <c r="AC49" s="193"/>
    </row>
    <row r="50" spans="20:29" x14ac:dyDescent="0.2">
      <c r="T50" s="5"/>
      <c r="U50" s="4"/>
      <c r="V50" s="80">
        <f>DRE_AV!G27+DRE_AV!G29+DRE_AV!G30</f>
        <v>-623966</v>
      </c>
      <c r="W50" s="80">
        <f>DRE_AV!E27+DRE_AV!E29+DRE_AV!E30</f>
        <v>-355878</v>
      </c>
      <c r="X50" s="80">
        <f>DRE_AV!C27+DRE_AV!C29+DRE_AV!C30</f>
        <v>-244469</v>
      </c>
      <c r="Y50" s="4"/>
      <c r="Z50" s="8"/>
      <c r="AA50" s="80">
        <f>DRE_AV!G27</f>
        <v>-188830</v>
      </c>
      <c r="AB50" s="80">
        <f>DRE_AV!E27</f>
        <v>-135824</v>
      </c>
      <c r="AC50" s="80">
        <f>DRE_AV!C27</f>
        <v>-1350</v>
      </c>
    </row>
    <row r="51" spans="20:29" x14ac:dyDescent="0.2">
      <c r="V51" s="81">
        <f>V50*X51/X50</f>
        <v>-255.23317884885199</v>
      </c>
      <c r="W51" s="81">
        <f>W50*X51/X50</f>
        <v>-145.57183119332103</v>
      </c>
      <c r="X51" s="81">
        <f>IF(X50&gt;0,100,-100)</f>
        <v>-100</v>
      </c>
      <c r="Z51" s="9"/>
      <c r="AA51" s="81">
        <f>AA50*AC51/AC50</f>
        <v>-13987.407407407407</v>
      </c>
      <c r="AB51" s="81">
        <f>AB50*AC51/AC50</f>
        <v>-10061.037037037036</v>
      </c>
      <c r="AC51" s="81">
        <f>IF(AC50&gt;0,100,-100)</f>
        <v>-100</v>
      </c>
    </row>
    <row r="52" spans="20:29" x14ac:dyDescent="0.2">
      <c r="Z52" s="9"/>
      <c r="AA52" s="193" t="s">
        <v>142</v>
      </c>
      <c r="AB52" s="193"/>
      <c r="AC52" s="193"/>
    </row>
    <row r="53" spans="20:29" x14ac:dyDescent="0.2">
      <c r="Z53" s="10"/>
      <c r="AA53" s="80">
        <f>DRE_AV!G29+DRE_AV!G30</f>
        <v>-435136</v>
      </c>
      <c r="AB53" s="80">
        <f>DRE_AV!E29+DRE_AV!E30</f>
        <v>-220054</v>
      </c>
      <c r="AC53" s="80">
        <f>DRE_AV!C29+DRE_AV!C30</f>
        <v>-243119</v>
      </c>
    </row>
    <row r="54" spans="20:29" x14ac:dyDescent="0.2">
      <c r="Z54" s="6"/>
      <c r="AA54" s="81">
        <f>AA53*AC54/AC53</f>
        <v>-178.98066379016038</v>
      </c>
      <c r="AB54" s="81">
        <f>AB53*AC54/AC53</f>
        <v>-90.512876410317574</v>
      </c>
      <c r="AC54" s="81">
        <f>IF(AC53&gt;0,100,-100)</f>
        <v>-100</v>
      </c>
    </row>
  </sheetData>
  <sheetProtection password="B80E" sheet="1" objects="1" scenarios="1"/>
  <phoneticPr fontId="0" type="noConversion"/>
  <pageMargins left="0.19685039370078741" right="0.19685039370078741" top="1.3779527559055118" bottom="0.78740157480314965" header="0.51181102362204722" footer="0.51181102362204722"/>
  <pageSetup paperSize="9" scale="60" orientation="landscape" horizontalDpi="4294967292" verticalDpi="36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C54"/>
  <sheetViews>
    <sheetView workbookViewId="0">
      <selection activeCell="G11" sqref="G11"/>
    </sheetView>
  </sheetViews>
  <sheetFormatPr defaultColWidth="12" defaultRowHeight="12.75" x14ac:dyDescent="0.2"/>
  <cols>
    <col min="1" max="1" width="6" customWidth="1"/>
    <col min="2" max="4" width="10.83203125" customWidth="1"/>
    <col min="5" max="6" width="2.83203125" customWidth="1"/>
    <col min="7" max="9" width="10.83203125" customWidth="1"/>
    <col min="10" max="11" width="2.83203125" customWidth="1"/>
    <col min="12" max="14" width="13.83203125" customWidth="1"/>
    <col min="15" max="16" width="2.83203125" customWidth="1"/>
    <col min="17" max="19" width="13.83203125" customWidth="1"/>
    <col min="20" max="21" width="2.83203125" customWidth="1"/>
    <col min="22" max="24" width="13.83203125" customWidth="1"/>
    <col min="25" max="26" width="2.83203125" customWidth="1"/>
    <col min="27" max="29" width="13.83203125" customWidth="1"/>
  </cols>
  <sheetData>
    <row r="1" spans="1:29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193" t="s">
        <v>100</v>
      </c>
      <c r="R1" s="193"/>
      <c r="S1" s="193"/>
      <c r="T1" s="6"/>
      <c r="U1" s="6"/>
      <c r="V1" s="193" t="s">
        <v>101</v>
      </c>
      <c r="W1" s="193"/>
      <c r="X1" s="193"/>
      <c r="Y1" s="6"/>
      <c r="Z1" s="6"/>
      <c r="AA1" s="14" t="s">
        <v>1</v>
      </c>
      <c r="AB1" s="7"/>
      <c r="AC1" s="7"/>
    </row>
    <row r="2" spans="1:29" x14ac:dyDescent="0.2">
      <c r="A2" s="6"/>
      <c r="B2" s="7" t="str">
        <f>BP_AV!A2</f>
        <v>EMPRESA : EMBRAER S.A.</v>
      </c>
      <c r="C2" s="7"/>
      <c r="D2" s="7"/>
      <c r="E2" s="7"/>
      <c r="F2" s="7"/>
      <c r="G2" s="7"/>
      <c r="H2" s="7"/>
      <c r="I2" s="6"/>
      <c r="J2" s="6"/>
      <c r="K2" s="6"/>
      <c r="L2" s="6"/>
      <c r="M2" s="6"/>
      <c r="N2" s="6"/>
      <c r="O2" s="6"/>
      <c r="P2" s="8"/>
      <c r="Q2" s="80">
        <f>DRE_AV!G10</f>
        <v>11881608</v>
      </c>
      <c r="R2" s="80">
        <f>DRE_AV!E10</f>
        <v>10997789</v>
      </c>
      <c r="S2" s="80">
        <f>DRE_AV!C10</f>
        <v>9488512</v>
      </c>
      <c r="T2" s="8"/>
      <c r="U2" s="8"/>
      <c r="V2" s="80">
        <f>BP_AV!G75</f>
        <v>522065</v>
      </c>
      <c r="W2" s="80">
        <f>BP_AV!E75</f>
        <v>1208691</v>
      </c>
      <c r="X2" s="80">
        <f>BP_AV!C75</f>
        <v>1244968.5</v>
      </c>
      <c r="Y2" s="6"/>
      <c r="Z2" s="6"/>
      <c r="AA2" s="6"/>
      <c r="AB2" s="6"/>
      <c r="AC2" s="6"/>
    </row>
    <row r="3" spans="1:29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9"/>
      <c r="Q3" s="81">
        <f>Q2*S3/S2</f>
        <v>125.22098301609357</v>
      </c>
      <c r="R3" s="81">
        <f>R2*S3/S2</f>
        <v>115.90636129247663</v>
      </c>
      <c r="S3" s="81">
        <f>IF(S2&gt;0,100,-100)</f>
        <v>100</v>
      </c>
      <c r="T3" s="6"/>
      <c r="U3" s="9"/>
      <c r="V3" s="81">
        <f>V2*X3/X2</f>
        <v>41.933992707446009</v>
      </c>
      <c r="W3" s="81">
        <f>W2*X3/X2</f>
        <v>97.086070852395054</v>
      </c>
      <c r="X3" s="81">
        <f>IF(X2&gt;0,100,-100)</f>
        <v>100</v>
      </c>
      <c r="Y3" s="6"/>
      <c r="Z3" s="6"/>
      <c r="AA3" s="6"/>
      <c r="AB3" s="6"/>
      <c r="AC3" s="6"/>
    </row>
    <row r="4" spans="1:29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193" t="s">
        <v>102</v>
      </c>
      <c r="M4" s="193"/>
      <c r="N4" s="193"/>
      <c r="O4" s="6"/>
      <c r="P4" s="9"/>
      <c r="Q4" s="6"/>
      <c r="R4" s="6"/>
      <c r="S4" s="6"/>
      <c r="T4" s="6"/>
      <c r="U4" s="9"/>
      <c r="V4" s="194" t="s">
        <v>103</v>
      </c>
      <c r="W4" s="193"/>
      <c r="X4" s="193"/>
      <c r="Y4" s="6"/>
      <c r="Z4" s="6"/>
      <c r="AA4" s="6"/>
      <c r="AB4" s="6"/>
      <c r="AC4" s="6"/>
    </row>
    <row r="5" spans="1:29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8"/>
      <c r="L5" s="80">
        <f>DRE_AV!C14</f>
        <v>9380625</v>
      </c>
      <c r="M5" s="80">
        <f>DRE_AV!E14</f>
        <v>10871275</v>
      </c>
      <c r="N5" s="80">
        <f>DRE_AV!G14</f>
        <v>11746765</v>
      </c>
      <c r="O5" s="8"/>
      <c r="P5" s="9"/>
      <c r="Q5" s="7" t="s">
        <v>104</v>
      </c>
      <c r="R5" s="7"/>
      <c r="S5" s="7"/>
      <c r="T5" s="6"/>
      <c r="U5" s="10"/>
      <c r="V5" s="80">
        <f>BP_AV!G76</f>
        <v>11359543</v>
      </c>
      <c r="W5" s="80">
        <f>BP_AV!E76</f>
        <v>9789098</v>
      </c>
      <c r="X5" s="80">
        <f>BP_AV!C76</f>
        <v>8243543.5</v>
      </c>
      <c r="Y5" s="6"/>
      <c r="Z5" s="6"/>
      <c r="AA5" s="6"/>
      <c r="AB5" s="6"/>
      <c r="AC5" s="6"/>
    </row>
    <row r="6" spans="1:29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9"/>
      <c r="L6" s="81">
        <f>L5*N6/N5</f>
        <v>79.857092569741539</v>
      </c>
      <c r="M6" s="81">
        <f>M5*N6/N5</f>
        <v>92.546969314530429</v>
      </c>
      <c r="N6" s="81">
        <f>IF(N5&gt;0,100,-100)</f>
        <v>100</v>
      </c>
      <c r="O6" s="6"/>
      <c r="P6" s="9"/>
      <c r="Q6" s="6"/>
      <c r="R6" s="6"/>
      <c r="S6" s="6"/>
      <c r="T6" s="6"/>
      <c r="U6" s="6"/>
      <c r="V6" s="81">
        <f>V5*X6/X5</f>
        <v>137.79927284910912</v>
      </c>
      <c r="W6" s="81">
        <f>W5*X6/X5</f>
        <v>118.74866675962831</v>
      </c>
      <c r="X6" s="81">
        <f>IF(X5&gt;0,100,-100)</f>
        <v>100</v>
      </c>
      <c r="Y6" s="6"/>
      <c r="Z6" s="6"/>
      <c r="AA6" s="193" t="s">
        <v>156</v>
      </c>
      <c r="AB6" s="193"/>
      <c r="AC6" s="193"/>
    </row>
    <row r="7" spans="1:29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9"/>
      <c r="L7" s="6" t="s">
        <v>41</v>
      </c>
      <c r="M7" s="6"/>
      <c r="N7" s="6"/>
      <c r="O7" s="6"/>
      <c r="P7" s="9"/>
      <c r="Q7" s="193" t="s">
        <v>105</v>
      </c>
      <c r="R7" s="193"/>
      <c r="S7" s="193"/>
      <c r="T7" s="6"/>
      <c r="U7" s="6"/>
      <c r="V7" s="6"/>
      <c r="W7" s="6"/>
      <c r="X7" s="6"/>
      <c r="Z7" s="8"/>
      <c r="AA7" s="80">
        <f>BP_AV!G27</f>
        <v>2520208</v>
      </c>
      <c r="AB7" s="80">
        <f>BP_AV!E27</f>
        <v>1038345</v>
      </c>
      <c r="AC7" s="80">
        <f>BP_AV!C27</f>
        <v>1250029</v>
      </c>
    </row>
    <row r="8" spans="1:29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9"/>
      <c r="L8" s="6"/>
      <c r="M8" s="6"/>
      <c r="N8" s="6"/>
      <c r="O8" s="6"/>
      <c r="P8" s="10"/>
      <c r="Q8" s="80">
        <f>DRE_AV!G13</f>
        <v>-134843</v>
      </c>
      <c r="R8" s="80">
        <f>DRE_AV!E13</f>
        <v>-126514</v>
      </c>
      <c r="S8" s="80">
        <f>DRE_AV!C13</f>
        <v>-107887</v>
      </c>
      <c r="T8" s="6"/>
      <c r="Z8" s="9"/>
      <c r="AA8" s="81">
        <f>AA7*AC8/AC7</f>
        <v>201.61196260246763</v>
      </c>
      <c r="AB8" s="81">
        <f>AB7*AC8/AC7</f>
        <v>83.065672876389272</v>
      </c>
      <c r="AC8" s="81">
        <f>IF(AC7&gt;0,100,-100)</f>
        <v>100</v>
      </c>
    </row>
    <row r="9" spans="1:29" x14ac:dyDescent="0.2">
      <c r="A9" s="6"/>
      <c r="B9" s="6"/>
      <c r="C9" s="6"/>
      <c r="D9" s="6"/>
      <c r="E9" s="6"/>
      <c r="K9" s="9"/>
      <c r="L9" s="6"/>
      <c r="M9" s="6"/>
      <c r="N9" s="6"/>
      <c r="O9" s="6"/>
      <c r="P9" s="6"/>
      <c r="Q9" s="81">
        <f>Q8*S9/S8</f>
        <v>-124.98540139219739</v>
      </c>
      <c r="R9" s="81">
        <f>R8*S9/S8</f>
        <v>-117.26528682788474</v>
      </c>
      <c r="S9" s="81">
        <f>IF(S8&gt;0,100,-100)</f>
        <v>-100</v>
      </c>
      <c r="T9" s="6"/>
      <c r="Z9" s="9"/>
      <c r="AA9" s="193" t="s">
        <v>157</v>
      </c>
      <c r="AB9" s="193"/>
      <c r="AC9" s="193"/>
    </row>
    <row r="10" spans="1:29" x14ac:dyDescent="0.2">
      <c r="A10" s="6"/>
      <c r="B10" s="6"/>
      <c r="C10" s="6"/>
      <c r="D10" s="6"/>
      <c r="E10" s="6"/>
      <c r="F10" s="6"/>
      <c r="G10" s="191" t="s">
        <v>148</v>
      </c>
      <c r="H10" s="191"/>
      <c r="I10" s="191"/>
      <c r="J10" s="6"/>
      <c r="K10" s="9"/>
      <c r="O10" s="6"/>
      <c r="P10" s="6"/>
      <c r="Q10" s="6"/>
      <c r="R10" s="6"/>
      <c r="S10" s="6"/>
      <c r="T10" s="6"/>
      <c r="Y10" s="6"/>
      <c r="Z10" s="10"/>
      <c r="AA10" s="80">
        <f>BP_AV!G28+BP_AV!G29</f>
        <v>1039746</v>
      </c>
      <c r="AB10" s="80">
        <f>BP_AV!E28+BP_AV!E29</f>
        <v>519503</v>
      </c>
      <c r="AC10" s="80">
        <f>BP_AV!C28+BP_AV!C29</f>
        <v>648382</v>
      </c>
    </row>
    <row r="11" spans="1:29" x14ac:dyDescent="0.2">
      <c r="A11" s="6"/>
      <c r="B11" s="6"/>
      <c r="C11" s="6"/>
      <c r="D11" s="6"/>
      <c r="E11" s="6"/>
      <c r="F11" s="6"/>
      <c r="G11" s="78">
        <f>B25</f>
        <v>2008</v>
      </c>
      <c r="H11" s="78">
        <f>C25</f>
        <v>2009</v>
      </c>
      <c r="I11" s="78">
        <f>D25</f>
        <v>2010</v>
      </c>
      <c r="J11" s="6"/>
      <c r="K11" s="9"/>
      <c r="O11" s="6"/>
      <c r="T11" s="6"/>
      <c r="Y11" s="6"/>
      <c r="Z11" s="9"/>
      <c r="AA11" s="81">
        <f>AA10*AC11/AC10</f>
        <v>160.36009636294654</v>
      </c>
      <c r="AB11" s="81">
        <f>AB10*AC11/AC10</f>
        <v>80.122983056284724</v>
      </c>
      <c r="AC11" s="81">
        <f>IF(AC10&gt;0,100,-100)</f>
        <v>100</v>
      </c>
    </row>
    <row r="12" spans="1:29" x14ac:dyDescent="0.2">
      <c r="A12" s="6"/>
      <c r="B12" s="6"/>
      <c r="C12" s="6"/>
      <c r="D12" s="6"/>
      <c r="E12" s="6"/>
      <c r="F12" s="8"/>
      <c r="G12" s="81">
        <f>L5/L19</f>
        <v>1.5292772690036314</v>
      </c>
      <c r="H12" s="81">
        <f>M5/M19</f>
        <v>2.1656737343948338</v>
      </c>
      <c r="I12" s="81">
        <f>N5/N19</f>
        <v>2.2513054939124224</v>
      </c>
      <c r="J12" s="8"/>
      <c r="K12" s="9"/>
      <c r="L12" s="7" t="s">
        <v>110</v>
      </c>
      <c r="M12" s="7"/>
      <c r="N12" s="7"/>
      <c r="O12" s="6"/>
      <c r="P12" s="6"/>
      <c r="Q12" s="193" t="s">
        <v>117</v>
      </c>
      <c r="R12" s="193"/>
      <c r="S12" s="193"/>
      <c r="T12" s="6"/>
      <c r="Y12" s="6"/>
      <c r="Z12" s="9"/>
      <c r="AA12" s="193" t="s">
        <v>179</v>
      </c>
      <c r="AB12" s="193"/>
      <c r="AC12" s="193"/>
    </row>
    <row r="13" spans="1:29" x14ac:dyDescent="0.2">
      <c r="A13" s="6"/>
      <c r="B13" s="6"/>
      <c r="C13" s="6"/>
      <c r="D13" s="6"/>
      <c r="E13" s="6"/>
      <c r="F13" s="9"/>
      <c r="G13" s="81">
        <f>G12*I13/I12</f>
        <v>67.928465201139048</v>
      </c>
      <c r="H13" s="81">
        <f>H12*I13/I12</f>
        <v>96.196350972840492</v>
      </c>
      <c r="I13" s="81">
        <f>IF(I12&gt;0,100,-100)</f>
        <v>100</v>
      </c>
      <c r="J13" s="6"/>
      <c r="K13" s="9"/>
      <c r="L13" s="6" t="s">
        <v>41</v>
      </c>
      <c r="M13" s="6"/>
      <c r="N13" s="6"/>
      <c r="O13" s="6"/>
      <c r="P13" s="8"/>
      <c r="Q13" s="80">
        <f>BP_AV!G23</f>
        <v>21499170</v>
      </c>
      <c r="R13" s="80">
        <f>BP_AV!E23</f>
        <v>15478473</v>
      </c>
      <c r="S13" s="80">
        <f>BP_AV!C23</f>
        <v>13981014</v>
      </c>
      <c r="Y13" s="6"/>
      <c r="Z13" s="10"/>
      <c r="AA13" s="80">
        <f>BP_AV!G30+BP_AV!G33+BP_AV!G35+BP_AV!G34</f>
        <v>3470518</v>
      </c>
      <c r="AB13" s="80">
        <f>BP_AV!E30+BP_AV!E33+BP_AV!E35+BP_AV!E34</f>
        <v>2175358</v>
      </c>
      <c r="AC13" s="80">
        <f>BP_AV!C30+BP_AV!C33+BP_AV!C35+BP_AV!C34</f>
        <v>1942940</v>
      </c>
    </row>
    <row r="14" spans="1:29" x14ac:dyDescent="0.2">
      <c r="A14" s="6"/>
      <c r="B14" s="6"/>
      <c r="C14" s="6"/>
      <c r="D14" s="6"/>
      <c r="E14" s="6"/>
      <c r="F14" s="9"/>
      <c r="G14" s="6"/>
      <c r="H14" s="6"/>
      <c r="I14" s="6"/>
      <c r="J14" s="11"/>
      <c r="O14" s="11"/>
      <c r="P14" s="6"/>
      <c r="Q14" s="81">
        <f>Q13*S14/S13</f>
        <v>153.77403956537057</v>
      </c>
      <c r="R14" s="81">
        <f>R13*S14/S13</f>
        <v>110.71066090056129</v>
      </c>
      <c r="S14" s="81">
        <f>IF(S13&gt;0,100,-100)</f>
        <v>100</v>
      </c>
      <c r="V14" s="193" t="s">
        <v>152</v>
      </c>
      <c r="W14" s="193"/>
      <c r="X14" s="193"/>
      <c r="Y14" s="6"/>
      <c r="Z14" s="9"/>
      <c r="AA14" s="81">
        <f>AA13*AC14/AC13</f>
        <v>178.62198523886482</v>
      </c>
      <c r="AB14" s="81">
        <f>AB13*AC14/AC13</f>
        <v>111.96218102463277</v>
      </c>
      <c r="AC14" s="81">
        <f>IF(AC13&gt;0,100,-100)</f>
        <v>100</v>
      </c>
    </row>
    <row r="15" spans="1:29" x14ac:dyDescent="0.2">
      <c r="A15" s="6"/>
      <c r="B15" s="6"/>
      <c r="C15" s="6"/>
      <c r="D15" s="6"/>
      <c r="E15" s="6"/>
      <c r="F15" s="9"/>
      <c r="G15" s="6"/>
      <c r="H15" s="6"/>
      <c r="I15" s="6"/>
      <c r="J15" s="11"/>
      <c r="O15" s="11"/>
      <c r="T15" s="6"/>
      <c r="U15" s="123"/>
      <c r="V15" s="80">
        <f>BP_AV!G26</f>
        <v>8375018</v>
      </c>
      <c r="W15" s="80">
        <f>BP_AV!E26</f>
        <v>4789198</v>
      </c>
      <c r="X15" s="80">
        <f>BP_AV!C26</f>
        <v>3980282</v>
      </c>
      <c r="Y15" s="8"/>
      <c r="Z15" s="9"/>
      <c r="AA15" s="193" t="s">
        <v>154</v>
      </c>
      <c r="AB15" s="193"/>
      <c r="AC15" s="193"/>
    </row>
    <row r="16" spans="1:29" x14ac:dyDescent="0.2">
      <c r="A16" s="6"/>
      <c r="B16" s="6"/>
      <c r="C16" s="6"/>
      <c r="D16" s="6"/>
      <c r="E16" s="6"/>
      <c r="F16" s="9"/>
      <c r="G16" s="6"/>
      <c r="H16" s="6"/>
      <c r="I16" s="6"/>
      <c r="J16" s="11"/>
      <c r="O16" s="5"/>
      <c r="P16" s="6"/>
      <c r="Q16" s="7"/>
      <c r="R16" s="7" t="s">
        <v>104</v>
      </c>
      <c r="S16" s="121"/>
      <c r="T16" s="5"/>
      <c r="V16" s="81">
        <f>V15*X16/X15</f>
        <v>210.41267930262228</v>
      </c>
      <c r="W16" s="81">
        <f>W15*X16/X15</f>
        <v>120.32308263585344</v>
      </c>
      <c r="X16" s="81">
        <f>IF(X15&gt;0,100,-100)</f>
        <v>100</v>
      </c>
      <c r="Y16" s="6"/>
      <c r="Z16" s="10"/>
      <c r="AA16" s="80">
        <f>BP_AV!G31</f>
        <v>1259809</v>
      </c>
      <c r="AB16" s="80">
        <f>BP_AV!E31</f>
        <v>1032375</v>
      </c>
      <c r="AC16" s="80">
        <f>BP_AV!C31</f>
        <v>122273</v>
      </c>
    </row>
    <row r="17" spans="1:29" x14ac:dyDescent="0.2">
      <c r="A17" s="6"/>
      <c r="B17" s="6"/>
      <c r="C17" s="6"/>
      <c r="D17" s="6"/>
      <c r="E17" s="6"/>
      <c r="F17" s="9"/>
      <c r="G17" s="6"/>
      <c r="H17" s="6"/>
      <c r="I17" s="6"/>
      <c r="J17" s="11"/>
      <c r="O17" s="5"/>
      <c r="T17" s="11"/>
      <c r="Y17" s="6"/>
      <c r="Z17" s="125"/>
      <c r="AA17" s="81">
        <f>AA16*AC17/AC16</f>
        <v>1030.3247650748735</v>
      </c>
      <c r="AB17" s="81">
        <f>AB16*AC17/AC16</f>
        <v>844.31967809737228</v>
      </c>
      <c r="AC17" s="81">
        <f>IF(AC16&gt;0,100,-100)</f>
        <v>100</v>
      </c>
    </row>
    <row r="18" spans="1:29" x14ac:dyDescent="0.2">
      <c r="E18" s="6"/>
      <c r="F18" s="9"/>
      <c r="G18" s="6"/>
      <c r="H18" s="6"/>
      <c r="I18" s="6"/>
      <c r="J18" s="6"/>
      <c r="K18" s="9"/>
      <c r="L18" s="193" t="s">
        <v>150</v>
      </c>
      <c r="M18" s="193"/>
      <c r="N18" s="193"/>
      <c r="O18" s="11"/>
      <c r="P18" s="6"/>
      <c r="Q18" s="193" t="s">
        <v>151</v>
      </c>
      <c r="R18" s="193"/>
      <c r="S18" s="193"/>
      <c r="T18" s="11"/>
      <c r="Y18" s="6"/>
      <c r="Z18" s="1"/>
      <c r="AA18" s="193" t="s">
        <v>158</v>
      </c>
      <c r="AB18" s="193"/>
      <c r="AC18" s="193"/>
    </row>
    <row r="19" spans="1:29" x14ac:dyDescent="0.2">
      <c r="E19" s="6"/>
      <c r="F19" s="9"/>
      <c r="G19" s="6"/>
      <c r="H19" s="6"/>
      <c r="I19" s="6"/>
      <c r="J19" s="6"/>
      <c r="K19" s="10"/>
      <c r="L19" s="80">
        <f>Q13-Q19</f>
        <v>6134025</v>
      </c>
      <c r="M19" s="80">
        <f>R13-R19</f>
        <v>5019812</v>
      </c>
      <c r="N19" s="80">
        <f>S13-S19</f>
        <v>5217757</v>
      </c>
      <c r="O19" s="12"/>
      <c r="P19" s="8"/>
      <c r="Q19" s="80">
        <f>BP_AV!G26+BP_AV!G37</f>
        <v>15365145</v>
      </c>
      <c r="R19" s="80">
        <f>BP_AV!E26+BP_AV!E37</f>
        <v>10458661</v>
      </c>
      <c r="S19" s="80">
        <f>BP_AV!C26+BP_AV!C37</f>
        <v>8763257</v>
      </c>
      <c r="T19" s="122"/>
      <c r="Y19" s="6"/>
      <c r="Z19" s="126"/>
      <c r="AA19" s="80">
        <f>BP_AV!G32</f>
        <v>84737</v>
      </c>
      <c r="AB19" s="80">
        <f>BP_AV!E32</f>
        <v>23617</v>
      </c>
      <c r="AC19" s="80">
        <f>BP_AV!C32</f>
        <v>16658</v>
      </c>
    </row>
    <row r="20" spans="1:29" x14ac:dyDescent="0.2">
      <c r="E20" s="6"/>
      <c r="F20" s="9"/>
      <c r="G20" s="6"/>
      <c r="H20" s="6"/>
      <c r="I20" s="6"/>
      <c r="J20" s="6"/>
      <c r="K20" s="6"/>
      <c r="L20" s="81">
        <f>L19*N20/N19</f>
        <v>117.56057248354034</v>
      </c>
      <c r="M20" s="81">
        <f>M19*N20/N19</f>
        <v>96.206320072015615</v>
      </c>
      <c r="N20" s="81">
        <f>IF(N19&gt;0,100,-100)</f>
        <v>100</v>
      </c>
      <c r="Q20" s="81">
        <f>Q19*S20/S19</f>
        <v>175.33600806184276</v>
      </c>
      <c r="R20" s="81">
        <f>R19*S20/S19</f>
        <v>119.34673375435639</v>
      </c>
      <c r="S20" s="81">
        <f>IF(S19&gt;0,100,-100)</f>
        <v>100</v>
      </c>
      <c r="T20" s="11"/>
      <c r="Y20" s="6"/>
      <c r="AA20" s="81">
        <f>AA19*AC20/AC19</f>
        <v>508.68651698883417</v>
      </c>
      <c r="AB20" s="81">
        <f>AB19*AC20/AC19</f>
        <v>141.77572337615561</v>
      </c>
      <c r="AC20" s="81">
        <f>IF(AC19&gt;0,100,-100)</f>
        <v>100</v>
      </c>
    </row>
    <row r="21" spans="1:29" x14ac:dyDescent="0.2">
      <c r="E21" s="6"/>
      <c r="F21" s="9"/>
      <c r="G21" s="6"/>
      <c r="H21" s="6"/>
      <c r="I21" s="6"/>
      <c r="J21" s="6"/>
      <c r="K21" s="6"/>
      <c r="L21" s="6"/>
      <c r="M21" s="6"/>
      <c r="N21" s="6"/>
      <c r="T21" s="11"/>
      <c r="Y21" s="6"/>
    </row>
    <row r="22" spans="1:29" x14ac:dyDescent="0.2">
      <c r="F22" s="9"/>
      <c r="G22" s="6"/>
      <c r="H22" s="6"/>
      <c r="I22" s="6"/>
      <c r="J22" s="6"/>
      <c r="K22" s="6"/>
      <c r="L22" s="6"/>
      <c r="M22" s="6"/>
      <c r="N22" s="6"/>
      <c r="T22" s="11"/>
      <c r="Y22" s="6"/>
      <c r="AA22" s="193" t="s">
        <v>154</v>
      </c>
      <c r="AB22" s="193"/>
      <c r="AC22" s="193"/>
    </row>
    <row r="23" spans="1:29" x14ac:dyDescent="0.2">
      <c r="F23" s="9"/>
      <c r="G23" s="6"/>
      <c r="H23" s="6"/>
      <c r="I23" s="6"/>
      <c r="J23" s="6"/>
      <c r="K23" s="6"/>
      <c r="L23" s="6"/>
      <c r="M23" s="6"/>
      <c r="N23" s="6"/>
      <c r="T23" s="11"/>
      <c r="Y23" s="6"/>
      <c r="Z23" s="123"/>
      <c r="AA23" s="80">
        <f>BP_AV!G38</f>
        <v>3039870</v>
      </c>
      <c r="AB23" s="80">
        <f>BP_AV!E38</f>
        <v>3007358</v>
      </c>
      <c r="AC23" s="80">
        <f>BP_AV!C38</f>
        <v>2637860</v>
      </c>
    </row>
    <row r="24" spans="1:29" x14ac:dyDescent="0.2">
      <c r="A24" s="191" t="s">
        <v>149</v>
      </c>
      <c r="B24" s="192"/>
      <c r="C24" s="192"/>
      <c r="D24" s="192"/>
      <c r="E24" s="6"/>
      <c r="F24" s="9"/>
      <c r="T24" s="11"/>
      <c r="V24" s="193" t="s">
        <v>153</v>
      </c>
      <c r="W24" s="193"/>
      <c r="X24" s="193"/>
      <c r="Y24" s="6"/>
      <c r="Z24" s="1"/>
      <c r="AA24" s="81">
        <f>AA23*AC24/AC23</f>
        <v>115.24000515569439</v>
      </c>
      <c r="AB24" s="81">
        <f>AB23*AC24/AC23</f>
        <v>114.00749092067055</v>
      </c>
      <c r="AC24" s="81">
        <f>IF(AC23&gt;0,100,-100)</f>
        <v>100</v>
      </c>
    </row>
    <row r="25" spans="1:29" x14ac:dyDescent="0.2">
      <c r="A25" s="78" t="s">
        <v>124</v>
      </c>
      <c r="B25" s="78">
        <f>BP_AV!G6</f>
        <v>2008</v>
      </c>
      <c r="C25" s="78">
        <f>BP_AV!E6</f>
        <v>2009</v>
      </c>
      <c r="D25" s="78">
        <f>BP_AV!C6</f>
        <v>2010</v>
      </c>
      <c r="E25" s="6"/>
      <c r="F25" s="9"/>
      <c r="T25" s="5"/>
      <c r="U25" s="124"/>
      <c r="V25" s="80">
        <f>BP_AV!G37</f>
        <v>6990127</v>
      </c>
      <c r="W25" s="80">
        <f>BP_AV!E37</f>
        <v>5669463</v>
      </c>
      <c r="X25" s="80">
        <f>BP_AV!C37</f>
        <v>4782975</v>
      </c>
      <c r="Y25" s="8"/>
      <c r="Z25" s="1"/>
    </row>
    <row r="26" spans="1:29" x14ac:dyDescent="0.2">
      <c r="A26" s="79" t="s">
        <v>125</v>
      </c>
      <c r="B26" s="82">
        <f>G12*G42</f>
        <v>5.8329418817537766</v>
      </c>
      <c r="C26" s="81">
        <f>H12*H42</f>
        <v>8.5095417916049456</v>
      </c>
      <c r="D26" s="81">
        <f>I12*I42</f>
        <v>11.326240091412382</v>
      </c>
      <c r="E26" s="8"/>
      <c r="F26" s="9"/>
      <c r="G26" s="13" t="s">
        <v>126</v>
      </c>
      <c r="H26" s="13"/>
      <c r="I26" s="13"/>
      <c r="O26" s="6"/>
      <c r="T26" s="6"/>
      <c r="V26" s="81">
        <f>V25*X26/X25</f>
        <v>146.14600745352004</v>
      </c>
      <c r="W26" s="81">
        <f>W25*X26/X25</f>
        <v>118.53423862763239</v>
      </c>
      <c r="X26" s="81">
        <f>IF(X25&gt;0,100,-100)</f>
        <v>100</v>
      </c>
      <c r="Y26" s="6"/>
      <c r="Z26" s="1"/>
      <c r="AA26" s="193" t="s">
        <v>155</v>
      </c>
      <c r="AB26" s="193"/>
      <c r="AC26" s="193"/>
    </row>
    <row r="27" spans="1:29" x14ac:dyDescent="0.2">
      <c r="A27" s="79" t="s">
        <v>99</v>
      </c>
      <c r="B27" s="81">
        <f>B26*D27/D26</f>
        <v>51.499366379990001</v>
      </c>
      <c r="C27" s="81">
        <f>C26*D27/D26</f>
        <v>75.13121497448148</v>
      </c>
      <c r="D27" s="81">
        <f>IF(D26&gt;0,100,-100)</f>
        <v>100</v>
      </c>
      <c r="E27" s="11"/>
      <c r="F27" s="9"/>
      <c r="T27" s="6"/>
      <c r="Y27" s="6"/>
      <c r="Z27" s="124"/>
      <c r="AA27" s="80">
        <f>BP_AV!G39</f>
        <v>3950257</v>
      </c>
      <c r="AB27" s="80">
        <f>BP_AV!E39</f>
        <v>2662105</v>
      </c>
      <c r="AC27" s="80">
        <f>BP_AV!C39</f>
        <v>2145115</v>
      </c>
    </row>
    <row r="28" spans="1:29" x14ac:dyDescent="0.2">
      <c r="A28" s="6"/>
      <c r="B28" s="6"/>
      <c r="C28" s="6"/>
      <c r="D28" s="6"/>
      <c r="E28" s="11"/>
      <c r="F28" s="9"/>
      <c r="T28" s="6"/>
      <c r="Y28" s="6"/>
      <c r="AA28" s="81">
        <f>AA27*AC28/AC27</f>
        <v>184.15129258804308</v>
      </c>
      <c r="AB28" s="81">
        <f>AB27*AC28/AC27</f>
        <v>124.10080578430527</v>
      </c>
      <c r="AC28" s="81">
        <f>IF(AC27&gt;0,100,-100)</f>
        <v>100</v>
      </c>
    </row>
    <row r="29" spans="1:29" x14ac:dyDescent="0.2">
      <c r="A29" s="6"/>
      <c r="B29" s="6"/>
      <c r="C29" s="6"/>
      <c r="D29" s="6"/>
      <c r="E29" s="11"/>
      <c r="F29" s="6"/>
      <c r="T29" s="6"/>
      <c r="Y29" s="6"/>
    </row>
    <row r="30" spans="1:29" x14ac:dyDescent="0.2">
      <c r="A30" s="6"/>
      <c r="B30" s="6"/>
      <c r="C30" s="6"/>
      <c r="D30" s="6"/>
      <c r="E30" s="11"/>
      <c r="F30" s="6"/>
      <c r="T30" s="6"/>
      <c r="Y30" s="6"/>
    </row>
    <row r="31" spans="1:29" x14ac:dyDescent="0.2">
      <c r="A31" s="6"/>
      <c r="B31" s="6"/>
      <c r="C31" s="6"/>
      <c r="D31" s="6"/>
      <c r="E31" s="11"/>
      <c r="F31" s="6"/>
      <c r="T31" s="6"/>
    </row>
    <row r="32" spans="1:29" x14ac:dyDescent="0.2">
      <c r="A32" s="6"/>
      <c r="B32" s="6"/>
      <c r="C32" s="6"/>
      <c r="D32" s="6"/>
      <c r="E32" s="11"/>
      <c r="F32" s="6"/>
      <c r="G32" s="6"/>
      <c r="H32" s="6"/>
      <c r="I32" s="6"/>
      <c r="O32" s="6"/>
      <c r="P32" s="6"/>
      <c r="Q32" s="193" t="s">
        <v>102</v>
      </c>
      <c r="R32" s="193"/>
      <c r="S32" s="193"/>
      <c r="T32" s="6"/>
      <c r="Z32" s="6"/>
      <c r="AA32" s="193" t="s">
        <v>129</v>
      </c>
      <c r="AB32" s="193"/>
      <c r="AC32" s="193"/>
    </row>
    <row r="33" spans="1:29" x14ac:dyDescent="0.2">
      <c r="A33" s="6"/>
      <c r="B33" s="6"/>
      <c r="C33" s="6"/>
      <c r="D33" s="6"/>
      <c r="E33" s="11"/>
      <c r="F33" s="6"/>
      <c r="G33" s="6"/>
      <c r="H33" s="6"/>
      <c r="I33" s="6"/>
      <c r="O33" s="6"/>
      <c r="P33" s="8"/>
      <c r="Q33" s="80">
        <f>DRE_AV!G14</f>
        <v>11746765</v>
      </c>
      <c r="R33" s="80">
        <f>DRE_AV!E14</f>
        <v>10871275</v>
      </c>
      <c r="S33" s="80">
        <f>DRE_AV!C14</f>
        <v>9380625</v>
      </c>
      <c r="T33" s="6"/>
      <c r="U33" s="6"/>
      <c r="V33" s="193" t="s">
        <v>130</v>
      </c>
      <c r="W33" s="193"/>
      <c r="X33" s="193"/>
      <c r="Y33" s="6"/>
      <c r="Z33" s="8"/>
      <c r="AA33" s="80">
        <f>DRE_AV!G18</f>
        <v>-731155</v>
      </c>
      <c r="AB33" s="80">
        <f>DRE_AV!E18</f>
        <v>-601119</v>
      </c>
      <c r="AC33" s="80">
        <f>DRE_AV!C18</f>
        <v>-657010</v>
      </c>
    </row>
    <row r="34" spans="1:29" x14ac:dyDescent="0.2">
      <c r="A34" s="6"/>
      <c r="B34" s="6"/>
      <c r="C34" s="6"/>
      <c r="D34" s="6"/>
      <c r="E34" s="11"/>
      <c r="F34" s="6"/>
      <c r="G34" s="6"/>
      <c r="H34" s="6"/>
      <c r="I34" s="6"/>
      <c r="O34" s="6"/>
      <c r="P34" s="9"/>
      <c r="Q34" s="81">
        <f>Q33*S34/S33</f>
        <v>125.22369245119594</v>
      </c>
      <c r="R34" s="81">
        <f>R33*S34/S33</f>
        <v>115.89073222733028</v>
      </c>
      <c r="S34" s="81">
        <f>IF(S33&gt;0,100,-100)</f>
        <v>100</v>
      </c>
      <c r="T34" s="6"/>
      <c r="U34" s="8"/>
      <c r="V34" s="80">
        <f>DRE_AV!G15</f>
        <v>-9339709</v>
      </c>
      <c r="W34" s="80">
        <f>DRE_AV!E15</f>
        <v>-8759483</v>
      </c>
      <c r="X34" s="80">
        <f>DRE_AV!C15</f>
        <v>-7582662</v>
      </c>
      <c r="Y34" s="6"/>
      <c r="Z34" s="9"/>
      <c r="AA34" s="81">
        <f>AA33*AC34/AC33</f>
        <v>-111.28521635895953</v>
      </c>
      <c r="AB34" s="81">
        <f>AB33*AC34/AC33</f>
        <v>-91.493127958478567</v>
      </c>
      <c r="AC34" s="81">
        <f>IF(AC33&gt;0,100,-100)</f>
        <v>-100</v>
      </c>
    </row>
    <row r="35" spans="1:29" x14ac:dyDescent="0.2">
      <c r="A35" s="6"/>
      <c r="B35" s="6"/>
      <c r="C35" s="6"/>
      <c r="D35" s="6"/>
      <c r="E35" s="11"/>
      <c r="O35" s="6"/>
      <c r="P35" s="9"/>
      <c r="Q35" s="6"/>
      <c r="R35" s="6"/>
      <c r="S35" s="6"/>
      <c r="T35" s="6"/>
      <c r="U35" s="9"/>
      <c r="V35" s="81">
        <f>V34*X35/X34</f>
        <v>-123.17190189935936</v>
      </c>
      <c r="W35" s="81">
        <f>W34*X35/X34</f>
        <v>-115.51989261818606</v>
      </c>
      <c r="X35" s="81">
        <f>IF(X34&gt;0,100,-100)</f>
        <v>-100</v>
      </c>
      <c r="Y35" s="6"/>
      <c r="Z35" s="9"/>
      <c r="AA35" s="194" t="s">
        <v>176</v>
      </c>
      <c r="AB35" s="193"/>
      <c r="AC35" s="193"/>
    </row>
    <row r="36" spans="1:29" x14ac:dyDescent="0.2">
      <c r="A36" s="6"/>
      <c r="B36" s="6"/>
      <c r="C36" s="6"/>
      <c r="D36" s="6"/>
      <c r="E36" s="11"/>
      <c r="O36" s="6"/>
      <c r="P36" s="9"/>
      <c r="Q36" s="6"/>
      <c r="R36" s="6"/>
      <c r="S36" s="6"/>
      <c r="T36" s="6"/>
      <c r="U36" s="9"/>
      <c r="V36" s="7" t="s">
        <v>131</v>
      </c>
      <c r="W36" s="7"/>
      <c r="X36" s="7"/>
      <c r="Y36" s="6"/>
      <c r="Z36" s="10"/>
      <c r="AA36" s="80">
        <f>DRE_AV!G19</f>
        <v>-425296</v>
      </c>
      <c r="AB36" s="80">
        <f>DRE_AV!E19</f>
        <v>-376199</v>
      </c>
      <c r="AC36" s="80">
        <f>DRE_AV!C19</f>
        <v>-346061</v>
      </c>
    </row>
    <row r="37" spans="1:29" x14ac:dyDescent="0.2">
      <c r="A37" s="6"/>
      <c r="B37" s="6"/>
      <c r="C37" s="6"/>
      <c r="D37" s="6"/>
      <c r="E37" s="11"/>
      <c r="J37" s="6"/>
      <c r="K37" s="6"/>
      <c r="L37" s="193" t="s">
        <v>132</v>
      </c>
      <c r="M37" s="193"/>
      <c r="N37" s="193"/>
      <c r="O37" s="6"/>
      <c r="P37" s="9"/>
      <c r="Q37" s="6"/>
      <c r="R37" s="6"/>
      <c r="S37" s="6"/>
      <c r="U37" s="9"/>
      <c r="V37" s="194" t="s">
        <v>133</v>
      </c>
      <c r="W37" s="193"/>
      <c r="X37" s="193"/>
      <c r="Y37" s="6"/>
      <c r="Z37" s="9"/>
      <c r="AA37" s="81">
        <f>AA36*AC37/AC36</f>
        <v>-122.89625239480901</v>
      </c>
      <c r="AB37" s="81">
        <f>AB36*AC37/AC36</f>
        <v>-108.70886924559542</v>
      </c>
      <c r="AC37" s="81">
        <f>IF(AC36&gt;0,100,-100)</f>
        <v>-100</v>
      </c>
    </row>
    <row r="38" spans="1:29" x14ac:dyDescent="0.2">
      <c r="A38" s="6"/>
      <c r="B38" s="6"/>
      <c r="C38" s="6"/>
      <c r="D38" s="6"/>
      <c r="E38" s="11"/>
      <c r="J38" s="6"/>
      <c r="K38" s="8"/>
      <c r="L38" s="80">
        <f>DRE_AV!G31</f>
        <v>448043</v>
      </c>
      <c r="M38" s="80">
        <f>DRE_AV!E31</f>
        <v>427163</v>
      </c>
      <c r="N38" s="80">
        <f>DRE_AV!C31</f>
        <v>471936</v>
      </c>
      <c r="O38" s="8"/>
      <c r="P38" s="9"/>
      <c r="Q38" s="7" t="s">
        <v>134</v>
      </c>
      <c r="R38" s="7"/>
      <c r="S38" s="7"/>
      <c r="U38" s="10"/>
      <c r="V38" s="80">
        <f>DRE_AV!G17</f>
        <v>-1294560</v>
      </c>
      <c r="W38" s="80">
        <f>DRE_AV!E17</f>
        <v>-1345052</v>
      </c>
      <c r="X38" s="80">
        <f>DRE_AV!C17</f>
        <v>-1112443</v>
      </c>
      <c r="Y38" s="8"/>
      <c r="Z38" s="9"/>
      <c r="AA38" s="193" t="s">
        <v>177</v>
      </c>
      <c r="AB38" s="193"/>
      <c r="AC38" s="193"/>
    </row>
    <row r="39" spans="1:29" x14ac:dyDescent="0.2">
      <c r="A39" s="6"/>
      <c r="B39" s="6"/>
      <c r="C39" s="6"/>
      <c r="D39" s="6"/>
      <c r="E39" s="11"/>
      <c r="F39" s="6"/>
      <c r="G39" s="6"/>
      <c r="H39" s="6"/>
      <c r="I39" s="6"/>
      <c r="J39" s="6"/>
      <c r="K39" s="9"/>
      <c r="L39" s="81">
        <f>L38*N39/N38</f>
        <v>94.937237252508808</v>
      </c>
      <c r="M39" s="81">
        <f>M38*N39/N38</f>
        <v>90.512908529970161</v>
      </c>
      <c r="N39" s="81">
        <f>IF(N38&gt;0,100,-100)</f>
        <v>100</v>
      </c>
      <c r="O39" s="6"/>
      <c r="P39" s="9"/>
      <c r="Q39" s="6"/>
      <c r="R39" s="6"/>
      <c r="S39" s="6"/>
      <c r="U39" s="9"/>
      <c r="V39" s="81">
        <f>V38*X39/X38</f>
        <v>-116.37090619474436</v>
      </c>
      <c r="W39" s="81">
        <f>W38*X39/X38</f>
        <v>-120.90974548808343</v>
      </c>
      <c r="X39" s="81">
        <f>IF(X38&gt;0,100,-100)</f>
        <v>-100</v>
      </c>
      <c r="Y39" s="6"/>
      <c r="Z39" s="10"/>
      <c r="AA39" s="80">
        <f>DRE_AV!G20</f>
        <v>-138109</v>
      </c>
      <c r="AB39" s="80">
        <f>DRE_AV!E20</f>
        <v>-367734</v>
      </c>
      <c r="AC39" s="80">
        <f>DRE_AV!C20</f>
        <v>-109372</v>
      </c>
    </row>
    <row r="40" spans="1:29" x14ac:dyDescent="0.2">
      <c r="A40" s="6"/>
      <c r="B40" s="6"/>
      <c r="C40" s="6"/>
      <c r="D40" s="6"/>
      <c r="E40" s="11"/>
      <c r="F40" s="6"/>
      <c r="G40" s="191" t="s">
        <v>135</v>
      </c>
      <c r="H40" s="191"/>
      <c r="I40" s="191"/>
      <c r="J40" s="6"/>
      <c r="K40" s="9"/>
      <c r="L40" s="6"/>
      <c r="M40" s="6"/>
      <c r="N40" s="6"/>
      <c r="O40" s="6"/>
      <c r="P40" s="9"/>
      <c r="Q40" s="6"/>
      <c r="R40" s="6"/>
      <c r="S40" s="6"/>
      <c r="T40" s="6"/>
      <c r="U40" s="1"/>
      <c r="V40" s="7" t="s">
        <v>136</v>
      </c>
      <c r="W40" s="7"/>
      <c r="X40" s="7"/>
      <c r="Z40" s="6"/>
      <c r="AA40" s="81">
        <f>AA39*AC40/AC39</f>
        <v>-126.27454924477928</v>
      </c>
      <c r="AB40" s="81">
        <f>AB39*AC40/AC39</f>
        <v>-336.22316497823942</v>
      </c>
      <c r="AC40" s="81">
        <f>IF(AC39&gt;0,100,-100)</f>
        <v>-100</v>
      </c>
    </row>
    <row r="41" spans="1:29" x14ac:dyDescent="0.2">
      <c r="A41" s="6"/>
      <c r="B41" s="6"/>
      <c r="C41" s="6"/>
      <c r="D41" s="6"/>
      <c r="E41" s="11"/>
      <c r="F41" s="6"/>
      <c r="G41" s="78">
        <f>G11</f>
        <v>2008</v>
      </c>
      <c r="H41" s="78">
        <f>H11</f>
        <v>2009</v>
      </c>
      <c r="I41" s="78">
        <f>I11</f>
        <v>2010</v>
      </c>
      <c r="J41" s="6"/>
      <c r="K41" s="9"/>
      <c r="L41" s="6"/>
      <c r="M41" s="6"/>
      <c r="N41" s="6"/>
      <c r="O41" s="6"/>
      <c r="P41" s="9"/>
      <c r="Q41" s="193" t="s">
        <v>172</v>
      </c>
      <c r="R41" s="193"/>
      <c r="S41" s="193"/>
      <c r="U41" s="9"/>
      <c r="V41" s="193" t="s">
        <v>137</v>
      </c>
      <c r="W41" s="193"/>
      <c r="X41" s="193"/>
    </row>
    <row r="42" spans="1:29" x14ac:dyDescent="0.2">
      <c r="A42" s="6"/>
      <c r="B42" s="6"/>
      <c r="C42" s="6"/>
      <c r="D42" s="6"/>
      <c r="E42" s="11"/>
      <c r="F42" s="8"/>
      <c r="G42" s="81">
        <f>L38/L46*100</f>
        <v>3.8141820322446223</v>
      </c>
      <c r="H42" s="81">
        <f>M38/M46*100</f>
        <v>3.9292815240162726</v>
      </c>
      <c r="I42" s="81">
        <f>N38/N46*100</f>
        <v>5.0309654207475507</v>
      </c>
      <c r="J42" s="8"/>
      <c r="K42" s="9"/>
      <c r="L42" s="7" t="s">
        <v>138</v>
      </c>
      <c r="M42" s="7"/>
      <c r="N42" s="7"/>
      <c r="O42" s="6"/>
      <c r="P42" s="10"/>
      <c r="Q42" s="80">
        <f>-(Q33-L38)</f>
        <v>-11298722</v>
      </c>
      <c r="R42" s="80">
        <f>-(R33-M38)</f>
        <v>-10444112</v>
      </c>
      <c r="S42" s="80">
        <f>-(S33-N38)</f>
        <v>-8908689</v>
      </c>
      <c r="T42" s="8"/>
      <c r="U42" s="10"/>
      <c r="V42" s="80">
        <f>DRE_AV!G22</f>
        <v>-40487</v>
      </c>
      <c r="W42" s="80">
        <f>DRE_AV!E22</f>
        <v>16301</v>
      </c>
      <c r="X42" s="80">
        <f>DRE_AV!C22</f>
        <v>30885</v>
      </c>
      <c r="Z42" s="6"/>
      <c r="AA42" s="193" t="s">
        <v>180</v>
      </c>
      <c r="AB42" s="193"/>
      <c r="AC42" s="193"/>
    </row>
    <row r="43" spans="1:29" x14ac:dyDescent="0.2">
      <c r="A43" s="6"/>
      <c r="B43" s="6"/>
      <c r="C43" s="6"/>
      <c r="D43" s="6"/>
      <c r="E43" s="6"/>
      <c r="F43" s="6"/>
      <c r="G43" s="81">
        <f>G42*I43/I42</f>
        <v>75.81411743589112</v>
      </c>
      <c r="H43" s="81">
        <f>H42*I43/I42</f>
        <v>78.101938602321397</v>
      </c>
      <c r="I43" s="81">
        <f>IF(I42&gt;0,100,-100)</f>
        <v>100</v>
      </c>
      <c r="J43" s="6"/>
      <c r="K43" s="9"/>
      <c r="L43" s="6"/>
      <c r="M43" s="6"/>
      <c r="N43" s="6"/>
      <c r="O43" s="6"/>
      <c r="P43" s="6"/>
      <c r="Q43" s="81">
        <f>Q42*S43/S42</f>
        <v>-126.82811129673513</v>
      </c>
      <c r="R43" s="81">
        <f>R42*S43/S42</f>
        <v>-117.23511731075133</v>
      </c>
      <c r="S43" s="81">
        <f>IF(S42&gt;0,100,-100)</f>
        <v>-100</v>
      </c>
      <c r="T43" s="6"/>
      <c r="U43" s="9"/>
      <c r="V43" s="81">
        <f>V42*X43/X42</f>
        <v>-131.08952565970534</v>
      </c>
      <c r="W43" s="81">
        <f>W42*X43/X42</f>
        <v>52.779666504775783</v>
      </c>
      <c r="X43" s="81">
        <f>IF(X42&gt;0,100,-100)</f>
        <v>100</v>
      </c>
      <c r="Z43" s="8"/>
      <c r="AA43" s="80">
        <f>DRE_AV!G25</f>
        <v>0</v>
      </c>
      <c r="AB43" s="80">
        <f>DRE_AV!E25</f>
        <v>0</v>
      </c>
      <c r="AC43" s="80">
        <f>DRE_AV!C25</f>
        <v>0</v>
      </c>
    </row>
    <row r="44" spans="1:29" x14ac:dyDescent="0.2">
      <c r="A44" s="6"/>
      <c r="B44" s="6"/>
      <c r="C44" s="6"/>
      <c r="D44" s="6"/>
      <c r="E44" s="6"/>
      <c r="J44" s="6"/>
      <c r="K44" s="9"/>
      <c r="L44" s="6"/>
      <c r="M44" s="6"/>
      <c r="N44" s="6"/>
      <c r="O44" s="6"/>
      <c r="P44" s="6"/>
      <c r="Q44" s="6"/>
      <c r="R44" s="6"/>
      <c r="S44" s="6"/>
      <c r="T44" s="6"/>
      <c r="U44" s="9"/>
      <c r="V44" s="7" t="s">
        <v>136</v>
      </c>
      <c r="W44" s="7"/>
      <c r="X44" s="7"/>
      <c r="Y44" s="6"/>
      <c r="Z44" s="9"/>
      <c r="AA44" s="81" t="e">
        <f>AA43*AC44/AC43</f>
        <v>#DIV/0!</v>
      </c>
      <c r="AB44" s="81" t="e">
        <f>AB43*AC44/AC43</f>
        <v>#DIV/0!</v>
      </c>
      <c r="AC44" s="81">
        <f>IF(AC43&gt;0,100,-100)</f>
        <v>-100</v>
      </c>
    </row>
    <row r="45" spans="1:29" x14ac:dyDescent="0.2">
      <c r="J45" s="6"/>
      <c r="K45" s="9"/>
      <c r="L45" s="193" t="s">
        <v>102</v>
      </c>
      <c r="M45" s="193"/>
      <c r="N45" s="193"/>
      <c r="U45" s="9"/>
      <c r="V45" s="193" t="s">
        <v>139</v>
      </c>
      <c r="W45" s="193"/>
      <c r="X45" s="193"/>
      <c r="Y45" s="6"/>
      <c r="Z45" s="9"/>
      <c r="AA45" s="193" t="s">
        <v>140</v>
      </c>
      <c r="AB45" s="193"/>
      <c r="AC45" s="193"/>
    </row>
    <row r="46" spans="1:29" x14ac:dyDescent="0.2">
      <c r="J46" s="6"/>
      <c r="K46" s="10"/>
      <c r="L46" s="80">
        <f>DRE_AV!G14</f>
        <v>11746765</v>
      </c>
      <c r="M46" s="80">
        <f>DRE_AV!E14</f>
        <v>10871275</v>
      </c>
      <c r="N46" s="80">
        <f>DRE_AV!C14</f>
        <v>9380625</v>
      </c>
      <c r="U46" s="10"/>
      <c r="V46" s="80">
        <f>DRE_AV!G25+DRE_AV!G26</f>
        <v>0</v>
      </c>
      <c r="W46" s="80">
        <f>DRE_AV!E25+DRE_AV!E26</f>
        <v>0</v>
      </c>
      <c r="X46" s="80">
        <f>DRE_AV!C25+DRE_AV!C26</f>
        <v>0</v>
      </c>
      <c r="Y46" s="8"/>
      <c r="Z46" s="10"/>
      <c r="AA46" s="80">
        <f>DRE_AV!G26</f>
        <v>0</v>
      </c>
      <c r="AB46" s="80">
        <f>DRE_AV!E26</f>
        <v>0</v>
      </c>
      <c r="AC46" s="80">
        <f>DRE_AV!C26</f>
        <v>0</v>
      </c>
    </row>
    <row r="47" spans="1:29" x14ac:dyDescent="0.2">
      <c r="J47" s="6"/>
      <c r="K47" s="6"/>
      <c r="L47" s="81">
        <f>L46*N47/N46</f>
        <v>125.22369245119594</v>
      </c>
      <c r="M47" s="81">
        <f>M46*N47/N46</f>
        <v>115.89073222733028</v>
      </c>
      <c r="N47" s="81">
        <f>IF(N46&gt;0,100,-100)</f>
        <v>100</v>
      </c>
      <c r="T47" s="5"/>
      <c r="U47" s="6"/>
      <c r="V47" s="81" t="e">
        <f>V46*X47/X46</f>
        <v>#DIV/0!</v>
      </c>
      <c r="W47" s="81" t="e">
        <f>W46*X47/X46</f>
        <v>#DIV/0!</v>
      </c>
      <c r="X47" s="81">
        <f>IF(X46&gt;0,100,-100)</f>
        <v>-100</v>
      </c>
      <c r="Y47" s="6"/>
      <c r="Z47" s="6"/>
      <c r="AA47" s="81" t="e">
        <f>AA46*AC47/AC46</f>
        <v>#DIV/0!</v>
      </c>
      <c r="AB47" s="81" t="e">
        <f>AB46*AC47/AC46</f>
        <v>#DIV/0!</v>
      </c>
      <c r="AC47" s="81">
        <f>IF(AC46&gt;0,100,-100)</f>
        <v>-100</v>
      </c>
    </row>
    <row r="48" spans="1:29" x14ac:dyDescent="0.2">
      <c r="T48" s="5"/>
      <c r="V48" s="7" t="s">
        <v>136</v>
      </c>
      <c r="W48" s="7"/>
      <c r="X48" s="7"/>
    </row>
    <row r="49" spans="20:29" x14ac:dyDescent="0.2">
      <c r="T49" s="5"/>
      <c r="V49" s="193" t="s">
        <v>141</v>
      </c>
      <c r="W49" s="193"/>
      <c r="X49" s="193"/>
      <c r="Z49" s="6"/>
      <c r="AA49" s="193" t="s">
        <v>139</v>
      </c>
      <c r="AB49" s="193"/>
      <c r="AC49" s="193"/>
    </row>
    <row r="50" spans="20:29" x14ac:dyDescent="0.2">
      <c r="T50" s="5"/>
      <c r="U50" s="4"/>
      <c r="V50" s="80">
        <f>DRE_AV!G27+DRE_AV!G29+DRE_AV!G30</f>
        <v>-623966</v>
      </c>
      <c r="W50" s="80">
        <f>DRE_AV!E27+DRE_AV!E29+DRE_AV!E30</f>
        <v>-355878</v>
      </c>
      <c r="X50" s="80">
        <f>DRE_AV!C27+DRE_AV!C29+DRE_AV!C30</f>
        <v>-244469</v>
      </c>
      <c r="Y50" s="4"/>
      <c r="Z50" s="8"/>
      <c r="AA50" s="80">
        <f>DRE_AV!G27</f>
        <v>-188830</v>
      </c>
      <c r="AB50" s="80">
        <f>DRE_AV!E27</f>
        <v>-135824</v>
      </c>
      <c r="AC50" s="80">
        <f>DRE_AV!C27</f>
        <v>-1350</v>
      </c>
    </row>
    <row r="51" spans="20:29" x14ac:dyDescent="0.2">
      <c r="V51" s="81">
        <f>V50*X51/X50</f>
        <v>-255.23317884885199</v>
      </c>
      <c r="W51" s="81">
        <f>W50*X51/X50</f>
        <v>-145.57183119332103</v>
      </c>
      <c r="X51" s="81">
        <f>IF(X50&gt;0,100,-100)</f>
        <v>-100</v>
      </c>
      <c r="Z51" s="9"/>
      <c r="AA51" s="81">
        <f>AA50*AC51/AC50</f>
        <v>-13987.407407407407</v>
      </c>
      <c r="AB51" s="81">
        <f>AB50*AC51/AC50</f>
        <v>-10061.037037037036</v>
      </c>
      <c r="AC51" s="81">
        <f>IF(AC50&gt;0,100,-100)</f>
        <v>-100</v>
      </c>
    </row>
    <row r="52" spans="20:29" x14ac:dyDescent="0.2">
      <c r="Z52" s="9"/>
      <c r="AA52" s="193" t="s">
        <v>142</v>
      </c>
      <c r="AB52" s="193"/>
      <c r="AC52" s="193"/>
    </row>
    <row r="53" spans="20:29" x14ac:dyDescent="0.2">
      <c r="Z53" s="10"/>
      <c r="AA53" s="80">
        <f>DRE_AV!G29+DRE_AV!G30</f>
        <v>-435136</v>
      </c>
      <c r="AB53" s="80">
        <f>DRE_AV!E29+DRE_AV!E30</f>
        <v>-220054</v>
      </c>
      <c r="AC53" s="80">
        <f>DRE_AV!C29+DRE_AV!C30</f>
        <v>-243119</v>
      </c>
    </row>
    <row r="54" spans="20:29" x14ac:dyDescent="0.2">
      <c r="Z54" s="6"/>
      <c r="AA54" s="81">
        <f>AA53*AC54/AC53</f>
        <v>-178.98066379016038</v>
      </c>
      <c r="AB54" s="81">
        <f>AB53*AC54/AC53</f>
        <v>-90.512876410317574</v>
      </c>
      <c r="AC54" s="81">
        <f>IF(AC53&gt;0,100,-100)</f>
        <v>-100</v>
      </c>
    </row>
  </sheetData>
  <sheetProtection password="AC0E" sheet="1" objects="1" scenarios="1"/>
  <phoneticPr fontId="0" type="noConversion"/>
  <pageMargins left="0.19685039370078741" right="0.19685039370078741" top="1.3779527559055118" bottom="0.78740157480314965" header="0.51181102362204722" footer="0.51181102362204722"/>
  <pageSetup paperSize="9" scale="60" orientation="landscape" horizontalDpi="120" verticalDpi="144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47"/>
  <sheetViews>
    <sheetView workbookViewId="0">
      <selection activeCell="L42" sqref="L42"/>
    </sheetView>
  </sheetViews>
  <sheetFormatPr defaultRowHeight="12.75" x14ac:dyDescent="0.2"/>
  <cols>
    <col min="1" max="1" width="5.5" customWidth="1"/>
    <col min="2" max="2" width="30.83203125" customWidth="1"/>
    <col min="3" max="3" width="17.83203125" customWidth="1"/>
    <col min="4" max="4" width="6.6640625" customWidth="1"/>
    <col min="5" max="5" width="17.83203125" customWidth="1"/>
    <col min="6" max="6" width="6.6640625" customWidth="1"/>
    <col min="7" max="7" width="17.83203125" customWidth="1"/>
    <col min="8" max="8" width="6.6640625" customWidth="1"/>
  </cols>
  <sheetData>
    <row r="2" spans="1:8" ht="18.75" x14ac:dyDescent="0.3">
      <c r="A2" s="127" t="str">
        <f>'Dados BP'!B2</f>
        <v>EMPRESA : EMBRAER S.A.</v>
      </c>
      <c r="B2" s="13"/>
      <c r="C2" s="13"/>
      <c r="D2" s="13"/>
      <c r="E2" s="13"/>
      <c r="F2" s="13"/>
      <c r="G2" s="13"/>
      <c r="H2" s="13"/>
    </row>
    <row r="3" spans="1:8" ht="15.75" x14ac:dyDescent="0.25">
      <c r="A3" s="15"/>
      <c r="B3" s="13"/>
      <c r="C3" s="13"/>
      <c r="D3" s="13"/>
      <c r="E3" s="13"/>
      <c r="F3" s="13"/>
      <c r="G3" s="13"/>
      <c r="H3" s="13"/>
    </row>
    <row r="4" spans="1:8" ht="18.75" x14ac:dyDescent="0.3">
      <c r="A4" s="247" t="s">
        <v>316</v>
      </c>
      <c r="B4" s="185"/>
      <c r="C4" s="185"/>
      <c r="D4" s="185"/>
      <c r="E4" s="185"/>
      <c r="F4" s="185"/>
      <c r="G4" s="185"/>
      <c r="H4" s="185"/>
    </row>
    <row r="5" spans="1:8" ht="16.5" thickBot="1" x14ac:dyDescent="0.3">
      <c r="A5" s="16"/>
      <c r="B5" s="15"/>
      <c r="C5" s="15"/>
      <c r="D5" s="15"/>
      <c r="E5" s="15"/>
      <c r="F5" s="17" t="s">
        <v>1</v>
      </c>
      <c r="G5" s="15"/>
      <c r="H5" s="15"/>
    </row>
    <row r="6" spans="1:8" ht="14.25" x14ac:dyDescent="0.2">
      <c r="A6" s="248"/>
      <c r="B6" s="249"/>
      <c r="C6" s="250">
        <f>'Dados BP'!G$6</f>
        <v>2008</v>
      </c>
      <c r="D6" s="251"/>
      <c r="E6" s="250">
        <f>'Dados BP'!E$6</f>
        <v>2009</v>
      </c>
      <c r="F6" s="251"/>
      <c r="G6" s="250">
        <f>'Dados BP'!C$6</f>
        <v>2010</v>
      </c>
      <c r="H6" s="252"/>
    </row>
    <row r="7" spans="1:8" ht="14.25" x14ac:dyDescent="0.2">
      <c r="A7" s="253" t="s">
        <v>323</v>
      </c>
      <c r="B7" s="54"/>
      <c r="C7" s="66" t="s">
        <v>5</v>
      </c>
      <c r="D7" s="56"/>
      <c r="E7" s="66" t="s">
        <v>5</v>
      </c>
      <c r="F7" s="56"/>
      <c r="G7" s="67" t="s">
        <v>5</v>
      </c>
      <c r="H7" s="254"/>
    </row>
    <row r="8" spans="1:8" ht="15" x14ac:dyDescent="0.25">
      <c r="A8" s="255" t="s">
        <v>318</v>
      </c>
      <c r="B8" s="61" t="s">
        <v>321</v>
      </c>
      <c r="C8" s="129">
        <f>BP_AV!G9</f>
        <v>14360293</v>
      </c>
      <c r="D8" s="111"/>
      <c r="E8" s="129">
        <f>BP_AV!E9</f>
        <v>9836650</v>
      </c>
      <c r="F8" s="113"/>
      <c r="G8" s="129">
        <f>BP_AV!C9</f>
        <v>8310497</v>
      </c>
      <c r="H8" s="256"/>
    </row>
    <row r="9" spans="1:8" ht="15" x14ac:dyDescent="0.25">
      <c r="A9" s="255" t="s">
        <v>319</v>
      </c>
      <c r="B9" s="61" t="s">
        <v>322</v>
      </c>
      <c r="C9" s="129">
        <f>BP_AV!G26</f>
        <v>8375018</v>
      </c>
      <c r="D9" s="113"/>
      <c r="E9" s="129">
        <f>BP_AV!E26</f>
        <v>4789198</v>
      </c>
      <c r="F9" s="113"/>
      <c r="G9" s="129">
        <f>BP_AV!C26</f>
        <v>3980282</v>
      </c>
      <c r="H9" s="256"/>
    </row>
    <row r="10" spans="1:8" ht="15" thickBot="1" x14ac:dyDescent="0.25">
      <c r="A10" s="257" t="s">
        <v>320</v>
      </c>
      <c r="B10" s="258" t="s">
        <v>317</v>
      </c>
      <c r="C10" s="259">
        <f>C8-C9</f>
        <v>5985275</v>
      </c>
      <c r="D10" s="260"/>
      <c r="E10" s="259">
        <f>E8-E9</f>
        <v>5047452</v>
      </c>
      <c r="F10" s="260"/>
      <c r="G10" s="259">
        <f>G8-G9</f>
        <v>4330215</v>
      </c>
      <c r="H10" s="261"/>
    </row>
    <row r="12" spans="1:8" ht="13.5" thickBot="1" x14ac:dyDescent="0.25"/>
    <row r="13" spans="1:8" ht="14.25" x14ac:dyDescent="0.2">
      <c r="A13" s="248"/>
      <c r="B13" s="249"/>
      <c r="C13" s="250">
        <f>'Dados BP'!G$6</f>
        <v>2008</v>
      </c>
      <c r="D13" s="251"/>
      <c r="E13" s="250">
        <f>'Dados BP'!E$6</f>
        <v>2009</v>
      </c>
      <c r="F13" s="251"/>
      <c r="G13" s="250">
        <f>'Dados BP'!C$6</f>
        <v>2010</v>
      </c>
      <c r="H13" s="252"/>
    </row>
    <row r="14" spans="1:8" ht="14.25" x14ac:dyDescent="0.2">
      <c r="A14" s="262" t="s">
        <v>324</v>
      </c>
      <c r="B14" s="241"/>
      <c r="C14" s="242" t="s">
        <v>5</v>
      </c>
      <c r="D14" s="242" t="s">
        <v>325</v>
      </c>
      <c r="E14" s="242" t="s">
        <v>5</v>
      </c>
      <c r="F14" s="242" t="s">
        <v>325</v>
      </c>
      <c r="G14" s="242" t="s">
        <v>5</v>
      </c>
      <c r="H14" s="263" t="s">
        <v>325</v>
      </c>
    </row>
    <row r="15" spans="1:8" ht="15" x14ac:dyDescent="0.25">
      <c r="A15" s="255" t="s">
        <v>318</v>
      </c>
      <c r="B15" s="61" t="s">
        <v>109</v>
      </c>
      <c r="C15" s="129">
        <f>BP_AV!G11</f>
        <v>1024262</v>
      </c>
      <c r="D15" s="243">
        <f>Indicadores!D19</f>
        <v>31.034041856960776</v>
      </c>
      <c r="E15" s="129">
        <f>BP_AV!E11</f>
        <v>708465</v>
      </c>
      <c r="F15" s="244">
        <f>Indicadores!E19</f>
        <v>28.3594147878269</v>
      </c>
      <c r="G15" s="129">
        <f>BP_AV!C11</f>
        <v>580781</v>
      </c>
      <c r="H15" s="264">
        <f>Indicadores!F19</f>
        <v>24.457394373322181</v>
      </c>
    </row>
    <row r="16" spans="1:8" ht="15" x14ac:dyDescent="0.25">
      <c r="A16" s="255" t="s">
        <v>318</v>
      </c>
      <c r="B16" s="61" t="s">
        <v>113</v>
      </c>
      <c r="C16" s="129">
        <f>BP_AV!G12</f>
        <v>7101103</v>
      </c>
      <c r="D16" s="244">
        <f>Indicadores!D21</f>
        <v>273.71271203417581</v>
      </c>
      <c r="E16" s="129">
        <f>BP_AV!E12</f>
        <v>4257240</v>
      </c>
      <c r="F16" s="244">
        <f>Indicadores!E21</f>
        <v>233.4043847108328</v>
      </c>
      <c r="G16" s="129">
        <f>BP_AV!C12</f>
        <v>3662762</v>
      </c>
      <c r="H16" s="264">
        <f>Indicadores!F21</f>
        <v>188.0079001279498</v>
      </c>
    </row>
    <row r="17" spans="1:8" ht="15" x14ac:dyDescent="0.25">
      <c r="A17" s="255" t="s">
        <v>319</v>
      </c>
      <c r="B17" s="61" t="s">
        <v>156</v>
      </c>
      <c r="C17" s="129">
        <f>BP_AV!G27</f>
        <v>2520208</v>
      </c>
      <c r="D17" s="244">
        <f>Indicadores!D20</f>
        <v>97.141664692122646</v>
      </c>
      <c r="E17" s="129">
        <f>BP_AV!E27</f>
        <v>1038345</v>
      </c>
      <c r="F17" s="244">
        <f>Indicadores!E20</f>
        <v>78.035134475292708</v>
      </c>
      <c r="G17" s="129">
        <f>BP_AV!C27</f>
        <v>1250029</v>
      </c>
      <c r="H17" s="264">
        <f>Indicadores!F20</f>
        <v>59.630307350480997</v>
      </c>
    </row>
    <row r="18" spans="1:8" ht="14.25" x14ac:dyDescent="0.2">
      <c r="A18" s="265" t="s">
        <v>320</v>
      </c>
      <c r="B18" s="68" t="s">
        <v>326</v>
      </c>
      <c r="C18" s="239">
        <f t="shared" ref="C18:H18" si="0">C15+C16-C17</f>
        <v>5605157</v>
      </c>
      <c r="D18" s="240">
        <f t="shared" si="0"/>
        <v>207.60508919901392</v>
      </c>
      <c r="E18" s="239">
        <f t="shared" si="0"/>
        <v>3927360</v>
      </c>
      <c r="F18" s="240">
        <f t="shared" si="0"/>
        <v>183.728665023367</v>
      </c>
      <c r="G18" s="239">
        <f t="shared" si="0"/>
        <v>2993514</v>
      </c>
      <c r="H18" s="266">
        <f t="shared" si="0"/>
        <v>152.83498715079099</v>
      </c>
    </row>
    <row r="19" spans="1:8" ht="15" thickBot="1" x14ac:dyDescent="0.25">
      <c r="A19" s="257" t="s">
        <v>320</v>
      </c>
      <c r="B19" s="258" t="s">
        <v>327</v>
      </c>
      <c r="C19" s="276">
        <f>C18/D18</f>
        <v>26999.131002163427</v>
      </c>
      <c r="D19" s="277"/>
      <c r="E19" s="276">
        <f>E18/F18</f>
        <v>21375.869679891868</v>
      </c>
      <c r="F19" s="277"/>
      <c r="G19" s="276">
        <f>G18/H18</f>
        <v>19586.575402702267</v>
      </c>
      <c r="H19" s="278"/>
    </row>
    <row r="21" spans="1:8" ht="13.5" thickBot="1" x14ac:dyDescent="0.25"/>
    <row r="22" spans="1:8" ht="14.25" x14ac:dyDescent="0.2">
      <c r="A22" s="248"/>
      <c r="B22" s="249"/>
      <c r="C22" s="250">
        <f>'Dados BP'!G$6</f>
        <v>2008</v>
      </c>
      <c r="D22" s="251"/>
      <c r="E22" s="250">
        <f>'Dados BP'!E$6</f>
        <v>2009</v>
      </c>
      <c r="F22" s="251"/>
      <c r="G22" s="250">
        <f>'Dados BP'!C$6</f>
        <v>2010</v>
      </c>
      <c r="H22" s="252"/>
    </row>
    <row r="23" spans="1:8" ht="14.25" x14ac:dyDescent="0.2">
      <c r="A23" s="262" t="s">
        <v>328</v>
      </c>
      <c r="B23" s="241"/>
      <c r="C23" s="242" t="s">
        <v>5</v>
      </c>
      <c r="D23" s="242"/>
      <c r="E23" s="242" t="s">
        <v>5</v>
      </c>
      <c r="F23" s="242"/>
      <c r="G23" s="242" t="s">
        <v>5</v>
      </c>
      <c r="H23" s="263"/>
    </row>
    <row r="24" spans="1:8" ht="15" x14ac:dyDescent="0.25">
      <c r="A24" s="255" t="s">
        <v>318</v>
      </c>
      <c r="B24" s="61" t="s">
        <v>150</v>
      </c>
      <c r="C24" s="129">
        <f>BP_AV!G40</f>
        <v>6134025</v>
      </c>
      <c r="D24" s="243"/>
      <c r="E24" s="129">
        <f>BP_AV!E40</f>
        <v>5019812</v>
      </c>
      <c r="F24" s="244"/>
      <c r="G24" s="129">
        <f>BP_AV!C40</f>
        <v>5217757</v>
      </c>
      <c r="H24" s="264"/>
    </row>
    <row r="25" spans="1:8" ht="15" x14ac:dyDescent="0.25">
      <c r="A25" s="255" t="s">
        <v>319</v>
      </c>
      <c r="B25" s="61" t="s">
        <v>329</v>
      </c>
      <c r="C25" s="129">
        <f>BP_AV!G18</f>
        <v>3910707</v>
      </c>
      <c r="D25" s="244"/>
      <c r="E25" s="129">
        <f>BP_AV!E18</f>
        <v>3180812</v>
      </c>
      <c r="F25" s="244"/>
      <c r="G25" s="129">
        <f>BP_AV!C18</f>
        <v>3194597</v>
      </c>
      <c r="H25" s="264"/>
    </row>
    <row r="26" spans="1:8" ht="14.25" x14ac:dyDescent="0.2">
      <c r="A26" s="265" t="s">
        <v>320</v>
      </c>
      <c r="B26" s="68" t="s">
        <v>330</v>
      </c>
      <c r="C26" s="240">
        <f>C24-C25</f>
        <v>2223318</v>
      </c>
      <c r="D26" s="246"/>
      <c r="E26" s="240">
        <f>E24-E25</f>
        <v>1839000</v>
      </c>
      <c r="F26" s="246"/>
      <c r="G26" s="240">
        <f>G24-G25</f>
        <v>2023160</v>
      </c>
      <c r="H26" s="267"/>
    </row>
    <row r="27" spans="1:8" ht="15" x14ac:dyDescent="0.25">
      <c r="A27" s="268" t="s">
        <v>318</v>
      </c>
      <c r="B27" s="200" t="s">
        <v>331</v>
      </c>
      <c r="C27" s="238">
        <f>BP_AV!G38</f>
        <v>3039870</v>
      </c>
      <c r="D27" s="245"/>
      <c r="E27" s="238">
        <f>BP_AV!E38</f>
        <v>3007358</v>
      </c>
      <c r="F27" s="245"/>
      <c r="G27" s="238">
        <f>BP_AV!C38</f>
        <v>2637860</v>
      </c>
      <c r="H27" s="269"/>
    </row>
    <row r="28" spans="1:8" ht="15" thickBot="1" x14ac:dyDescent="0.25">
      <c r="A28" s="257" t="s">
        <v>320</v>
      </c>
      <c r="B28" s="258" t="s">
        <v>332</v>
      </c>
      <c r="C28" s="259">
        <f>C26+C27</f>
        <v>5263188</v>
      </c>
      <c r="D28" s="270"/>
      <c r="E28" s="259">
        <f>E26+E27</f>
        <v>4846358</v>
      </c>
      <c r="F28" s="270"/>
      <c r="G28" s="259">
        <f>G26+G27</f>
        <v>4661020</v>
      </c>
      <c r="H28" s="271"/>
    </row>
    <row r="30" spans="1:8" ht="13.5" thickBot="1" x14ac:dyDescent="0.25"/>
    <row r="31" spans="1:8" ht="14.25" x14ac:dyDescent="0.2">
      <c r="A31" s="248"/>
      <c r="B31" s="249"/>
      <c r="C31" s="250">
        <f>'Dados BP'!G$6</f>
        <v>2008</v>
      </c>
      <c r="D31" s="251"/>
      <c r="E31" s="250">
        <f>'Dados BP'!E$6</f>
        <v>2009</v>
      </c>
      <c r="F31" s="251"/>
      <c r="G31" s="250">
        <f>'Dados BP'!C$6</f>
        <v>2010</v>
      </c>
      <c r="H31" s="252"/>
    </row>
    <row r="32" spans="1:8" ht="14.25" x14ac:dyDescent="0.2">
      <c r="A32" s="262" t="s">
        <v>333</v>
      </c>
      <c r="B32" s="241"/>
      <c r="C32" s="242" t="s">
        <v>5</v>
      </c>
      <c r="D32" s="242"/>
      <c r="E32" s="242" t="s">
        <v>5</v>
      </c>
      <c r="F32" s="242"/>
      <c r="G32" s="242" t="s">
        <v>5</v>
      </c>
      <c r="H32" s="263"/>
    </row>
    <row r="33" spans="1:8" ht="15" x14ac:dyDescent="0.25">
      <c r="A33" s="255" t="s">
        <v>319</v>
      </c>
      <c r="B33" s="61" t="s">
        <v>334</v>
      </c>
      <c r="C33" s="129">
        <f>-BP_AV!G31</f>
        <v>-1259809</v>
      </c>
      <c r="D33" s="243"/>
      <c r="E33" s="129">
        <f>-BP_AV!E31</f>
        <v>-1032375</v>
      </c>
      <c r="F33" s="244"/>
      <c r="G33" s="129">
        <f>-BP_AV!C31</f>
        <v>-122273</v>
      </c>
      <c r="H33" s="264"/>
    </row>
    <row r="34" spans="1:8" ht="15" x14ac:dyDescent="0.25">
      <c r="A34" s="255" t="s">
        <v>318</v>
      </c>
      <c r="B34" s="61" t="s">
        <v>335</v>
      </c>
      <c r="C34" s="129">
        <f>BP_AV!G13</f>
        <v>4507278</v>
      </c>
      <c r="D34" s="244"/>
      <c r="E34" s="129">
        <f>BP_AV!E13</f>
        <v>4285088</v>
      </c>
      <c r="F34" s="244"/>
      <c r="G34" s="129">
        <f>BP_AV!C13</f>
        <v>3417561</v>
      </c>
      <c r="H34" s="264"/>
    </row>
    <row r="35" spans="1:8" ht="15" x14ac:dyDescent="0.25">
      <c r="A35" s="255" t="s">
        <v>319</v>
      </c>
      <c r="B35" s="61" t="s">
        <v>337</v>
      </c>
      <c r="C35" s="129">
        <f>DFC_DVA_AV!G14</f>
        <v>0</v>
      </c>
      <c r="D35" s="244"/>
      <c r="E35" s="129">
        <f>DFC_DVA_AV!E14</f>
        <v>0</v>
      </c>
      <c r="F35" s="244"/>
      <c r="G35" s="129">
        <f>DFC_DVA_AV!C14</f>
        <v>0</v>
      </c>
      <c r="H35" s="264"/>
    </row>
    <row r="36" spans="1:8" ht="15" x14ac:dyDescent="0.25">
      <c r="A36" s="255" t="s">
        <v>319</v>
      </c>
      <c r="B36" s="61" t="s">
        <v>338</v>
      </c>
      <c r="C36" s="129">
        <f>DFC_DVA_AV!G15</f>
        <v>-478883</v>
      </c>
      <c r="D36" s="244"/>
      <c r="E36" s="129">
        <f>DFC_DVA_AV!E15</f>
        <v>-339492</v>
      </c>
      <c r="F36" s="244"/>
      <c r="G36" s="129">
        <f>DFC_DVA_AV!C15</f>
        <v>-209950</v>
      </c>
      <c r="H36" s="264"/>
    </row>
    <row r="37" spans="1:8" ht="15" x14ac:dyDescent="0.25">
      <c r="A37" s="255" t="s">
        <v>319</v>
      </c>
      <c r="B37" s="61" t="s">
        <v>339</v>
      </c>
      <c r="C37" s="129">
        <f>DFC_DVA_AV!G16</f>
        <v>-480340</v>
      </c>
      <c r="D37" s="244"/>
      <c r="E37" s="129">
        <f>DFC_DVA_AV!E16</f>
        <v>-435115</v>
      </c>
      <c r="F37" s="244"/>
      <c r="G37" s="129">
        <f>DFC_DVA_AV!C16</f>
        <v>-313087</v>
      </c>
      <c r="H37" s="264"/>
    </row>
    <row r="38" spans="1:8" ht="15" x14ac:dyDescent="0.25">
      <c r="A38" s="255" t="s">
        <v>318</v>
      </c>
      <c r="B38" s="61" t="s">
        <v>340</v>
      </c>
      <c r="C38" s="129">
        <f>DFC_DVA_AV!G22</f>
        <v>0</v>
      </c>
      <c r="D38" s="244"/>
      <c r="E38" s="129">
        <f>DFC_DVA_AV!E22</f>
        <v>0</v>
      </c>
      <c r="F38" s="244"/>
      <c r="G38" s="129">
        <f>DFC_DVA_AV!C22</f>
        <v>0</v>
      </c>
      <c r="H38" s="264"/>
    </row>
    <row r="39" spans="1:8" ht="15" x14ac:dyDescent="0.25">
      <c r="A39" s="255" t="s">
        <v>336</v>
      </c>
      <c r="B39" s="61" t="s">
        <v>341</v>
      </c>
      <c r="C39" s="129">
        <v>0</v>
      </c>
      <c r="D39" s="244"/>
      <c r="E39" s="129">
        <f>-E18+C18</f>
        <v>1677797</v>
      </c>
      <c r="F39" s="244"/>
      <c r="G39" s="129">
        <f>-G18+E18</f>
        <v>933846</v>
      </c>
      <c r="H39" s="264"/>
    </row>
    <row r="40" spans="1:8" ht="15" x14ac:dyDescent="0.25">
      <c r="A40" s="255" t="s">
        <v>319</v>
      </c>
      <c r="B40" s="61" t="s">
        <v>342</v>
      </c>
      <c r="C40" s="129">
        <f>DRE_AV!G29</f>
        <v>-435136</v>
      </c>
      <c r="D40" s="244"/>
      <c r="E40" s="129">
        <f>DRE_AV!E29</f>
        <v>-220054</v>
      </c>
      <c r="F40" s="244"/>
      <c r="G40" s="129">
        <f>DRE_AV!C29</f>
        <v>-243119</v>
      </c>
      <c r="H40" s="264"/>
    </row>
    <row r="41" spans="1:8" ht="15" x14ac:dyDescent="0.25">
      <c r="A41" s="255" t="s">
        <v>319</v>
      </c>
      <c r="B41" s="61" t="s">
        <v>343</v>
      </c>
      <c r="C41" s="129">
        <f>DRE_AV!G30</f>
        <v>0</v>
      </c>
      <c r="D41" s="244"/>
      <c r="E41" s="129">
        <f>DRE_AV!E30</f>
        <v>0</v>
      </c>
      <c r="F41" s="244"/>
      <c r="G41" s="129">
        <f>DRE_AV!C30</f>
        <v>0</v>
      </c>
      <c r="H41" s="264"/>
    </row>
    <row r="42" spans="1:8" ht="15" x14ac:dyDescent="0.25">
      <c r="A42" s="255" t="s">
        <v>319</v>
      </c>
      <c r="B42" s="61" t="s">
        <v>344</v>
      </c>
      <c r="C42" s="129">
        <f>DFC_DVA_AV!G24</f>
        <v>-423468</v>
      </c>
      <c r="D42" s="244"/>
      <c r="E42" s="129">
        <f>DFC_DVA_AV!E24</f>
        <v>0</v>
      </c>
      <c r="F42" s="244"/>
      <c r="G42" s="129">
        <f>DFC_DVA_AV!C24</f>
        <v>-280732</v>
      </c>
      <c r="H42" s="264"/>
    </row>
    <row r="43" spans="1:8" ht="14.25" x14ac:dyDescent="0.2">
      <c r="A43" s="265" t="s">
        <v>320</v>
      </c>
      <c r="B43" s="68" t="s">
        <v>345</v>
      </c>
      <c r="C43" s="240">
        <f>SUM(C33:C42)</f>
        <v>1429642</v>
      </c>
      <c r="D43" s="246"/>
      <c r="E43" s="240">
        <f>SUM(E33:E42)</f>
        <v>3935849</v>
      </c>
      <c r="F43" s="246"/>
      <c r="G43" s="240">
        <f>SUM(G33:G42)</f>
        <v>3182246</v>
      </c>
      <c r="H43" s="267"/>
    </row>
    <row r="44" spans="1:8" x14ac:dyDescent="0.2">
      <c r="A44" s="272"/>
      <c r="H44" s="273"/>
    </row>
    <row r="45" spans="1:8" ht="14.25" x14ac:dyDescent="0.2">
      <c r="A45" s="265" t="s">
        <v>336</v>
      </c>
      <c r="B45" s="68" t="s">
        <v>346</v>
      </c>
      <c r="C45" s="240">
        <f>Indicadores!D42</f>
        <v>1340070</v>
      </c>
      <c r="D45" s="246"/>
      <c r="E45" s="240">
        <f>Indicadores!E42</f>
        <v>995081</v>
      </c>
      <c r="F45" s="246"/>
      <c r="G45" s="240">
        <f>Indicadores!F42</f>
        <v>865339</v>
      </c>
      <c r="H45" s="267"/>
    </row>
    <row r="46" spans="1:8" x14ac:dyDescent="0.2">
      <c r="A46" s="272"/>
      <c r="H46" s="273"/>
    </row>
    <row r="47" spans="1:8" ht="15" thickBot="1" x14ac:dyDescent="0.25">
      <c r="A47" s="257" t="s">
        <v>336</v>
      </c>
      <c r="B47" s="258" t="s">
        <v>347</v>
      </c>
      <c r="C47" s="259">
        <f>C45+C43</f>
        <v>2769712</v>
      </c>
      <c r="D47" s="270"/>
      <c r="E47" s="259">
        <f>E45+E43</f>
        <v>4930930</v>
      </c>
      <c r="F47" s="270"/>
      <c r="G47" s="259">
        <f>G45+G43</f>
        <v>4047585</v>
      </c>
      <c r="H47" s="271"/>
    </row>
  </sheetData>
  <sheetProtection password="900E" sheet="1" objects="1" scenarios="1"/>
  <mergeCells count="3">
    <mergeCell ref="C19:D19"/>
    <mergeCell ref="E19:F19"/>
    <mergeCell ref="G19:H19"/>
  </mergeCells>
  <pageMargins left="0" right="0" top="0.78740157480314965" bottom="0.78740157480314965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34"/>
  <sheetViews>
    <sheetView topLeftCell="A10" workbookViewId="0">
      <selection activeCell="G30" sqref="G30"/>
    </sheetView>
  </sheetViews>
  <sheetFormatPr defaultRowHeight="12.75" x14ac:dyDescent="0.2"/>
  <cols>
    <col min="1" max="1" width="7" customWidth="1"/>
    <col min="2" max="2" width="50" customWidth="1"/>
    <col min="3" max="3" width="17.83203125" customWidth="1"/>
    <col min="4" max="4" width="1.83203125" customWidth="1"/>
    <col min="5" max="5" width="17.83203125" customWidth="1"/>
    <col min="6" max="6" width="1.83203125" customWidth="1"/>
    <col min="7" max="7" width="18.83203125" customWidth="1"/>
  </cols>
  <sheetData>
    <row r="3" spans="1:7" ht="20.25" x14ac:dyDescent="0.3">
      <c r="A3" s="15" t="str">
        <f>'Dados BP'!B2</f>
        <v>EMPRESA : EMBRAER S.A.</v>
      </c>
      <c r="B3" s="237"/>
      <c r="C3" s="30"/>
      <c r="D3" s="13"/>
      <c r="E3" s="30"/>
      <c r="F3" s="13"/>
      <c r="G3" s="30"/>
    </row>
    <row r="4" spans="1:7" ht="15.75" x14ac:dyDescent="0.25">
      <c r="A4" s="15"/>
      <c r="B4" s="13"/>
      <c r="C4" s="30"/>
      <c r="D4" s="13"/>
      <c r="E4" s="30"/>
      <c r="F4" s="13"/>
      <c r="G4" s="30"/>
    </row>
    <row r="5" spans="1:7" ht="15.75" x14ac:dyDescent="0.25">
      <c r="A5" s="31"/>
      <c r="C5" s="32"/>
      <c r="E5" s="32"/>
      <c r="G5" s="32"/>
    </row>
    <row r="6" spans="1:7" ht="20.25" x14ac:dyDescent="0.3">
      <c r="A6" s="226" t="s">
        <v>51</v>
      </c>
      <c r="B6" s="226"/>
      <c r="C6" s="227"/>
      <c r="D6" s="226"/>
      <c r="E6" s="227"/>
      <c r="F6" s="226"/>
      <c r="G6" s="227"/>
    </row>
    <row r="7" spans="1:7" ht="20.25" x14ac:dyDescent="0.3">
      <c r="A7" s="226"/>
      <c r="B7" s="226"/>
      <c r="C7" s="227"/>
      <c r="D7" s="226"/>
      <c r="E7" s="227"/>
      <c r="F7" s="226"/>
      <c r="G7" s="227"/>
    </row>
    <row r="8" spans="1:7" ht="15.75" x14ac:dyDescent="0.25">
      <c r="A8" s="15"/>
      <c r="B8" s="15"/>
      <c r="C8" s="33"/>
      <c r="D8" s="15"/>
      <c r="E8" s="33"/>
      <c r="F8" s="17" t="s">
        <v>1</v>
      </c>
      <c r="G8" s="33"/>
    </row>
    <row r="9" spans="1:7" ht="14.25" x14ac:dyDescent="0.2">
      <c r="A9" s="48"/>
      <c r="B9" s="49" t="s">
        <v>2</v>
      </c>
      <c r="C9" s="50">
        <f>BP_AV!C6</f>
        <v>2010</v>
      </c>
      <c r="D9" s="51"/>
      <c r="E9" s="50">
        <f>BP_AV!E6</f>
        <v>2009</v>
      </c>
      <c r="F9" s="51"/>
      <c r="G9" s="50">
        <f>BP_AV!G6</f>
        <v>2008</v>
      </c>
    </row>
    <row r="10" spans="1:7" ht="15" x14ac:dyDescent="0.25">
      <c r="A10" s="53"/>
      <c r="B10" s="54" t="s">
        <v>4</v>
      </c>
      <c r="C10" s="55" t="s">
        <v>5</v>
      </c>
      <c r="D10" s="56"/>
      <c r="E10" s="55" t="s">
        <v>5</v>
      </c>
      <c r="F10" s="56"/>
      <c r="G10" s="57" t="s">
        <v>5</v>
      </c>
    </row>
    <row r="11" spans="1:7" ht="14.25" x14ac:dyDescent="0.2">
      <c r="A11" s="94">
        <v>41</v>
      </c>
      <c r="B11" s="95" t="s">
        <v>52</v>
      </c>
      <c r="C11" s="232">
        <f>8700525+787987</f>
        <v>9488512</v>
      </c>
      <c r="D11" s="233"/>
      <c r="E11" s="232">
        <f>10275165+722624</f>
        <v>10997789</v>
      </c>
      <c r="F11" s="233"/>
      <c r="G11" s="232">
        <f>11359543+522065</f>
        <v>11881608</v>
      </c>
    </row>
    <row r="12" spans="1:7" ht="14.25" x14ac:dyDescent="0.2">
      <c r="A12" s="94">
        <v>411</v>
      </c>
      <c r="B12" s="204" t="s">
        <v>275</v>
      </c>
      <c r="C12" s="232">
        <f>C13+C14</f>
        <v>-107887</v>
      </c>
      <c r="D12" s="233"/>
      <c r="E12" s="232">
        <f>E13+E14</f>
        <v>-126514</v>
      </c>
      <c r="F12" s="233"/>
      <c r="G12" s="232">
        <f>G13+G14</f>
        <v>-134843</v>
      </c>
    </row>
    <row r="13" spans="1:7" ht="15" x14ac:dyDescent="0.25">
      <c r="A13" s="59">
        <v>4111</v>
      </c>
      <c r="B13" s="62" t="s">
        <v>276</v>
      </c>
      <c r="C13" s="2">
        <v>0</v>
      </c>
      <c r="D13" s="20"/>
      <c r="E13" s="2">
        <v>0</v>
      </c>
      <c r="F13" s="20"/>
      <c r="G13" s="2">
        <v>0</v>
      </c>
    </row>
    <row r="14" spans="1:7" ht="15" x14ac:dyDescent="0.25">
      <c r="A14" s="59">
        <v>4112</v>
      </c>
      <c r="B14" s="61" t="s">
        <v>277</v>
      </c>
      <c r="C14" s="2">
        <v>-107887</v>
      </c>
      <c r="D14" s="22"/>
      <c r="E14" s="2">
        <v>-126514</v>
      </c>
      <c r="F14" s="22"/>
      <c r="G14" s="2">
        <v>-134843</v>
      </c>
    </row>
    <row r="15" spans="1:7" ht="14.25" x14ac:dyDescent="0.2">
      <c r="A15" s="94">
        <v>42</v>
      </c>
      <c r="B15" s="68" t="s">
        <v>54</v>
      </c>
      <c r="C15" s="91">
        <f>C11+C12</f>
        <v>9380625</v>
      </c>
      <c r="D15" s="92"/>
      <c r="E15" s="91">
        <f>E11+E12</f>
        <v>10871275</v>
      </c>
      <c r="F15" s="92"/>
      <c r="G15" s="91">
        <f>G11+G12</f>
        <v>11746765</v>
      </c>
    </row>
    <row r="16" spans="1:7" ht="15" x14ac:dyDescent="0.25">
      <c r="A16" s="59">
        <v>421</v>
      </c>
      <c r="B16" s="61" t="s">
        <v>278</v>
      </c>
      <c r="C16" s="2">
        <v>-7582662</v>
      </c>
      <c r="D16" s="22"/>
      <c r="E16" s="2">
        <v>-8759483</v>
      </c>
      <c r="F16" s="22"/>
      <c r="G16" s="2">
        <v>-9339709</v>
      </c>
    </row>
    <row r="17" spans="1:7" ht="14.25" x14ac:dyDescent="0.2">
      <c r="A17" s="94">
        <v>43</v>
      </c>
      <c r="B17" s="68" t="s">
        <v>279</v>
      </c>
      <c r="C17" s="91">
        <f>SUM(C15:C16)</f>
        <v>1797963</v>
      </c>
      <c r="D17" s="92"/>
      <c r="E17" s="91">
        <f>SUM(E15:E16)</f>
        <v>2111792</v>
      </c>
      <c r="F17" s="92"/>
      <c r="G17" s="91">
        <f>SUM(G15:G16)</f>
        <v>2407056</v>
      </c>
    </row>
    <row r="18" spans="1:7" ht="15" x14ac:dyDescent="0.25">
      <c r="A18" s="59">
        <v>431</v>
      </c>
      <c r="B18" s="61" t="s">
        <v>55</v>
      </c>
      <c r="C18" s="84">
        <f>SUM(C19:C21)</f>
        <v>-1112443</v>
      </c>
      <c r="D18" s="83"/>
      <c r="E18" s="84">
        <f>SUM(E19:E21)</f>
        <v>-1345052</v>
      </c>
      <c r="F18" s="83"/>
      <c r="G18" s="84">
        <f>SUM(G19:G21)</f>
        <v>-1294560</v>
      </c>
    </row>
    <row r="19" spans="1:7" ht="15" x14ac:dyDescent="0.25">
      <c r="A19" s="59">
        <v>4311</v>
      </c>
      <c r="B19" s="61" t="s">
        <v>56</v>
      </c>
      <c r="C19" s="2">
        <v>-657010</v>
      </c>
      <c r="D19" s="20"/>
      <c r="E19" s="2">
        <v>-601119</v>
      </c>
      <c r="F19" s="20"/>
      <c r="G19" s="2">
        <v>-731155</v>
      </c>
    </row>
    <row r="20" spans="1:7" ht="15" x14ac:dyDescent="0.25">
      <c r="A20" s="59">
        <v>4312</v>
      </c>
      <c r="B20" s="61" t="s">
        <v>57</v>
      </c>
      <c r="C20" s="2">
        <v>-346061</v>
      </c>
      <c r="D20" s="20"/>
      <c r="E20" s="2">
        <v>-376199</v>
      </c>
      <c r="F20" s="20"/>
      <c r="G20" s="2">
        <f>-396845-28451</f>
        <v>-425296</v>
      </c>
    </row>
    <row r="21" spans="1:7" ht="15" x14ac:dyDescent="0.25">
      <c r="A21" s="59">
        <v>4313</v>
      </c>
      <c r="B21" s="61" t="s">
        <v>58</v>
      </c>
      <c r="C21" s="2">
        <v>-109372</v>
      </c>
      <c r="D21" s="22"/>
      <c r="E21" s="2">
        <f>-110855-256879</f>
        <v>-367734</v>
      </c>
      <c r="F21" s="22"/>
      <c r="G21" s="2">
        <f>-138018-91</f>
        <v>-138109</v>
      </c>
    </row>
    <row r="22" spans="1:7" ht="14.25" x14ac:dyDescent="0.2">
      <c r="A22" s="94">
        <v>44</v>
      </c>
      <c r="B22" s="68" t="s">
        <v>59</v>
      </c>
      <c r="C22" s="91">
        <f>C17+C18</f>
        <v>685520</v>
      </c>
      <c r="D22" s="92"/>
      <c r="E22" s="91">
        <f>E17+E18</f>
        <v>766740</v>
      </c>
      <c r="F22" s="92"/>
      <c r="G22" s="91">
        <f>G17+G18</f>
        <v>1112496</v>
      </c>
    </row>
    <row r="23" spans="1:7" ht="15" x14ac:dyDescent="0.25">
      <c r="A23" s="59">
        <v>441</v>
      </c>
      <c r="B23" s="61" t="s">
        <v>60</v>
      </c>
      <c r="C23" s="90">
        <f>+C24+C25</f>
        <v>30885</v>
      </c>
      <c r="D23" s="89"/>
      <c r="E23" s="90">
        <f>+E24+E25</f>
        <v>16301</v>
      </c>
      <c r="F23" s="89"/>
      <c r="G23" s="90">
        <f>+G24+G25</f>
        <v>-40487</v>
      </c>
    </row>
    <row r="24" spans="1:7" ht="15" x14ac:dyDescent="0.25">
      <c r="A24" s="59">
        <v>4411</v>
      </c>
      <c r="B24" s="61" t="s">
        <v>61</v>
      </c>
      <c r="C24" s="2">
        <v>30885</v>
      </c>
      <c r="D24" s="20"/>
      <c r="E24" s="2">
        <v>16301</v>
      </c>
      <c r="F24" s="20"/>
      <c r="G24" s="2">
        <v>189033</v>
      </c>
    </row>
    <row r="25" spans="1:7" ht="15" x14ac:dyDescent="0.25">
      <c r="A25" s="59">
        <v>4412</v>
      </c>
      <c r="B25" s="61" t="s">
        <v>62</v>
      </c>
      <c r="C25" s="2">
        <v>0</v>
      </c>
      <c r="D25" s="20"/>
      <c r="E25" s="2">
        <v>0</v>
      </c>
      <c r="F25" s="20"/>
      <c r="G25" s="2">
        <v>-229520</v>
      </c>
    </row>
    <row r="26" spans="1:7" ht="15" x14ac:dyDescent="0.25">
      <c r="A26" s="59">
        <v>442</v>
      </c>
      <c r="B26" s="71" t="s">
        <v>164</v>
      </c>
      <c r="C26" s="2">
        <v>0</v>
      </c>
      <c r="D26" s="20"/>
      <c r="E26" s="2">
        <v>0</v>
      </c>
      <c r="F26" s="20"/>
      <c r="G26" s="2">
        <v>0</v>
      </c>
    </row>
    <row r="27" spans="1:7" ht="15" x14ac:dyDescent="0.25">
      <c r="A27" s="59">
        <v>443</v>
      </c>
      <c r="B27" s="62" t="s">
        <v>280</v>
      </c>
      <c r="C27" s="2">
        <v>0</v>
      </c>
      <c r="D27" s="20"/>
      <c r="E27" s="2">
        <v>0</v>
      </c>
      <c r="F27" s="20"/>
      <c r="G27" s="2">
        <v>0</v>
      </c>
    </row>
    <row r="28" spans="1:7" ht="15" x14ac:dyDescent="0.25">
      <c r="A28" s="59">
        <v>444</v>
      </c>
      <c r="B28" s="62" t="s">
        <v>281</v>
      </c>
      <c r="C28" s="2">
        <v>-1350</v>
      </c>
      <c r="D28" s="22"/>
      <c r="E28" s="2">
        <v>-135824</v>
      </c>
      <c r="F28" s="22"/>
      <c r="G28" s="2">
        <v>-188830</v>
      </c>
    </row>
    <row r="29" spans="1:7" ht="14.25" x14ac:dyDescent="0.2">
      <c r="A29" s="94">
        <v>45</v>
      </c>
      <c r="B29" s="68" t="s">
        <v>64</v>
      </c>
      <c r="C29" s="91">
        <f>+C22+C23+C26+C27+C28</f>
        <v>715055</v>
      </c>
      <c r="D29" s="92"/>
      <c r="E29" s="91">
        <f>+E22+E23+E26+E27+E28</f>
        <v>647217</v>
      </c>
      <c r="F29" s="92"/>
      <c r="G29" s="91">
        <f>+G22+G23+G26+G27+G28</f>
        <v>883179</v>
      </c>
    </row>
    <row r="30" spans="1:7" ht="15" x14ac:dyDescent="0.25">
      <c r="A30" s="59">
        <v>451</v>
      </c>
      <c r="B30" s="61" t="s">
        <v>65</v>
      </c>
      <c r="C30" s="2">
        <v>-243119</v>
      </c>
      <c r="D30" s="20"/>
      <c r="E30" s="2">
        <v>-220054</v>
      </c>
      <c r="F30" s="20"/>
      <c r="G30" s="2">
        <f>-23623-411513</f>
        <v>-435136</v>
      </c>
    </row>
    <row r="31" spans="1:7" ht="15" x14ac:dyDescent="0.25">
      <c r="A31" s="59">
        <v>452</v>
      </c>
      <c r="B31" s="61" t="s">
        <v>290</v>
      </c>
      <c r="C31" s="2">
        <v>0</v>
      </c>
      <c r="D31" s="22"/>
      <c r="E31" s="2">
        <v>0</v>
      </c>
      <c r="F31" s="22"/>
      <c r="G31" s="2">
        <v>0</v>
      </c>
    </row>
    <row r="32" spans="1:7" ht="14.25" x14ac:dyDescent="0.2">
      <c r="A32" s="94">
        <v>46</v>
      </c>
      <c r="B32" s="95" t="s">
        <v>67</v>
      </c>
      <c r="C32" s="91">
        <f>SUM(C29:C31)</f>
        <v>471936</v>
      </c>
      <c r="D32" s="92"/>
      <c r="E32" s="91">
        <f>SUM(E29:E31)</f>
        <v>427163</v>
      </c>
      <c r="F32" s="92"/>
      <c r="G32" s="91">
        <f>SUM(G29:G31)</f>
        <v>448043</v>
      </c>
    </row>
    <row r="33" spans="1:7" ht="15.75" x14ac:dyDescent="0.25">
      <c r="A33" s="34"/>
      <c r="B33" s="34"/>
      <c r="C33" s="35"/>
      <c r="D33" s="36"/>
      <c r="E33" s="35"/>
      <c r="F33" s="36"/>
      <c r="G33" s="35"/>
    </row>
    <row r="34" spans="1:7" ht="15.75" x14ac:dyDescent="0.25">
      <c r="A34" s="34"/>
      <c r="B34" s="34"/>
      <c r="C34" s="35"/>
      <c r="D34" s="36"/>
      <c r="E34" s="35"/>
      <c r="F34" s="36"/>
      <c r="G34" s="35"/>
    </row>
  </sheetData>
  <sheetProtection password="880E" sheet="1"/>
  <phoneticPr fontId="0" type="noConversion"/>
  <pageMargins left="0.39370078740157483" right="0.39370078740157483" top="0.98425196850393704" bottom="0.98425196850393704" header="0.51181102362204722" footer="0.51181102362204722"/>
  <pageSetup paperSize="121" scale="9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"/>
  <sheetViews>
    <sheetView topLeftCell="A31" workbookViewId="0">
      <selection activeCell="Q38" sqref="Q38"/>
    </sheetView>
  </sheetViews>
  <sheetFormatPr defaultRowHeight="12.75" x14ac:dyDescent="0.2"/>
  <cols>
    <col min="1" max="1" width="7" customWidth="1"/>
    <col min="2" max="2" width="30.83203125" customWidth="1"/>
    <col min="3" max="3" width="17.83203125" customWidth="1"/>
    <col min="4" max="4" width="1.83203125" customWidth="1"/>
    <col min="5" max="5" width="17.83203125" customWidth="1"/>
    <col min="6" max="6" width="1.83203125" customWidth="1"/>
    <col min="7" max="7" width="17.83203125" customWidth="1"/>
  </cols>
  <sheetData>
    <row r="1" spans="1:7" ht="15.75" x14ac:dyDescent="0.25">
      <c r="A1" s="15" t="str">
        <f>'Dados BP'!B2</f>
        <v>EMPRESA : EMBRAER S.A.</v>
      </c>
      <c r="B1" s="13"/>
      <c r="C1" s="30"/>
      <c r="D1" s="13"/>
      <c r="E1" s="30"/>
      <c r="F1" s="13"/>
      <c r="G1" s="30"/>
    </row>
    <row r="2" spans="1:7" ht="15.75" x14ac:dyDescent="0.25">
      <c r="A2" s="31"/>
      <c r="C2" s="32"/>
      <c r="E2" s="32"/>
      <c r="G2" s="32"/>
    </row>
    <row r="3" spans="1:7" ht="15.75" x14ac:dyDescent="0.25">
      <c r="A3" s="185" t="s">
        <v>184</v>
      </c>
      <c r="B3" s="185"/>
      <c r="C3" s="189"/>
      <c r="D3" s="185"/>
      <c r="E3" s="189"/>
      <c r="F3" s="185"/>
      <c r="G3" s="189"/>
    </row>
    <row r="4" spans="1:7" ht="15.75" x14ac:dyDescent="0.25">
      <c r="A4" s="15"/>
      <c r="B4" s="15"/>
      <c r="C4" s="33"/>
      <c r="D4" s="15"/>
      <c r="E4" s="33"/>
      <c r="F4" s="17" t="s">
        <v>1</v>
      </c>
      <c r="G4" s="33"/>
    </row>
    <row r="5" spans="1:7" ht="14.25" x14ac:dyDescent="0.2">
      <c r="A5" s="48"/>
      <c r="B5" s="49" t="s">
        <v>2</v>
      </c>
      <c r="C5" s="50">
        <f>BP_AV!C6</f>
        <v>2010</v>
      </c>
      <c r="D5" s="51"/>
      <c r="E5" s="50">
        <f>BP_AV!E6</f>
        <v>2009</v>
      </c>
      <c r="F5" s="51"/>
      <c r="G5" s="50">
        <f>BP_AV!G6</f>
        <v>2008</v>
      </c>
    </row>
    <row r="6" spans="1:7" ht="15" x14ac:dyDescent="0.25">
      <c r="A6" s="53"/>
      <c r="B6" s="54" t="s">
        <v>4</v>
      </c>
      <c r="C6" s="55" t="s">
        <v>5</v>
      </c>
      <c r="D6" s="56"/>
      <c r="E6" s="55" t="s">
        <v>5</v>
      </c>
      <c r="F6" s="56"/>
      <c r="G6" s="57" t="s">
        <v>5</v>
      </c>
    </row>
    <row r="7" spans="1:7" ht="14.25" x14ac:dyDescent="0.2">
      <c r="A7" s="48"/>
      <c r="B7" s="198" t="s">
        <v>185</v>
      </c>
      <c r="C7" s="109"/>
      <c r="D7" s="110"/>
      <c r="E7" s="109"/>
      <c r="F7" s="110"/>
      <c r="G7" s="109"/>
    </row>
    <row r="8" spans="1:7" ht="15" x14ac:dyDescent="0.25">
      <c r="A8" s="59">
        <v>611</v>
      </c>
      <c r="B8" s="62" t="s">
        <v>195</v>
      </c>
      <c r="C8" s="2">
        <v>600178</v>
      </c>
      <c r="D8" s="20"/>
      <c r="E8" s="2">
        <v>937271</v>
      </c>
      <c r="F8" s="20"/>
      <c r="G8" s="2">
        <v>428750</v>
      </c>
    </row>
    <row r="9" spans="1:7" ht="15" x14ac:dyDescent="0.25">
      <c r="A9" s="59">
        <v>612</v>
      </c>
      <c r="B9" s="62" t="s">
        <v>282</v>
      </c>
      <c r="C9" s="2">
        <v>568832</v>
      </c>
      <c r="D9" s="20"/>
      <c r="E9" s="2">
        <v>371418</v>
      </c>
      <c r="F9" s="20"/>
      <c r="G9" s="2">
        <f>387216+1371-52797-3287+20128+411513-14418-5173+91-216618+19292+1752</f>
        <v>549070</v>
      </c>
    </row>
    <row r="10" spans="1:7" ht="15" x14ac:dyDescent="0.25">
      <c r="A10" s="59">
        <v>613</v>
      </c>
      <c r="B10" s="61" t="s">
        <v>194</v>
      </c>
      <c r="C10" s="2">
        <v>332532</v>
      </c>
      <c r="D10" s="22"/>
      <c r="E10" s="2">
        <v>-1512812</v>
      </c>
      <c r="F10" s="22"/>
      <c r="G10" s="2">
        <f>-135411-1605-116466-22161-644979-30641+5395-42934-48936+275856+30743+5897-52878+21730-14130+770695-3578+719076-2628+262885-33040</f>
        <v>942890</v>
      </c>
    </row>
    <row r="11" spans="1:7" ht="14.25" x14ac:dyDescent="0.2">
      <c r="A11" s="94">
        <v>61</v>
      </c>
      <c r="B11" s="68" t="s">
        <v>196</v>
      </c>
      <c r="C11" s="91">
        <f>SUM(C8:C10)</f>
        <v>1501542</v>
      </c>
      <c r="D11" s="92"/>
      <c r="E11" s="91">
        <f>SUM(E8:E10)</f>
        <v>-204123</v>
      </c>
      <c r="F11" s="92"/>
      <c r="G11" s="91">
        <f>SUM(G8:G10)</f>
        <v>1920710</v>
      </c>
    </row>
    <row r="12" spans="1:7" ht="6.75" customHeight="1" x14ac:dyDescent="0.25">
      <c r="A12" s="64"/>
      <c r="B12" s="200"/>
      <c r="C12" s="196"/>
      <c r="D12" s="197"/>
      <c r="E12" s="196"/>
      <c r="F12" s="197"/>
      <c r="G12" s="196"/>
    </row>
    <row r="13" spans="1:7" ht="14.25" x14ac:dyDescent="0.2">
      <c r="A13" s="48"/>
      <c r="B13" s="198" t="s">
        <v>197</v>
      </c>
      <c r="C13" s="109"/>
      <c r="D13" s="110"/>
      <c r="E13" s="109"/>
      <c r="F13" s="110"/>
      <c r="G13" s="109"/>
    </row>
    <row r="14" spans="1:7" ht="15" x14ac:dyDescent="0.25">
      <c r="A14" s="59">
        <v>621</v>
      </c>
      <c r="B14" s="62" t="s">
        <v>186</v>
      </c>
      <c r="C14" s="2">
        <v>0</v>
      </c>
      <c r="D14" s="20"/>
      <c r="E14" s="2">
        <v>0</v>
      </c>
      <c r="F14" s="20"/>
      <c r="G14" s="2">
        <v>0</v>
      </c>
    </row>
    <row r="15" spans="1:7" ht="15" x14ac:dyDescent="0.25">
      <c r="A15" s="59">
        <v>622</v>
      </c>
      <c r="B15" s="62" t="s">
        <v>187</v>
      </c>
      <c r="C15" s="2">
        <f>50314+(-260264)</f>
        <v>-209950</v>
      </c>
      <c r="D15" s="20"/>
      <c r="E15" s="2">
        <f>49925+(-389417)</f>
        <v>-339492</v>
      </c>
      <c r="F15" s="20"/>
      <c r="G15" s="2">
        <f>3330-482213</f>
        <v>-478883</v>
      </c>
    </row>
    <row r="16" spans="1:7" ht="15" x14ac:dyDescent="0.25">
      <c r="A16" s="59">
        <v>623</v>
      </c>
      <c r="B16" s="62" t="s">
        <v>188</v>
      </c>
      <c r="C16" s="2">
        <v>-313087</v>
      </c>
      <c r="D16" s="20"/>
      <c r="E16" s="2">
        <v>-435115</v>
      </c>
      <c r="F16" s="20"/>
      <c r="G16" s="2">
        <v>-480340</v>
      </c>
    </row>
    <row r="17" spans="1:7" ht="15" x14ac:dyDescent="0.25">
      <c r="A17" s="59">
        <v>624</v>
      </c>
      <c r="B17" s="61" t="s">
        <v>283</v>
      </c>
      <c r="C17" s="2">
        <v>17626</v>
      </c>
      <c r="D17" s="22"/>
      <c r="E17" s="2">
        <v>-5466</v>
      </c>
      <c r="F17" s="22"/>
      <c r="G17" s="2">
        <f>53-24233</f>
        <v>-24180</v>
      </c>
    </row>
    <row r="18" spans="1:7" ht="14.25" x14ac:dyDescent="0.2">
      <c r="A18" s="94">
        <v>62</v>
      </c>
      <c r="B18" s="68" t="s">
        <v>199</v>
      </c>
      <c r="C18" s="91">
        <f>SUM(C14:C17)</f>
        <v>-505411</v>
      </c>
      <c r="D18" s="92"/>
      <c r="E18" s="91">
        <f>SUM(E14:E17)</f>
        <v>-780073</v>
      </c>
      <c r="F18" s="92"/>
      <c r="G18" s="91">
        <f>SUM(G14:G17)</f>
        <v>-983403</v>
      </c>
    </row>
    <row r="19" spans="1:7" ht="7.5" customHeight="1" x14ac:dyDescent="0.25">
      <c r="A19" s="64"/>
      <c r="B19" s="200"/>
      <c r="C19" s="196"/>
      <c r="D19" s="197"/>
      <c r="E19" s="196"/>
      <c r="F19" s="197"/>
      <c r="G19" s="196"/>
    </row>
    <row r="20" spans="1:7" ht="14.25" x14ac:dyDescent="0.2">
      <c r="A20" s="48"/>
      <c r="B20" s="198" t="s">
        <v>198</v>
      </c>
      <c r="C20" s="109"/>
      <c r="D20" s="110"/>
      <c r="E20" s="109"/>
      <c r="F20" s="110"/>
      <c r="G20" s="109"/>
    </row>
    <row r="21" spans="1:7" ht="15" x14ac:dyDescent="0.25">
      <c r="A21" s="59">
        <v>631</v>
      </c>
      <c r="B21" s="62" t="s">
        <v>189</v>
      </c>
      <c r="C21" s="2">
        <v>0</v>
      </c>
      <c r="D21" s="20"/>
      <c r="E21" s="2">
        <v>0</v>
      </c>
      <c r="F21" s="20"/>
      <c r="G21" s="2">
        <v>0</v>
      </c>
    </row>
    <row r="22" spans="1:7" ht="15" x14ac:dyDescent="0.25">
      <c r="A22" s="59">
        <v>632</v>
      </c>
      <c r="B22" s="62" t="s">
        <v>284</v>
      </c>
      <c r="C22" s="2">
        <v>1636351</v>
      </c>
      <c r="D22" s="20"/>
      <c r="E22" s="2">
        <v>2810316</v>
      </c>
      <c r="F22" s="20"/>
      <c r="G22" s="2">
        <v>3777418</v>
      </c>
    </row>
    <row r="23" spans="1:7" ht="15" x14ac:dyDescent="0.25">
      <c r="A23" s="59">
        <v>633</v>
      </c>
      <c r="B23" s="62" t="s">
        <v>285</v>
      </c>
      <c r="C23" s="2">
        <v>0</v>
      </c>
      <c r="D23" s="20"/>
      <c r="E23" s="2">
        <v>0</v>
      </c>
      <c r="F23" s="20"/>
      <c r="G23" s="2">
        <v>0</v>
      </c>
    </row>
    <row r="24" spans="1:7" ht="15" x14ac:dyDescent="0.25">
      <c r="A24" s="59">
        <v>634</v>
      </c>
      <c r="B24" s="62" t="s">
        <v>200</v>
      </c>
      <c r="C24" s="2">
        <v>-280732</v>
      </c>
      <c r="D24" s="20"/>
      <c r="E24" s="2">
        <v>0</v>
      </c>
      <c r="F24" s="20"/>
      <c r="G24" s="2">
        <v>-423468</v>
      </c>
    </row>
    <row r="25" spans="1:7" ht="15" x14ac:dyDescent="0.25">
      <c r="A25" s="59">
        <v>635</v>
      </c>
      <c r="B25" s="61" t="s">
        <v>190</v>
      </c>
      <c r="C25" s="2">
        <v>-2766623</v>
      </c>
      <c r="D25" s="20"/>
      <c r="E25" s="2">
        <v>-2946469</v>
      </c>
      <c r="F25" s="20"/>
      <c r="G25" s="2">
        <v>-3330640</v>
      </c>
    </row>
    <row r="26" spans="1:7" ht="15" x14ac:dyDescent="0.25">
      <c r="A26" s="59">
        <v>636</v>
      </c>
      <c r="B26" s="62" t="s">
        <v>286</v>
      </c>
      <c r="C26" s="2">
        <v>-39</v>
      </c>
      <c r="D26" s="22"/>
      <c r="E26" s="2">
        <v>0</v>
      </c>
      <c r="F26" s="22"/>
      <c r="G26" s="2">
        <f>-317963-3215</f>
        <v>-321178</v>
      </c>
    </row>
    <row r="27" spans="1:7" ht="14.25" x14ac:dyDescent="0.2">
      <c r="A27" s="94">
        <v>63</v>
      </c>
      <c r="B27" s="68" t="s">
        <v>202</v>
      </c>
      <c r="C27" s="91">
        <f>SUM(C21:C26)</f>
        <v>-1411043</v>
      </c>
      <c r="D27" s="92"/>
      <c r="E27" s="91">
        <f>SUM(E21:E26)</f>
        <v>-136153</v>
      </c>
      <c r="F27" s="92"/>
      <c r="G27" s="91">
        <f>SUM(G21:G26)</f>
        <v>-297868</v>
      </c>
    </row>
    <row r="28" spans="1:7" ht="7.5" customHeight="1" x14ac:dyDescent="0.25">
      <c r="A28" s="59"/>
      <c r="B28" s="61"/>
      <c r="C28" s="2"/>
      <c r="D28" s="22"/>
      <c r="E28" s="2"/>
      <c r="F28" s="22"/>
      <c r="G28" s="2"/>
    </row>
    <row r="29" spans="1:7" ht="14.25" x14ac:dyDescent="0.2">
      <c r="A29" s="94">
        <v>64</v>
      </c>
      <c r="B29" s="204" t="s">
        <v>203</v>
      </c>
      <c r="C29" s="91">
        <f>C11+C18+C27</f>
        <v>-414912</v>
      </c>
      <c r="D29" s="92"/>
      <c r="E29" s="91">
        <f>E11+E18+E27</f>
        <v>-1120349</v>
      </c>
      <c r="F29" s="92"/>
      <c r="G29" s="91">
        <f>G11+G18+G27</f>
        <v>639439</v>
      </c>
    </row>
    <row r="32" spans="1:7" ht="15.75" x14ac:dyDescent="0.25">
      <c r="A32" s="185" t="s">
        <v>191</v>
      </c>
      <c r="B32" s="185"/>
      <c r="C32" s="189"/>
      <c r="D32" s="185"/>
      <c r="E32" s="189"/>
      <c r="F32" s="185"/>
      <c r="G32" s="189"/>
    </row>
    <row r="33" spans="1:7" ht="15.75" x14ac:dyDescent="0.25">
      <c r="A33" s="15"/>
      <c r="B33" s="15"/>
      <c r="C33" s="33"/>
      <c r="D33" s="15"/>
      <c r="E33" s="33"/>
      <c r="F33" s="17" t="s">
        <v>1</v>
      </c>
      <c r="G33" s="33"/>
    </row>
    <row r="34" spans="1:7" ht="14.25" x14ac:dyDescent="0.2">
      <c r="A34" s="48"/>
      <c r="B34" s="49" t="s">
        <v>2</v>
      </c>
      <c r="C34" s="50">
        <f>C5</f>
        <v>2010</v>
      </c>
      <c r="D34" s="51"/>
      <c r="E34" s="50">
        <f>E5</f>
        <v>2009</v>
      </c>
      <c r="F34" s="51"/>
      <c r="G34" s="50">
        <f>G5</f>
        <v>2008</v>
      </c>
    </row>
    <row r="35" spans="1:7" ht="15" x14ac:dyDescent="0.25">
      <c r="A35" s="53"/>
      <c r="B35" s="54" t="s">
        <v>4</v>
      </c>
      <c r="C35" s="55" t="s">
        <v>5</v>
      </c>
      <c r="D35" s="56"/>
      <c r="E35" s="55" t="s">
        <v>5</v>
      </c>
      <c r="F35" s="56"/>
      <c r="G35" s="57" t="s">
        <v>5</v>
      </c>
    </row>
    <row r="36" spans="1:7" ht="14.25" x14ac:dyDescent="0.2">
      <c r="A36" s="94">
        <v>71</v>
      </c>
      <c r="B36" s="68" t="s">
        <v>287</v>
      </c>
      <c r="C36" s="199">
        <v>9751499</v>
      </c>
      <c r="D36" s="217"/>
      <c r="E36" s="199">
        <v>11324311</v>
      </c>
      <c r="F36" s="217"/>
      <c r="G36" s="199">
        <v>12300898</v>
      </c>
    </row>
    <row r="37" spans="1:7" ht="15" x14ac:dyDescent="0.25">
      <c r="A37" s="64">
        <v>711</v>
      </c>
      <c r="B37" s="215" t="s">
        <v>205</v>
      </c>
      <c r="C37" s="196">
        <v>-6907684</v>
      </c>
      <c r="D37" s="197"/>
      <c r="E37" s="196">
        <v>-8208348</v>
      </c>
      <c r="F37" s="197"/>
      <c r="G37" s="196">
        <v>-9303689</v>
      </c>
    </row>
    <row r="38" spans="1:7" ht="14.25" x14ac:dyDescent="0.2">
      <c r="A38" s="94">
        <v>72</v>
      </c>
      <c r="B38" s="216" t="s">
        <v>192</v>
      </c>
      <c r="C38" s="102">
        <f>C36+C37</f>
        <v>2843815</v>
      </c>
      <c r="D38" s="92"/>
      <c r="E38" s="102">
        <f>E36+E37</f>
        <v>3115963</v>
      </c>
      <c r="F38" s="92"/>
      <c r="G38" s="102">
        <f>G36+G37</f>
        <v>2997209</v>
      </c>
    </row>
    <row r="39" spans="1:7" ht="15" x14ac:dyDescent="0.25">
      <c r="A39" s="64">
        <v>721</v>
      </c>
      <c r="B39" s="215" t="s">
        <v>206</v>
      </c>
      <c r="C39" s="196">
        <v>-383595</v>
      </c>
      <c r="D39" s="197"/>
      <c r="E39" s="196">
        <v>-452148</v>
      </c>
      <c r="F39" s="197"/>
      <c r="G39" s="196">
        <v>-227574</v>
      </c>
    </row>
    <row r="40" spans="1:7" ht="14.25" x14ac:dyDescent="0.2">
      <c r="A40" s="94">
        <v>73</v>
      </c>
      <c r="B40" s="216" t="s">
        <v>193</v>
      </c>
      <c r="C40" s="102">
        <f>C38+C39</f>
        <v>2460220</v>
      </c>
      <c r="D40" s="92"/>
      <c r="E40" s="102">
        <f>E38+E39</f>
        <v>2663815</v>
      </c>
      <c r="F40" s="92"/>
      <c r="G40" s="102">
        <f>G38+G39</f>
        <v>2769635</v>
      </c>
    </row>
    <row r="41" spans="1:7" ht="15" x14ac:dyDescent="0.25">
      <c r="A41" s="59">
        <v>731</v>
      </c>
      <c r="B41" s="61" t="s">
        <v>288</v>
      </c>
      <c r="C41" s="2">
        <v>246826</v>
      </c>
      <c r="D41" s="22"/>
      <c r="E41" s="2">
        <v>302771</v>
      </c>
      <c r="F41" s="22"/>
      <c r="G41" s="2">
        <f>189033-91</f>
        <v>188942</v>
      </c>
    </row>
    <row r="42" spans="1:7" ht="14.25" x14ac:dyDescent="0.2">
      <c r="A42" s="94">
        <v>74</v>
      </c>
      <c r="B42" s="68" t="s">
        <v>207</v>
      </c>
      <c r="C42" s="91">
        <f>C40+C41</f>
        <v>2707046</v>
      </c>
      <c r="D42" s="92"/>
      <c r="E42" s="91">
        <f>E40+E41</f>
        <v>2966586</v>
      </c>
      <c r="F42" s="92"/>
      <c r="G42" s="91">
        <f>G40+G41</f>
        <v>2958577</v>
      </c>
    </row>
    <row r="43" spans="1:7" ht="15" x14ac:dyDescent="0.25">
      <c r="A43" s="64"/>
      <c r="B43" s="200"/>
      <c r="C43" s="196"/>
      <c r="D43" s="197"/>
      <c r="E43" s="196"/>
      <c r="F43" s="197"/>
      <c r="G43" s="196"/>
    </row>
    <row r="44" spans="1:7" ht="14.25" x14ac:dyDescent="0.2">
      <c r="A44" s="94">
        <v>75</v>
      </c>
      <c r="B44" s="68" t="s">
        <v>214</v>
      </c>
      <c r="C44" s="91">
        <f>SUM(C45:C50)</f>
        <v>2707045</v>
      </c>
      <c r="D44" s="92"/>
      <c r="E44" s="91">
        <f>SUM(E45:E50)</f>
        <v>2966586</v>
      </c>
      <c r="F44" s="92"/>
      <c r="G44" s="91">
        <f>SUM(G45:G50)</f>
        <v>2958577</v>
      </c>
    </row>
    <row r="45" spans="1:7" ht="15" x14ac:dyDescent="0.25">
      <c r="A45" s="59">
        <v>751</v>
      </c>
      <c r="B45" s="62" t="s">
        <v>289</v>
      </c>
      <c r="C45" s="2">
        <v>1359157</v>
      </c>
      <c r="D45" s="20"/>
      <c r="E45" s="2">
        <v>1467619</v>
      </c>
      <c r="F45" s="20"/>
      <c r="G45" s="2">
        <v>1526710</v>
      </c>
    </row>
    <row r="46" spans="1:7" ht="15" x14ac:dyDescent="0.25">
      <c r="A46" s="59">
        <v>752</v>
      </c>
      <c r="B46" s="62" t="s">
        <v>209</v>
      </c>
      <c r="C46" s="2">
        <f>448663+55053</f>
        <v>503716</v>
      </c>
      <c r="D46" s="20"/>
      <c r="E46" s="2">
        <f>486869-367580</f>
        <v>119289</v>
      </c>
      <c r="F46" s="20"/>
      <c r="G46" s="2">
        <f>137934+411513</f>
        <v>549447</v>
      </c>
    </row>
    <row r="47" spans="1:7" ht="15" x14ac:dyDescent="0.25">
      <c r="A47" s="59">
        <v>753</v>
      </c>
      <c r="B47" s="62" t="s">
        <v>210</v>
      </c>
      <c r="C47" s="2">
        <v>243994</v>
      </c>
      <c r="D47" s="20"/>
      <c r="E47" s="2">
        <v>442408</v>
      </c>
      <c r="F47" s="20"/>
      <c r="G47" s="2">
        <v>434377</v>
      </c>
    </row>
    <row r="48" spans="1:7" ht="15" x14ac:dyDescent="0.25">
      <c r="A48" s="59">
        <v>754</v>
      </c>
      <c r="B48" s="62" t="s">
        <v>211</v>
      </c>
      <c r="C48" s="2">
        <v>155728</v>
      </c>
      <c r="D48" s="20"/>
      <c r="E48" s="2">
        <v>228880</v>
      </c>
      <c r="F48" s="20"/>
      <c r="G48" s="2">
        <v>224210</v>
      </c>
    </row>
    <row r="49" spans="1:7" ht="15" x14ac:dyDescent="0.25">
      <c r="A49" s="59">
        <v>755</v>
      </c>
      <c r="B49" s="62" t="s">
        <v>212</v>
      </c>
      <c r="C49" s="2">
        <v>26586</v>
      </c>
      <c r="D49" s="20"/>
      <c r="E49" s="2">
        <v>25177</v>
      </c>
      <c r="F49" s="20"/>
      <c r="G49" s="2">
        <v>19293</v>
      </c>
    </row>
    <row r="50" spans="1:7" ht="15" x14ac:dyDescent="0.25">
      <c r="A50" s="53">
        <v>756</v>
      </c>
      <c r="B50" s="63" t="s">
        <v>213</v>
      </c>
      <c r="C50" s="3">
        <v>417864</v>
      </c>
      <c r="D50" s="22"/>
      <c r="E50" s="3">
        <v>683213</v>
      </c>
      <c r="F50" s="22"/>
      <c r="G50" s="3">
        <v>204540</v>
      </c>
    </row>
  </sheetData>
  <sheetProtection password="980E" sheet="1"/>
  <phoneticPr fontId="0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H125"/>
  <sheetViews>
    <sheetView topLeftCell="A73" workbookViewId="0">
      <selection activeCell="H23" sqref="H23"/>
    </sheetView>
  </sheetViews>
  <sheetFormatPr defaultColWidth="12" defaultRowHeight="12.75" x14ac:dyDescent="0.2"/>
  <cols>
    <col min="1" max="1" width="7.1640625" customWidth="1"/>
    <col min="2" max="2" width="30.83203125" customWidth="1"/>
    <col min="3" max="3" width="17.83203125" customWidth="1"/>
    <col min="4" max="4" width="8.83203125" customWidth="1"/>
    <col min="5" max="5" width="17.83203125" customWidth="1"/>
    <col min="6" max="6" width="8.83203125" customWidth="1"/>
    <col min="7" max="7" width="17.83203125" customWidth="1"/>
    <col min="8" max="8" width="8.83203125" customWidth="1"/>
  </cols>
  <sheetData>
    <row r="2" spans="1:8" ht="18.75" x14ac:dyDescent="0.3">
      <c r="A2" s="127" t="str">
        <f>'Dados BP'!B2</f>
        <v>EMPRESA : EMBRAER S.A.</v>
      </c>
      <c r="B2" s="13"/>
      <c r="C2" s="13"/>
      <c r="D2" s="13"/>
      <c r="E2" s="13"/>
      <c r="F2" s="13"/>
      <c r="G2" s="13"/>
      <c r="H2" s="13"/>
    </row>
    <row r="3" spans="1:8" ht="7.5" customHeight="1" x14ac:dyDescent="0.25">
      <c r="A3" s="15"/>
      <c r="B3" s="13"/>
      <c r="C3" s="13"/>
      <c r="D3" s="13"/>
      <c r="E3" s="13"/>
      <c r="F3" s="13"/>
      <c r="G3" s="13"/>
      <c r="H3" s="13"/>
    </row>
    <row r="4" spans="1:8" ht="15.75" x14ac:dyDescent="0.25">
      <c r="A4" s="185" t="s">
        <v>0</v>
      </c>
      <c r="B4" s="185"/>
      <c r="C4" s="185"/>
      <c r="D4" s="185"/>
      <c r="E4" s="185"/>
      <c r="F4" s="185"/>
      <c r="G4" s="185"/>
      <c r="H4" s="185"/>
    </row>
    <row r="5" spans="1:8" ht="8.25" customHeight="1" x14ac:dyDescent="0.25">
      <c r="A5" s="16"/>
      <c r="B5" s="15"/>
      <c r="C5" s="15"/>
      <c r="D5" s="15"/>
      <c r="E5" s="15"/>
      <c r="F5" s="17" t="s">
        <v>1</v>
      </c>
      <c r="G5" s="15"/>
      <c r="H5" s="15"/>
    </row>
    <row r="6" spans="1:8" ht="14.25" x14ac:dyDescent="0.2">
      <c r="A6" s="48"/>
      <c r="B6" s="49" t="s">
        <v>2</v>
      </c>
      <c r="C6" s="128">
        <f>'Dados BP'!C6</f>
        <v>2010</v>
      </c>
      <c r="D6" s="51" t="s">
        <v>3</v>
      </c>
      <c r="E6" s="128">
        <f>'Dados BP'!E6</f>
        <v>2009</v>
      </c>
      <c r="F6" s="51" t="s">
        <v>3</v>
      </c>
      <c r="G6" s="128">
        <f>'Dados BP'!G6</f>
        <v>2008</v>
      </c>
      <c r="H6" s="52" t="s">
        <v>3</v>
      </c>
    </row>
    <row r="7" spans="1:8" ht="15" x14ac:dyDescent="0.25">
      <c r="A7" s="53"/>
      <c r="B7" s="54" t="s">
        <v>4</v>
      </c>
      <c r="C7" s="66" t="s">
        <v>5</v>
      </c>
      <c r="D7" s="56" t="s">
        <v>6</v>
      </c>
      <c r="E7" s="66" t="s">
        <v>5</v>
      </c>
      <c r="F7" s="56" t="s">
        <v>6</v>
      </c>
      <c r="G7" s="67" t="s">
        <v>5</v>
      </c>
      <c r="H7" s="58" t="s">
        <v>6</v>
      </c>
    </row>
    <row r="8" spans="1:8" ht="15" x14ac:dyDescent="0.25">
      <c r="A8" s="64"/>
      <c r="B8" s="68" t="s">
        <v>7</v>
      </c>
      <c r="C8" s="69"/>
      <c r="D8" s="73"/>
      <c r="E8" s="69"/>
      <c r="F8" s="73"/>
      <c r="G8" s="69"/>
      <c r="H8" s="74"/>
    </row>
    <row r="9" spans="1:8" ht="14.25" x14ac:dyDescent="0.2">
      <c r="A9" s="94">
        <v>11</v>
      </c>
      <c r="B9" s="95" t="s">
        <v>8</v>
      </c>
      <c r="C9" s="91">
        <f>SUM(C10:C15)</f>
        <v>8310497</v>
      </c>
      <c r="D9" s="93">
        <f>IF(C9=0,0,C9/C$23*100)</f>
        <v>59.441303756651699</v>
      </c>
      <c r="E9" s="91">
        <f>SUM(E10:E15)</f>
        <v>9836650</v>
      </c>
      <c r="F9" s="93">
        <f>IF(E9=0,0,E9/E$23*100)</f>
        <v>63.550519485998393</v>
      </c>
      <c r="G9" s="91">
        <f>SUM(G10:G15)</f>
        <v>14360293</v>
      </c>
      <c r="H9" s="112">
        <f t="shared" ref="H9:H22" si="0">IF(G9=0,0,G9/G$23*100)</f>
        <v>66.794639048856311</v>
      </c>
    </row>
    <row r="10" spans="1:8" ht="15" x14ac:dyDescent="0.25">
      <c r="A10" s="59">
        <v>111</v>
      </c>
      <c r="B10" s="61" t="str">
        <f>'Dados BP'!B10</f>
        <v xml:space="preserve">   - Disponível (caixa e bancos)</v>
      </c>
      <c r="C10" s="129">
        <f>'Dados BP'!C10*'Dados BP'!C$5</f>
        <v>171217</v>
      </c>
      <c r="D10" s="83">
        <f>IF(C10=0,0,C10/C$23*100)</f>
        <v>1.2246393573456118</v>
      </c>
      <c r="E10" s="129">
        <f>'Dados BP'!E10*'Dados BP'!E$5</f>
        <v>190053</v>
      </c>
      <c r="F10" s="83">
        <f>IF(E10=0,0,E10/E$23*100)</f>
        <v>1.2278536778143425</v>
      </c>
      <c r="G10" s="129">
        <f>'Dados BP'!G10*'Dados BP'!G$5</f>
        <v>657716</v>
      </c>
      <c r="H10" s="113">
        <f t="shared" si="0"/>
        <v>3.0592622877999474</v>
      </c>
    </row>
    <row r="11" spans="1:8" ht="15" x14ac:dyDescent="0.25">
      <c r="A11" s="59">
        <v>112</v>
      </c>
      <c r="B11" s="61" t="str">
        <f>'Dados BP'!B11</f>
        <v xml:space="preserve">   - Duplicatas a Receber</v>
      </c>
      <c r="C11" s="129">
        <f>'Dados BP'!C11*'Dados BP'!C$5</f>
        <v>580781</v>
      </c>
      <c r="D11" s="83">
        <f t="shared" ref="D11:F15" si="1">IF(C11=0,0,C11/C$23*100)</f>
        <v>4.154069225594081</v>
      </c>
      <c r="E11" s="129">
        <f>'Dados BP'!E11*'Dados BP'!E$5</f>
        <v>708465</v>
      </c>
      <c r="F11" s="83">
        <f t="shared" si="1"/>
        <v>4.5770987874579099</v>
      </c>
      <c r="G11" s="129">
        <f>'Dados BP'!G11*'Dados BP'!G$5</f>
        <v>1024262</v>
      </c>
      <c r="H11" s="113">
        <f t="shared" si="0"/>
        <v>4.7641932223430024</v>
      </c>
    </row>
    <row r="12" spans="1:8" ht="15" x14ac:dyDescent="0.25">
      <c r="A12" s="59">
        <v>113</v>
      </c>
      <c r="B12" s="61" t="str">
        <f>'Dados BP'!B12</f>
        <v xml:space="preserve">   - Estoques</v>
      </c>
      <c r="C12" s="129">
        <f>'Dados BP'!C12*'Dados BP'!C$5</f>
        <v>3662762</v>
      </c>
      <c r="D12" s="83">
        <f t="shared" si="1"/>
        <v>26.198114099592491</v>
      </c>
      <c r="E12" s="129">
        <f>'Dados BP'!E12*'Dados BP'!E$5</f>
        <v>4257240</v>
      </c>
      <c r="F12" s="83">
        <f t="shared" si="1"/>
        <v>27.504263501961724</v>
      </c>
      <c r="G12" s="129">
        <f>'Dados BP'!G12*'Dados BP'!G$5</f>
        <v>7101103</v>
      </c>
      <c r="H12" s="113">
        <f t="shared" si="0"/>
        <v>33.029661145058157</v>
      </c>
    </row>
    <row r="13" spans="1:8" ht="15" x14ac:dyDescent="0.25">
      <c r="A13" s="59">
        <v>114</v>
      </c>
      <c r="B13" s="61" t="str">
        <f>'Dados BP'!B13</f>
        <v xml:space="preserve">   - Aplicações Financeiras</v>
      </c>
      <c r="C13" s="129">
        <f>'Dados BP'!C13*'Dados BP'!C$5</f>
        <v>3417561</v>
      </c>
      <c r="D13" s="83">
        <f t="shared" si="1"/>
        <v>24.4442999627924</v>
      </c>
      <c r="E13" s="129">
        <f>'Dados BP'!E13*'Dados BP'!E$5</f>
        <v>4285088</v>
      </c>
      <c r="F13" s="83">
        <f t="shared" si="1"/>
        <v>27.684177890157514</v>
      </c>
      <c r="G13" s="129">
        <f>'Dados BP'!G13*'Dados BP'!G$5</f>
        <v>4507278</v>
      </c>
      <c r="H13" s="113">
        <f t="shared" si="0"/>
        <v>20.964893063313607</v>
      </c>
    </row>
    <row r="14" spans="1:8" ht="15" x14ac:dyDescent="0.25">
      <c r="A14" s="59">
        <v>115</v>
      </c>
      <c r="B14" s="61" t="str">
        <f>'Dados BP'!B14</f>
        <v xml:space="preserve">   - Outras Contas a Receber</v>
      </c>
      <c r="C14" s="129">
        <f>'Dados BP'!C14*'Dados BP'!C$5</f>
        <v>19379</v>
      </c>
      <c r="D14" s="83">
        <f t="shared" si="1"/>
        <v>0.13860940272286401</v>
      </c>
      <c r="E14" s="129">
        <f>'Dados BP'!E14*'Dados BP'!E$5</f>
        <v>20960</v>
      </c>
      <c r="F14" s="83">
        <f t="shared" si="1"/>
        <v>0.13541387448232134</v>
      </c>
      <c r="G14" s="129">
        <f>'Dados BP'!G14*'Dados BP'!G$5</f>
        <v>26886</v>
      </c>
      <c r="H14" s="113">
        <f t="shared" si="0"/>
        <v>0.12505599053358804</v>
      </c>
    </row>
    <row r="15" spans="1:8" ht="15" x14ac:dyDescent="0.25">
      <c r="A15" s="53">
        <v>116</v>
      </c>
      <c r="B15" s="61" t="str">
        <f>'Dados BP'!B15</f>
        <v xml:space="preserve">   - Outros Créditos</v>
      </c>
      <c r="C15" s="130">
        <f>'Dados BP'!C15*'Dados BP'!C$5</f>
        <v>458797</v>
      </c>
      <c r="D15" s="86">
        <f t="shared" si="1"/>
        <v>3.2815717086042544</v>
      </c>
      <c r="E15" s="130">
        <f>'Dados BP'!E15*'Dados BP'!E$5</f>
        <v>374844</v>
      </c>
      <c r="F15" s="86">
        <f t="shared" si="1"/>
        <v>2.4217117541245834</v>
      </c>
      <c r="G15" s="130">
        <f>'Dados BP'!G15*'Dados BP'!G$5</f>
        <v>1043048</v>
      </c>
      <c r="H15" s="86">
        <f t="shared" si="0"/>
        <v>4.8515733398080023</v>
      </c>
    </row>
    <row r="16" spans="1:8" ht="14.25" x14ac:dyDescent="0.2">
      <c r="A16" s="94">
        <v>12</v>
      </c>
      <c r="B16" s="68" t="str">
        <f>'Dados BP'!B16</f>
        <v xml:space="preserve">   NÃO CIRCULANTE</v>
      </c>
      <c r="C16" s="131">
        <f>C17+C18</f>
        <v>5670517</v>
      </c>
      <c r="D16" s="93">
        <f>IF(C16=0,0,C16/C$23*100)</f>
        <v>40.558696243348301</v>
      </c>
      <c r="E16" s="131">
        <f>E17+E18</f>
        <v>5641823</v>
      </c>
      <c r="F16" s="93">
        <f>IF(E16=0,0,E16/E$23*100)</f>
        <v>36.449480514001607</v>
      </c>
      <c r="G16" s="131">
        <f>G17+G18</f>
        <v>7138877</v>
      </c>
      <c r="H16" s="112">
        <f>IF(G16=0,0,G16/G$23*100)</f>
        <v>33.205360951143696</v>
      </c>
    </row>
    <row r="17" spans="1:8" ht="14.25" x14ac:dyDescent="0.2">
      <c r="A17" s="94">
        <v>121</v>
      </c>
      <c r="B17" s="68" t="str">
        <f>'Dados BP'!B17</f>
        <v xml:space="preserve">   - Realizável Longo Prazo</v>
      </c>
      <c r="C17" s="131">
        <f>'Dados BP'!C17*'Dados BP'!C$5</f>
        <v>2475920</v>
      </c>
      <c r="D17" s="93">
        <f>IF(C17=0,0,C17/C$23*100)</f>
        <v>17.709159006635712</v>
      </c>
      <c r="E17" s="131">
        <f>'Dados BP'!E17*'Dados BP'!E$5</f>
        <v>2461011</v>
      </c>
      <c r="F17" s="93">
        <f>IF(E17=0,0,E17/E$23*100)</f>
        <v>15.899572264008214</v>
      </c>
      <c r="G17" s="131">
        <f>'Dados BP'!G17*'Dados BP'!G$5</f>
        <v>3228170</v>
      </c>
      <c r="H17" s="112">
        <f t="shared" si="0"/>
        <v>15.015323847385737</v>
      </c>
    </row>
    <row r="18" spans="1:8" ht="14.25" x14ac:dyDescent="0.2">
      <c r="A18" s="94">
        <v>122</v>
      </c>
      <c r="B18" s="68" t="str">
        <f>'Dados BP'!B18</f>
        <v xml:space="preserve">   - Permanente</v>
      </c>
      <c r="C18" s="91">
        <f>SUM(C19:C22)</f>
        <v>3194597</v>
      </c>
      <c r="D18" s="93">
        <f>IF(C18=0,0,C18/C$23*100)</f>
        <v>22.849537236712589</v>
      </c>
      <c r="E18" s="91">
        <f>SUM(E19:E22)</f>
        <v>3180812</v>
      </c>
      <c r="F18" s="93">
        <f>IF(E18=0,0,E18/E$23*100)</f>
        <v>20.549908249993393</v>
      </c>
      <c r="G18" s="91">
        <f>SUM(G19:G22)</f>
        <v>3910707</v>
      </c>
      <c r="H18" s="112">
        <f t="shared" si="0"/>
        <v>18.190037103757959</v>
      </c>
    </row>
    <row r="19" spans="1:8" ht="15" x14ac:dyDescent="0.25">
      <c r="A19" s="59">
        <v>1221</v>
      </c>
      <c r="B19" s="61" t="str">
        <f>'Dados BP'!B19</f>
        <v xml:space="preserve">     . Investimentos</v>
      </c>
      <c r="C19" s="129">
        <f>'Dados BP'!C19*'Dados BP'!C$5</f>
        <v>8</v>
      </c>
      <c r="D19" s="83">
        <f t="shared" ref="D19:F22" si="2">IF(C19=0,0,C19/C$23*100)</f>
        <v>5.722045625589103E-5</v>
      </c>
      <c r="E19" s="129">
        <f>'Dados BP'!E19*'Dados BP'!E$5</f>
        <v>9</v>
      </c>
      <c r="F19" s="83">
        <f t="shared" si="2"/>
        <v>5.814527053153111E-5</v>
      </c>
      <c r="G19" s="129">
        <f>'Dados BP'!G19*'Dados BP'!G$5</f>
        <v>10</v>
      </c>
      <c r="H19" s="113">
        <f t="shared" si="0"/>
        <v>4.6513423541466947E-5</v>
      </c>
    </row>
    <row r="20" spans="1:8" ht="15" x14ac:dyDescent="0.25">
      <c r="A20" s="59">
        <v>1222</v>
      </c>
      <c r="B20" s="61" t="str">
        <f>'Dados BP'!B20</f>
        <v xml:space="preserve">     . Imobilizado</v>
      </c>
      <c r="C20" s="129">
        <f>'Dados BP'!C20*'Dados BP'!C$5</f>
        <v>2001074</v>
      </c>
      <c r="D20" s="83">
        <f t="shared" si="2"/>
        <v>14.312795910225109</v>
      </c>
      <c r="E20" s="129">
        <f>'Dados BP'!E20*'Dados BP'!E$5</f>
        <v>1917645</v>
      </c>
      <c r="F20" s="83">
        <f t="shared" si="2"/>
        <v>12.389109700937553</v>
      </c>
      <c r="G20" s="129">
        <f>'Dados BP'!G20*'Dados BP'!G$5</f>
        <v>2300207</v>
      </c>
      <c r="H20" s="113">
        <f t="shared" si="0"/>
        <v>10.699050242404706</v>
      </c>
    </row>
    <row r="21" spans="1:8" ht="15" x14ac:dyDescent="0.25">
      <c r="A21" s="59">
        <v>1223</v>
      </c>
      <c r="B21" s="61" t="str">
        <f>'Dados BP'!B21</f>
        <v xml:space="preserve">     . Intangível</v>
      </c>
      <c r="C21" s="129">
        <f>'Dados BP'!C21*'Dados BP'!C$5</f>
        <v>1193515</v>
      </c>
      <c r="D21" s="83">
        <f>IF(C21=0,0,C21/C$23*100)</f>
        <v>8.5366841060312222</v>
      </c>
      <c r="E21" s="129">
        <f>'Dados BP'!E21*'Dados BP'!E$5</f>
        <v>1263158</v>
      </c>
      <c r="F21" s="83">
        <f>IF(E21=0,0,E21/E$23*100)</f>
        <v>8.1607404037853097</v>
      </c>
      <c r="G21" s="129">
        <f>'Dados BP'!G21*'Dados BP'!G$5</f>
        <v>1610490</v>
      </c>
      <c r="H21" s="113">
        <f>IF(G21=0,0,G21/G$23*100)</f>
        <v>7.4909403479297101</v>
      </c>
    </row>
    <row r="22" spans="1:8" ht="15" x14ac:dyDescent="0.25">
      <c r="A22" s="53">
        <v>1224</v>
      </c>
      <c r="B22" s="61" t="str">
        <f>'Dados BP'!B22</f>
        <v xml:space="preserve">     . Diferido</v>
      </c>
      <c r="C22" s="129">
        <f>'Dados BP'!C22*'Dados BP'!C$5</f>
        <v>0</v>
      </c>
      <c r="D22" s="86">
        <f t="shared" si="2"/>
        <v>0</v>
      </c>
      <c r="E22" s="129">
        <f>'Dados BP'!E22*'Dados BP'!E$5</f>
        <v>0</v>
      </c>
      <c r="F22" s="86">
        <f t="shared" si="2"/>
        <v>0</v>
      </c>
      <c r="G22" s="129">
        <f>'Dados BP'!G22*'Dados BP'!G$5</f>
        <v>0</v>
      </c>
      <c r="H22" s="86">
        <f t="shared" si="0"/>
        <v>0</v>
      </c>
    </row>
    <row r="23" spans="1:8" ht="15" x14ac:dyDescent="0.25">
      <c r="A23" s="64">
        <v>1</v>
      </c>
      <c r="B23" s="68" t="str">
        <f>'Dados BP'!B23</f>
        <v>TOTAL DO ATIVO</v>
      </c>
      <c r="C23" s="91">
        <f>C18+C17+C9</f>
        <v>13981014</v>
      </c>
      <c r="D23" s="93">
        <v>100</v>
      </c>
      <c r="E23" s="91">
        <f>E18+E17+E9</f>
        <v>15478473</v>
      </c>
      <c r="F23" s="93">
        <v>100</v>
      </c>
      <c r="G23" s="91">
        <f>G18+G17+G9</f>
        <v>21499170</v>
      </c>
      <c r="H23" s="112">
        <v>100</v>
      </c>
    </row>
    <row r="24" spans="1:8" ht="15" x14ac:dyDescent="0.25">
      <c r="A24" s="18"/>
      <c r="B24" s="18"/>
      <c r="C24" s="21"/>
      <c r="D24" s="20"/>
      <c r="E24" s="21"/>
      <c r="F24" s="20"/>
      <c r="G24" s="21"/>
      <c r="H24" s="20"/>
    </row>
    <row r="25" spans="1:8" ht="15" x14ac:dyDescent="0.25">
      <c r="A25" s="64"/>
      <c r="B25" s="68" t="s">
        <v>15</v>
      </c>
      <c r="C25" s="70"/>
      <c r="D25" s="75"/>
      <c r="E25" s="70"/>
      <c r="F25" s="75"/>
      <c r="G25" s="70"/>
      <c r="H25" s="76"/>
    </row>
    <row r="26" spans="1:8" ht="14.25" x14ac:dyDescent="0.2">
      <c r="A26" s="94">
        <v>21</v>
      </c>
      <c r="B26" s="95" t="s">
        <v>8</v>
      </c>
      <c r="C26" s="91">
        <f>SUM(C27:C35)</f>
        <v>3980282</v>
      </c>
      <c r="D26" s="93">
        <f>IF(C26=0,0,C26/C$23*100)</f>
        <v>28.469194008388804</v>
      </c>
      <c r="E26" s="91">
        <f>SUM(E27:E35)</f>
        <v>4789198</v>
      </c>
      <c r="F26" s="93">
        <f>IF(E26=0,0,E26/E$23*100)</f>
        <v>30.941023704340857</v>
      </c>
      <c r="G26" s="91">
        <f>SUM(G27:G35)</f>
        <v>8375018</v>
      </c>
      <c r="H26" s="112">
        <f t="shared" ref="H26:H47" si="3">IF(G26=0,0,G26/G$23*100)</f>
        <v>38.955075940140944</v>
      </c>
    </row>
    <row r="27" spans="1:8" ht="15" x14ac:dyDescent="0.25">
      <c r="A27" s="59">
        <v>211</v>
      </c>
      <c r="B27" s="61" t="str">
        <f>'Dados BP'!B27</f>
        <v xml:space="preserve">   - Fornecedores</v>
      </c>
      <c r="C27" s="129">
        <f>'Dados BP'!C27*'Dados BP'!C$5</f>
        <v>1250029</v>
      </c>
      <c r="D27" s="83">
        <f>IF(C27=0,0,C27/C$23*100)</f>
        <v>8.9409037141368994</v>
      </c>
      <c r="E27" s="129">
        <f>'Dados BP'!E27*'Dados BP'!E$5</f>
        <v>1038345</v>
      </c>
      <c r="F27" s="83">
        <f>IF(E27=0,0,E27/E$23*100)</f>
        <v>6.7083167700069639</v>
      </c>
      <c r="G27" s="129">
        <f>'Dados BP'!G27*'Dados BP'!G$5</f>
        <v>2520208</v>
      </c>
      <c r="H27" s="113">
        <f t="shared" si="3"/>
        <v>11.722350211659334</v>
      </c>
    </row>
    <row r="28" spans="1:8" ht="15" x14ac:dyDescent="0.25">
      <c r="A28" s="59">
        <v>212</v>
      </c>
      <c r="B28" s="61" t="str">
        <f>'Dados BP'!B28</f>
        <v xml:space="preserve">   - Obrigações Fiscais</v>
      </c>
      <c r="C28" s="129">
        <f>'Dados BP'!C28*'Dados BP'!C$5</f>
        <v>132538</v>
      </c>
      <c r="D28" s="83">
        <f t="shared" ref="D28:F47" si="4">IF(C28=0,0,C28/C$23*100)</f>
        <v>0.94798560390541053</v>
      </c>
      <c r="E28" s="129">
        <f>'Dados BP'!E28*'Dados BP'!E$5</f>
        <v>112976</v>
      </c>
      <c r="F28" s="83">
        <f t="shared" si="4"/>
        <v>0.72989112039669546</v>
      </c>
      <c r="G28" s="129">
        <f>'Dados BP'!G28*'Dados BP'!G$5</f>
        <v>148009</v>
      </c>
      <c r="H28" s="113">
        <f t="shared" si="3"/>
        <v>0.68844053049489817</v>
      </c>
    </row>
    <row r="29" spans="1:8" ht="15" x14ac:dyDescent="0.25">
      <c r="A29" s="59">
        <v>213</v>
      </c>
      <c r="B29" s="61" t="str">
        <f>'Dados BP'!B29</f>
        <v xml:space="preserve">   - Obrigações Trabalhistas</v>
      </c>
      <c r="C29" s="129">
        <f>'Dados BP'!C29*'Dados BP'!C$5</f>
        <v>515844</v>
      </c>
      <c r="D29" s="83">
        <f t="shared" si="4"/>
        <v>3.6896036296079813</v>
      </c>
      <c r="E29" s="129">
        <f>'Dados BP'!E29*'Dados BP'!E$5</f>
        <v>406527</v>
      </c>
      <c r="F29" s="83">
        <f t="shared" si="4"/>
        <v>2.6264024881524168</v>
      </c>
      <c r="G29" s="129">
        <f>'Dados BP'!G29*'Dados BP'!G$5</f>
        <v>891737</v>
      </c>
      <c r="H29" s="113">
        <f t="shared" si="3"/>
        <v>4.1477740768597116</v>
      </c>
    </row>
    <row r="30" spans="1:8" ht="15" x14ac:dyDescent="0.25">
      <c r="A30" s="59">
        <v>214</v>
      </c>
      <c r="B30" s="61" t="str">
        <f>'Dados BP'!B30</f>
        <v xml:space="preserve">   - Contas a Pagar</v>
      </c>
      <c r="C30" s="129">
        <f>'Dados BP'!C30*'Dados BP'!C$5</f>
        <v>140694</v>
      </c>
      <c r="D30" s="83">
        <f t="shared" si="4"/>
        <v>1.0063218590582914</v>
      </c>
      <c r="E30" s="129">
        <f>'Dados BP'!E30*'Dados BP'!E$5</f>
        <v>188194</v>
      </c>
      <c r="F30" s="83">
        <f t="shared" si="4"/>
        <v>1.215843449156774</v>
      </c>
      <c r="G30" s="129">
        <f>'Dados BP'!G30*'Dados BP'!G$5</f>
        <v>163503</v>
      </c>
      <c r="H30" s="113">
        <f t="shared" si="3"/>
        <v>0.760508428930047</v>
      </c>
    </row>
    <row r="31" spans="1:8" ht="15" x14ac:dyDescent="0.25">
      <c r="A31" s="59">
        <v>215</v>
      </c>
      <c r="B31" s="61" t="str">
        <f>'Dados BP'!B31</f>
        <v xml:space="preserve">   - Instituições Financeiras</v>
      </c>
      <c r="C31" s="129">
        <f>'Dados BP'!C31*'Dados BP'!C$5</f>
        <v>122273</v>
      </c>
      <c r="D31" s="83">
        <f t="shared" si="4"/>
        <v>0.87456460597207031</v>
      </c>
      <c r="E31" s="129">
        <f>'Dados BP'!E31*'Dados BP'!E$5</f>
        <v>1032375</v>
      </c>
      <c r="F31" s="83">
        <f t="shared" si="4"/>
        <v>6.6697470738877147</v>
      </c>
      <c r="G31" s="129">
        <f>'Dados BP'!G31*'Dados BP'!G$5</f>
        <v>1259809</v>
      </c>
      <c r="H31" s="113">
        <f t="shared" si="3"/>
        <v>5.8598029598351937</v>
      </c>
    </row>
    <row r="32" spans="1:8" ht="15" x14ac:dyDescent="0.25">
      <c r="A32" s="59">
        <v>216</v>
      </c>
      <c r="B32" s="61" t="str">
        <f>'Dados BP'!B32</f>
        <v xml:space="preserve">   - IRPJ/CSLL a Pagar</v>
      </c>
      <c r="C32" s="129">
        <f>'Dados BP'!C32*'Dados BP'!C$5</f>
        <v>16658</v>
      </c>
      <c r="D32" s="83">
        <f t="shared" si="4"/>
        <v>0.11914729503882909</v>
      </c>
      <c r="E32" s="129">
        <f>'Dados BP'!E32*'Dados BP'!E$5</f>
        <v>23617</v>
      </c>
      <c r="F32" s="83">
        <f t="shared" si="4"/>
        <v>0.15257965046035227</v>
      </c>
      <c r="G32" s="129">
        <f>'Dados BP'!G32*'Dados BP'!G$5</f>
        <v>84737</v>
      </c>
      <c r="H32" s="113">
        <f t="shared" si="3"/>
        <v>0.3941407970633285</v>
      </c>
    </row>
    <row r="33" spans="1:8" ht="15" x14ac:dyDescent="0.25">
      <c r="A33" s="59">
        <v>217</v>
      </c>
      <c r="B33" s="61" t="str">
        <f>'Dados BP'!B33</f>
        <v xml:space="preserve">   - Dividendos e Juros s/CPróprio</v>
      </c>
      <c r="C33" s="129">
        <f>'Dados BP'!C33*'Dados BP'!C$5</f>
        <v>82331</v>
      </c>
      <c r="D33" s="83">
        <f t="shared" si="4"/>
        <v>0.58887717300047049</v>
      </c>
      <c r="E33" s="129">
        <f>'Dados BP'!E33*'Dados BP'!E$5</f>
        <v>208256</v>
      </c>
      <c r="F33" s="83">
        <f t="shared" si="4"/>
        <v>1.3454557177571715</v>
      </c>
      <c r="G33" s="129">
        <f>'Dados BP'!G33*'Dados BP'!G$5</f>
        <v>2002</v>
      </c>
      <c r="H33" s="113">
        <f t="shared" si="3"/>
        <v>9.3119873930016823E-3</v>
      </c>
    </row>
    <row r="34" spans="1:8" ht="15" x14ac:dyDescent="0.25">
      <c r="A34" s="59">
        <v>218</v>
      </c>
      <c r="B34" s="61" t="str">
        <f>'Dados BP'!B34</f>
        <v xml:space="preserve">   - Adiantamento de Clientes</v>
      </c>
      <c r="C34" s="129">
        <f>'Dados BP'!C34*'Dados BP'!C$5</f>
        <v>1298699</v>
      </c>
      <c r="D34" s="83">
        <f t="shared" si="4"/>
        <v>9.2890186648836774</v>
      </c>
      <c r="E34" s="129">
        <f>'Dados BP'!E34*'Dados BP'!E$5</f>
        <v>1328138</v>
      </c>
      <c r="F34" s="83">
        <f t="shared" si="4"/>
        <v>8.5805492570229642</v>
      </c>
      <c r="G34" s="129">
        <f>'Dados BP'!G34*'Dados BP'!G$5</f>
        <v>2691041</v>
      </c>
      <c r="H34" s="113">
        <f t="shared" si="3"/>
        <v>12.516952980045277</v>
      </c>
    </row>
    <row r="35" spans="1:8" ht="15" x14ac:dyDescent="0.25">
      <c r="A35" s="59">
        <v>219</v>
      </c>
      <c r="B35" s="61" t="str">
        <f>'Dados BP'!B35</f>
        <v xml:space="preserve">   - Outras Obrigações</v>
      </c>
      <c r="C35" s="129">
        <f>'Dados BP'!C35*'Dados BP'!C$5</f>
        <v>421216</v>
      </c>
      <c r="D35" s="86">
        <f t="shared" si="4"/>
        <v>3.0127714627851745</v>
      </c>
      <c r="E35" s="129">
        <f>'Dados BP'!E35*'Dados BP'!E$5</f>
        <v>450770</v>
      </c>
      <c r="F35" s="86">
        <f t="shared" si="4"/>
        <v>2.912238177499809</v>
      </c>
      <c r="G35" s="129">
        <f>'Dados BP'!G35*'Dados BP'!G$5</f>
        <v>613972</v>
      </c>
      <c r="H35" s="86">
        <f t="shared" si="3"/>
        <v>2.8557939678601549</v>
      </c>
    </row>
    <row r="36" spans="1:8" ht="14.25" x14ac:dyDescent="0.2">
      <c r="A36" s="94">
        <v>22</v>
      </c>
      <c r="B36" s="68" t="str">
        <f>'Dados BP'!B36</f>
        <v xml:space="preserve">   NÃO CIRCULANTE</v>
      </c>
      <c r="C36" s="91">
        <f>C37</f>
        <v>4782975</v>
      </c>
      <c r="D36" s="93">
        <f>IF(C36=0,0,C36/C$23*100)</f>
        <v>34.210501470065047</v>
      </c>
      <c r="E36" s="91">
        <f>E37</f>
        <v>5669463</v>
      </c>
      <c r="F36" s="93">
        <f>IF(E36=0,0,E36/E$23*100)</f>
        <v>36.628051100389555</v>
      </c>
      <c r="G36" s="91">
        <f>G37</f>
        <v>6990127</v>
      </c>
      <c r="H36" s="112">
        <f>IF(G36=0,0,G36/G$23*100)</f>
        <v>32.513473775964371</v>
      </c>
    </row>
    <row r="37" spans="1:8" ht="14.25" x14ac:dyDescent="0.2">
      <c r="A37" s="94">
        <v>221</v>
      </c>
      <c r="B37" s="68" t="str">
        <f>'Dados BP'!B37</f>
        <v xml:space="preserve">   - Exigível a Longo Prazo</v>
      </c>
      <c r="C37" s="91">
        <f>SUM(C38:C39)</f>
        <v>4782975</v>
      </c>
      <c r="D37" s="93">
        <f>IF(C37=0,0,C37/C$23*100)</f>
        <v>34.210501470065047</v>
      </c>
      <c r="E37" s="91">
        <f>SUM(E38:E39)</f>
        <v>5669463</v>
      </c>
      <c r="F37" s="93">
        <f>IF(E37=0,0,E37/E$23*100)</f>
        <v>36.628051100389555</v>
      </c>
      <c r="G37" s="91">
        <f>SUM(G38:G39)</f>
        <v>6990127</v>
      </c>
      <c r="H37" s="112">
        <f t="shared" si="3"/>
        <v>32.513473775964371</v>
      </c>
    </row>
    <row r="38" spans="1:8" ht="15" x14ac:dyDescent="0.25">
      <c r="A38" s="59">
        <v>2211</v>
      </c>
      <c r="B38" s="71" t="str">
        <f>'Dados BP'!B38</f>
        <v xml:space="preserve">     . Instituições Financeiras</v>
      </c>
      <c r="C38" s="129">
        <f>'Dados BP'!C38*'Dados BP'!C$5</f>
        <v>2637860</v>
      </c>
      <c r="D38" s="83">
        <f t="shared" si="4"/>
        <v>18.867444092395587</v>
      </c>
      <c r="E38" s="129">
        <f>'Dados BP'!E38*'Dados BP'!E$5</f>
        <v>3007358</v>
      </c>
      <c r="F38" s="83">
        <f t="shared" si="4"/>
        <v>19.429293832796038</v>
      </c>
      <c r="G38" s="129">
        <f>'Dados BP'!G38*'Dados BP'!G$5</f>
        <v>3039870</v>
      </c>
      <c r="H38" s="113">
        <f t="shared" si="3"/>
        <v>14.139476082099915</v>
      </c>
    </row>
    <row r="39" spans="1:8" ht="15" x14ac:dyDescent="0.25">
      <c r="A39" s="59">
        <v>2212</v>
      </c>
      <c r="B39" s="71" t="str">
        <f>'Dados BP'!B39</f>
        <v xml:space="preserve">     . Outras Obrigações</v>
      </c>
      <c r="C39" s="129">
        <f>'Dados BP'!C39*'Dados BP'!C$5</f>
        <v>2145115</v>
      </c>
      <c r="D39" s="86">
        <f t="shared" si="4"/>
        <v>15.343057377669458</v>
      </c>
      <c r="E39" s="129">
        <f>'Dados BP'!E39*'Dados BP'!E$5</f>
        <v>2662105</v>
      </c>
      <c r="F39" s="86">
        <f t="shared" si="4"/>
        <v>17.198757267593514</v>
      </c>
      <c r="G39" s="129">
        <f>'Dados BP'!G39*'Dados BP'!G$5</f>
        <v>3950257</v>
      </c>
      <c r="H39" s="86">
        <f t="shared" si="3"/>
        <v>18.37399769386446</v>
      </c>
    </row>
    <row r="40" spans="1:8" ht="14.25" x14ac:dyDescent="0.2">
      <c r="A40" s="94">
        <v>23</v>
      </c>
      <c r="B40" s="68" t="str">
        <f>'Dados BP'!B40</f>
        <v xml:space="preserve">   PATRIMÔNIO LÍQUIDO</v>
      </c>
      <c r="C40" s="91">
        <f>SUM(C41:C47)</f>
        <v>5217757</v>
      </c>
      <c r="D40" s="93">
        <f>IF(C40=0,0,C40/C$23*100)</f>
        <v>37.320304521546149</v>
      </c>
      <c r="E40" s="91">
        <f>SUM(E41:E47)</f>
        <v>5019812</v>
      </c>
      <c r="F40" s="93">
        <f>IF(E40=0,0,E40/E$23*100)</f>
        <v>32.43092519526958</v>
      </c>
      <c r="G40" s="91">
        <f>SUM(G41:G47)</f>
        <v>6134025</v>
      </c>
      <c r="H40" s="112">
        <f t="shared" si="3"/>
        <v>28.531450283894682</v>
      </c>
    </row>
    <row r="41" spans="1:8" ht="15" x14ac:dyDescent="0.25">
      <c r="A41" s="59">
        <v>231</v>
      </c>
      <c r="B41" s="61" t="str">
        <f>'Dados BP'!B41</f>
        <v xml:space="preserve">   - Capital Social</v>
      </c>
      <c r="C41" s="129">
        <f>'Dados BP'!C41*'Dados BP'!C$5</f>
        <v>4789617</v>
      </c>
      <c r="D41" s="83">
        <f t="shared" si="4"/>
        <v>34.258008753871501</v>
      </c>
      <c r="E41" s="129">
        <f>'Dados BP'!E41*'Dados BP'!E$5</f>
        <v>4789617</v>
      </c>
      <c r="F41" s="83">
        <f t="shared" si="4"/>
        <v>30.943730689713384</v>
      </c>
      <c r="G41" s="129">
        <f>'Dados BP'!G41*'Dados BP'!G$5</f>
        <v>4789617</v>
      </c>
      <c r="H41" s="113">
        <f t="shared" si="3"/>
        <v>22.27814841224103</v>
      </c>
    </row>
    <row r="42" spans="1:8" ht="15" x14ac:dyDescent="0.25">
      <c r="A42" s="59">
        <v>232</v>
      </c>
      <c r="B42" s="61" t="str">
        <f>'Dados BP'!B42</f>
        <v xml:space="preserve">   - Reservas de Capital</v>
      </c>
      <c r="C42" s="129">
        <f>'Dados BP'!C42*'Dados BP'!C$5</f>
        <v>5809</v>
      </c>
      <c r="D42" s="83">
        <f t="shared" si="4"/>
        <v>4.1549203798808866E-2</v>
      </c>
      <c r="E42" s="129">
        <f>'Dados BP'!E42*'Dados BP'!E$5</f>
        <v>0</v>
      </c>
      <c r="F42" s="83">
        <f t="shared" si="4"/>
        <v>0</v>
      </c>
      <c r="G42" s="129">
        <f>'Dados BP'!G42*'Dados BP'!G$5</f>
        <v>0</v>
      </c>
      <c r="H42" s="113">
        <f t="shared" si="3"/>
        <v>0</v>
      </c>
    </row>
    <row r="43" spans="1:8" ht="15" x14ac:dyDescent="0.25">
      <c r="A43" s="59">
        <v>233</v>
      </c>
      <c r="B43" s="61" t="str">
        <f>'Dados BP'!B43</f>
        <v xml:space="preserve">   - Ajustes Aval. Patrimonial</v>
      </c>
      <c r="C43" s="129">
        <f>'Dados BP'!C43*'Dados BP'!C$5</f>
        <v>-1801329</v>
      </c>
      <c r="D43" s="83">
        <f t="shared" si="4"/>
        <v>-12.88410840587099</v>
      </c>
      <c r="E43" s="129">
        <f>'Dados BP'!E43*'Dados BP'!E$5</f>
        <v>-1561265</v>
      </c>
      <c r="F43" s="83">
        <f t="shared" si="4"/>
        <v>-10.086686199601214</v>
      </c>
      <c r="G43" s="129">
        <f>'Dados BP'!G43*'Dados BP'!G$5</f>
        <v>13487</v>
      </c>
      <c r="H43" s="113">
        <f t="shared" si="3"/>
        <v>6.2732654330376475E-2</v>
      </c>
    </row>
    <row r="44" spans="1:8" ht="15" x14ac:dyDescent="0.25">
      <c r="A44" s="59">
        <v>234</v>
      </c>
      <c r="B44" s="61" t="str">
        <f>'Dados BP'!B44</f>
        <v xml:space="preserve">   - Reservas de Lucros</v>
      </c>
      <c r="C44" s="129">
        <f>'Dados BP'!C44*'Dados BP'!C$5</f>
        <v>2372289</v>
      </c>
      <c r="D44" s="83">
        <f t="shared" si="4"/>
        <v>16.967932368853933</v>
      </c>
      <c r="E44" s="129">
        <f>'Dados BP'!E44*'Dados BP'!E$5</f>
        <v>2239478</v>
      </c>
      <c r="F44" s="83">
        <f t="shared" si="4"/>
        <v>14.468339351045802</v>
      </c>
      <c r="G44" s="129">
        <f>'Dados BP'!G44*'Dados BP'!G$5</f>
        <v>1487677</v>
      </c>
      <c r="H44" s="113">
        <f t="shared" si="3"/>
        <v>6.9196950393898922</v>
      </c>
    </row>
    <row r="45" spans="1:8" ht="15" x14ac:dyDescent="0.25">
      <c r="A45" s="59">
        <v>235</v>
      </c>
      <c r="B45" s="61" t="str">
        <f>'Dados BP'!B45</f>
        <v xml:space="preserve">   - Resultados Acumulados</v>
      </c>
      <c r="C45" s="129">
        <f>'Dados BP'!C45*'Dados BP'!C$5</f>
        <v>0</v>
      </c>
      <c r="D45" s="83">
        <f t="shared" si="4"/>
        <v>0</v>
      </c>
      <c r="E45" s="129">
        <f>'Dados BP'!E45*'Dados BP'!E$5</f>
        <v>-285053</v>
      </c>
      <c r="F45" s="83">
        <f t="shared" si="4"/>
        <v>-1.8416093112027263</v>
      </c>
      <c r="G45" s="129">
        <f>'Dados BP'!G45*'Dados BP'!G$5</f>
        <v>0</v>
      </c>
      <c r="H45" s="113">
        <f t="shared" si="3"/>
        <v>0</v>
      </c>
    </row>
    <row r="46" spans="1:8" ht="15" x14ac:dyDescent="0.25">
      <c r="A46" s="59">
        <v>236</v>
      </c>
      <c r="B46" s="61" t="str">
        <f>'Dados BP'!B46</f>
        <v xml:space="preserve">   - (-) Ações em Tesouraria</v>
      </c>
      <c r="C46" s="129">
        <f>'Dados BP'!C46*'Dados BP'!C$5</f>
        <v>-320250</v>
      </c>
      <c r="D46" s="83">
        <f t="shared" si="4"/>
        <v>-2.2906063894936377</v>
      </c>
      <c r="E46" s="129">
        <f>'Dados BP'!E46*'Dados BP'!E$5</f>
        <v>-320250</v>
      </c>
      <c r="F46" s="83">
        <f t="shared" si="4"/>
        <v>-2.0690025430803156</v>
      </c>
      <c r="G46" s="129">
        <f>'Dados BP'!G46*'Dados BP'!G$5</f>
        <v>-320250</v>
      </c>
      <c r="H46" s="113">
        <f t="shared" si="3"/>
        <v>-1.489592388915479</v>
      </c>
    </row>
    <row r="47" spans="1:8" ht="15" x14ac:dyDescent="0.25">
      <c r="A47" s="53">
        <v>237</v>
      </c>
      <c r="B47" s="61" t="str">
        <f>'Dados BP'!B47</f>
        <v xml:space="preserve">   - Participação Minoritária</v>
      </c>
      <c r="C47" s="129">
        <f>'Dados BP'!C47*'Dados BP'!C$5</f>
        <v>171621</v>
      </c>
      <c r="D47" s="86">
        <f t="shared" si="4"/>
        <v>1.2275289903865343</v>
      </c>
      <c r="E47" s="129">
        <f>'Dados BP'!E47*'Dados BP'!E$5</f>
        <v>157285</v>
      </c>
      <c r="F47" s="86">
        <f t="shared" si="4"/>
        <v>1.0161532083946525</v>
      </c>
      <c r="G47" s="129">
        <f>'Dados BP'!G47*'Dados BP'!G$5</f>
        <v>163494</v>
      </c>
      <c r="H47" s="86">
        <f t="shared" si="3"/>
        <v>0.76046656684885983</v>
      </c>
    </row>
    <row r="48" spans="1:8" ht="14.25" x14ac:dyDescent="0.2">
      <c r="A48" s="94">
        <v>2</v>
      </c>
      <c r="B48" s="68" t="str">
        <f>'Dados BP'!B48</f>
        <v>TOTAL DO PASSIVO</v>
      </c>
      <c r="C48" s="91">
        <f>C40+C37+C26</f>
        <v>13981014</v>
      </c>
      <c r="D48" s="92">
        <v>100</v>
      </c>
      <c r="E48" s="91">
        <f>E40+E37+E26</f>
        <v>15478473</v>
      </c>
      <c r="F48" s="92">
        <v>100</v>
      </c>
      <c r="G48" s="91">
        <f>G40+G37+G26</f>
        <v>21499170</v>
      </c>
      <c r="H48" s="117">
        <v>100</v>
      </c>
    </row>
    <row r="49" spans="1:8" ht="15" x14ac:dyDescent="0.25">
      <c r="A49" s="18"/>
      <c r="B49" s="23"/>
      <c r="C49" s="21"/>
      <c r="D49" s="20"/>
      <c r="E49" s="21"/>
      <c r="F49" s="20"/>
      <c r="G49" s="21"/>
      <c r="H49" s="20"/>
    </row>
    <row r="50" spans="1:8" ht="15" x14ac:dyDescent="0.25">
      <c r="A50" s="18"/>
      <c r="B50" s="23"/>
      <c r="C50" s="21"/>
      <c r="D50" s="20"/>
      <c r="E50" s="21"/>
      <c r="F50" s="20"/>
      <c r="G50" s="21"/>
      <c r="H50" s="20"/>
    </row>
    <row r="51" spans="1:8" ht="15" x14ac:dyDescent="0.25">
      <c r="A51" s="18"/>
      <c r="B51" s="23"/>
      <c r="C51" s="21"/>
      <c r="D51" s="20"/>
      <c r="E51" s="21"/>
      <c r="F51" s="20"/>
      <c r="G51" s="21"/>
      <c r="H51" s="20"/>
    </row>
    <row r="52" spans="1:8" ht="15" x14ac:dyDescent="0.25">
      <c r="A52" s="18"/>
      <c r="B52" s="23"/>
      <c r="C52" s="21"/>
      <c r="D52" s="20"/>
      <c r="E52" s="21"/>
      <c r="F52" s="20"/>
      <c r="G52" s="21"/>
      <c r="H52" s="20"/>
    </row>
    <row r="53" spans="1:8" ht="15" x14ac:dyDescent="0.25">
      <c r="A53" s="18"/>
      <c r="B53" s="23"/>
      <c r="C53" s="21"/>
      <c r="D53" s="20"/>
      <c r="E53" s="21"/>
      <c r="F53" s="20"/>
      <c r="G53" s="21"/>
      <c r="H53" s="20"/>
    </row>
    <row r="54" spans="1:8" ht="15" x14ac:dyDescent="0.25">
      <c r="A54" s="18"/>
      <c r="B54" s="23"/>
      <c r="C54" s="21"/>
      <c r="D54" s="20"/>
      <c r="E54" s="21"/>
      <c r="F54" s="20"/>
      <c r="G54" s="21"/>
      <c r="H54" s="20"/>
    </row>
    <row r="55" spans="1:8" ht="15" x14ac:dyDescent="0.25">
      <c r="A55" s="18"/>
      <c r="B55" s="23"/>
      <c r="C55" s="21"/>
      <c r="D55" s="20"/>
      <c r="E55" s="21"/>
      <c r="F55" s="20"/>
      <c r="G55" s="21"/>
      <c r="H55" s="20"/>
    </row>
    <row r="56" spans="1:8" ht="15" x14ac:dyDescent="0.25">
      <c r="A56" s="18"/>
      <c r="B56" s="23"/>
      <c r="C56" s="21"/>
      <c r="D56" s="20"/>
      <c r="E56" s="21"/>
      <c r="F56" s="20"/>
      <c r="G56" s="21"/>
      <c r="H56" s="20"/>
    </row>
    <row r="57" spans="1:8" ht="15" x14ac:dyDescent="0.25">
      <c r="A57" s="18"/>
      <c r="B57" s="23"/>
      <c r="C57" s="21"/>
      <c r="D57" s="20"/>
      <c r="E57" s="21"/>
      <c r="F57" s="20"/>
      <c r="G57" s="21"/>
      <c r="H57" s="20"/>
    </row>
    <row r="58" spans="1:8" ht="15" x14ac:dyDescent="0.25">
      <c r="A58" s="18"/>
      <c r="B58" s="23"/>
      <c r="C58" s="21"/>
      <c r="D58" s="20"/>
      <c r="E58" s="21"/>
      <c r="F58" s="20"/>
      <c r="G58" s="21"/>
      <c r="H58" s="20"/>
    </row>
    <row r="59" spans="1:8" ht="15" x14ac:dyDescent="0.25">
      <c r="A59" s="186" t="s">
        <v>29</v>
      </c>
      <c r="B59" s="187"/>
      <c r="C59" s="188"/>
      <c r="D59" s="190"/>
      <c r="E59" s="188"/>
      <c r="F59" s="190"/>
      <c r="G59" s="188"/>
      <c r="H59" s="190"/>
    </row>
    <row r="60" spans="1:8" ht="15" x14ac:dyDescent="0.25">
      <c r="A60" s="59">
        <v>31</v>
      </c>
      <c r="B60" s="60" t="s">
        <v>30</v>
      </c>
      <c r="C60" s="84">
        <f>(C11+E11)/2</f>
        <v>644623</v>
      </c>
      <c r="D60" s="83"/>
      <c r="E60" s="84">
        <f>(E11+G11)/2</f>
        <v>866363.5</v>
      </c>
      <c r="F60" s="83"/>
      <c r="G60" s="84">
        <f>(G11+G11)/2</f>
        <v>1024262</v>
      </c>
      <c r="H60" s="85"/>
    </row>
    <row r="61" spans="1:8" ht="15" x14ac:dyDescent="0.25">
      <c r="A61" s="59">
        <v>32</v>
      </c>
      <c r="B61" s="60" t="s">
        <v>31</v>
      </c>
      <c r="C61" s="84">
        <f>(C27+E27)/2</f>
        <v>1144187</v>
      </c>
      <c r="D61" s="85"/>
      <c r="E61" s="84">
        <f>(E27+G27)/2</f>
        <v>1779276.5</v>
      </c>
      <c r="F61" s="85"/>
      <c r="G61" s="84">
        <f>(G27+G27)/2</f>
        <v>2520208</v>
      </c>
      <c r="H61" s="85"/>
    </row>
    <row r="62" spans="1:8" ht="15" x14ac:dyDescent="0.25">
      <c r="A62" s="59">
        <v>33</v>
      </c>
      <c r="B62" s="61" t="s">
        <v>32</v>
      </c>
      <c r="C62" s="84">
        <f>-DFC_DVA_AV!C37</f>
        <v>6907684</v>
      </c>
      <c r="D62" s="83"/>
      <c r="E62" s="84">
        <f>-DFC_DVA_AV!E37</f>
        <v>8208348</v>
      </c>
      <c r="F62" s="83"/>
      <c r="G62" s="84">
        <f>-'Dados DRE'!G16</f>
        <v>9339709</v>
      </c>
      <c r="H62" s="85"/>
    </row>
    <row r="63" spans="1:8" ht="15" x14ac:dyDescent="0.25">
      <c r="A63" s="59">
        <v>34</v>
      </c>
      <c r="B63" s="62" t="s">
        <v>33</v>
      </c>
      <c r="C63" s="84">
        <f>(C12+E12)/2</f>
        <v>3960001</v>
      </c>
      <c r="D63" s="83"/>
      <c r="E63" s="84">
        <f>(E12+G12)/2</f>
        <v>5679171.5</v>
      </c>
      <c r="F63" s="83"/>
      <c r="G63" s="84">
        <f>(G12+G12)/2</f>
        <v>7101103</v>
      </c>
      <c r="H63" s="85"/>
    </row>
    <row r="64" spans="1:8" ht="15" x14ac:dyDescent="0.25">
      <c r="A64" s="59">
        <v>35</v>
      </c>
      <c r="B64" s="61" t="s">
        <v>34</v>
      </c>
      <c r="C64" s="84">
        <f>(C23+E23)/2</f>
        <v>14729743.5</v>
      </c>
      <c r="D64" s="83"/>
      <c r="E64" s="84">
        <f>(E23+G23)/2</f>
        <v>18488821.5</v>
      </c>
      <c r="F64" s="83"/>
      <c r="G64" s="84">
        <f>(G23+G23)/2</f>
        <v>21499170</v>
      </c>
      <c r="H64" s="85"/>
    </row>
    <row r="65" spans="1:8" ht="15" x14ac:dyDescent="0.25">
      <c r="A65" s="59">
        <v>36</v>
      </c>
      <c r="B65" s="62" t="s">
        <v>35</v>
      </c>
      <c r="C65" s="84">
        <f>(C40+E40)/2</f>
        <v>5118784.5</v>
      </c>
      <c r="D65" s="83"/>
      <c r="E65" s="84">
        <f>(E40+G40)/2</f>
        <v>5576918.5</v>
      </c>
      <c r="F65" s="83"/>
      <c r="G65" s="84">
        <f>(G40+G40)/2</f>
        <v>6134025</v>
      </c>
      <c r="H65" s="85"/>
    </row>
    <row r="66" spans="1:8" ht="15" x14ac:dyDescent="0.25">
      <c r="A66" s="59">
        <v>37</v>
      </c>
      <c r="B66" s="61" t="s">
        <v>36</v>
      </c>
      <c r="C66" s="84">
        <f>((C23-C19-C17-C13)+(E23-E19-E17-E13))/2</f>
        <v>8409945</v>
      </c>
      <c r="D66" s="83"/>
      <c r="E66" s="84">
        <f>((E23-E19-E17-E13)+(G23-G19-G17-G13))/2</f>
        <v>11248038.5</v>
      </c>
      <c r="F66" s="83"/>
      <c r="G66" s="84">
        <f>((G23-G19-G17-G13)+(G23-G19-G17-G13))/2</f>
        <v>13763712</v>
      </c>
      <c r="H66" s="85"/>
    </row>
    <row r="67" spans="1:8" ht="15" x14ac:dyDescent="0.25">
      <c r="A67" s="59">
        <v>38</v>
      </c>
      <c r="B67" s="61" t="s">
        <v>37</v>
      </c>
      <c r="C67" s="84">
        <f>'Dados BP'!C62</f>
        <v>740465.04399999999</v>
      </c>
      <c r="D67" s="83"/>
      <c r="E67" s="84">
        <f>'Dados BP'!E62</f>
        <v>740465.04399999999</v>
      </c>
      <c r="F67" s="83"/>
      <c r="G67" s="84">
        <f>'Dados BP'!G62</f>
        <v>740465.04399999999</v>
      </c>
      <c r="H67" s="85"/>
    </row>
    <row r="68" spans="1:8" ht="15" x14ac:dyDescent="0.25">
      <c r="A68" s="59">
        <v>381</v>
      </c>
      <c r="B68" s="61" t="s">
        <v>38</v>
      </c>
      <c r="C68" s="195">
        <f>'Dados BP'!C63*'Dados BP'!C$5</f>
        <v>11.9</v>
      </c>
      <c r="D68" s="83"/>
      <c r="E68" s="195">
        <f>'Dados BP'!E63*'Dados BP'!E$5</f>
        <v>9.51</v>
      </c>
      <c r="F68" s="83"/>
      <c r="G68" s="195">
        <f>'Dados BP'!G63*'Dados BP'!G$5</f>
        <v>8.81</v>
      </c>
      <c r="H68" s="85"/>
    </row>
    <row r="69" spans="1:8" ht="15" x14ac:dyDescent="0.25">
      <c r="A69" s="59">
        <v>39</v>
      </c>
      <c r="B69" s="61" t="s">
        <v>168</v>
      </c>
      <c r="C69" s="129">
        <f>'Dados BP'!C64*'Dados BP'!C$5</f>
        <v>-179819</v>
      </c>
      <c r="D69" s="83"/>
      <c r="E69" s="129">
        <f>'Dados BP'!E64*'Dados BP'!E$5</f>
        <v>-228341</v>
      </c>
      <c r="F69" s="83"/>
      <c r="G69" s="129">
        <f>'Dados BP'!G64*'Dados BP'!G$5</f>
        <v>-227574</v>
      </c>
      <c r="H69" s="85"/>
    </row>
    <row r="70" spans="1:8" ht="15" x14ac:dyDescent="0.25">
      <c r="A70" s="59">
        <v>391</v>
      </c>
      <c r="B70" s="61" t="s">
        <v>183</v>
      </c>
      <c r="C70" s="129">
        <f>'Dados BP'!C65*'Dados BP'!C$5</f>
        <v>17149</v>
      </c>
      <c r="D70" s="83"/>
      <c r="E70" s="129">
        <f>'Dados BP'!E65*'Dados BP'!E$5</f>
        <v>16853</v>
      </c>
      <c r="F70" s="83"/>
      <c r="G70" s="129">
        <f>'Dados BP'!G65*'Dados BP'!G$5</f>
        <v>23509</v>
      </c>
      <c r="H70" s="85"/>
    </row>
    <row r="71" spans="1:8" ht="15" x14ac:dyDescent="0.25">
      <c r="A71" s="53">
        <v>40</v>
      </c>
      <c r="B71" s="72" t="s">
        <v>39</v>
      </c>
      <c r="C71" s="86">
        <f>'Dados BP'!C66</f>
        <v>3.54</v>
      </c>
      <c r="D71" s="87"/>
      <c r="E71" s="86">
        <f>'Dados BP'!E66</f>
        <v>4.17</v>
      </c>
      <c r="F71" s="87"/>
      <c r="G71" s="86">
        <f>'Dados BP'!G66</f>
        <v>3.42</v>
      </c>
      <c r="H71" s="88"/>
    </row>
    <row r="72" spans="1:8" x14ac:dyDescent="0.2">
      <c r="C72" s="40"/>
      <c r="D72" s="41"/>
      <c r="E72" s="40"/>
      <c r="F72" s="6"/>
      <c r="G72" s="40"/>
      <c r="H72" s="6"/>
    </row>
    <row r="73" spans="1:8" x14ac:dyDescent="0.2">
      <c r="C73" s="40"/>
      <c r="D73" s="41"/>
      <c r="E73" s="40"/>
      <c r="F73" s="6"/>
      <c r="G73" s="40"/>
      <c r="H73" s="6"/>
    </row>
    <row r="74" spans="1:8" ht="15" x14ac:dyDescent="0.25">
      <c r="A74" s="186" t="s">
        <v>40</v>
      </c>
      <c r="B74" s="187"/>
      <c r="C74" s="188"/>
      <c r="D74" s="190"/>
      <c r="E74" s="188"/>
      <c r="F74" s="190"/>
      <c r="G74" s="188"/>
      <c r="H74" s="190"/>
    </row>
    <row r="75" spans="1:8" ht="15" x14ac:dyDescent="0.25">
      <c r="A75" s="59" t="s">
        <v>41</v>
      </c>
      <c r="B75" s="60" t="s">
        <v>42</v>
      </c>
      <c r="C75" s="129">
        <f>'Dados BP'!C70*'Dados BP'!C$5</f>
        <v>1244968.5</v>
      </c>
      <c r="D75" s="83"/>
      <c r="E75" s="129">
        <f>'Dados BP'!E70*'Dados BP'!E$5</f>
        <v>1208691</v>
      </c>
      <c r="F75" s="83"/>
      <c r="G75" s="129">
        <f>'Dados BP'!G70*'Dados BP'!G$5</f>
        <v>522065</v>
      </c>
      <c r="H75" s="85"/>
    </row>
    <row r="76" spans="1:8" ht="15" x14ac:dyDescent="0.25">
      <c r="A76" s="59" t="s">
        <v>41</v>
      </c>
      <c r="B76" s="60" t="s">
        <v>43</v>
      </c>
      <c r="C76" s="129">
        <f>'Dados BP'!C71*'Dados BP'!C$5</f>
        <v>8243543.5</v>
      </c>
      <c r="D76" s="83"/>
      <c r="E76" s="129">
        <f>'Dados BP'!E71*'Dados BP'!E$5</f>
        <v>9789098</v>
      </c>
      <c r="F76" s="83"/>
      <c r="G76" s="129">
        <f>'Dados BP'!G71*'Dados BP'!G$5</f>
        <v>11359543</v>
      </c>
      <c r="H76" s="85"/>
    </row>
    <row r="77" spans="1:8" ht="14.25" x14ac:dyDescent="0.2">
      <c r="A77" s="98"/>
      <c r="B77" s="77" t="s">
        <v>44</v>
      </c>
      <c r="C77" s="99">
        <f>DRE_AV!C10</f>
        <v>9488512</v>
      </c>
      <c r="D77" s="103">
        <f>C77-C75-C76</f>
        <v>0</v>
      </c>
      <c r="E77" s="99">
        <f>DRE_AV!E10</f>
        <v>10997789</v>
      </c>
      <c r="F77" s="103">
        <f>E77-E75-E76</f>
        <v>0</v>
      </c>
      <c r="G77" s="99">
        <f>DRE_AV!G10</f>
        <v>11881608</v>
      </c>
      <c r="H77" s="104">
        <f>G77-G75-G76</f>
        <v>0</v>
      </c>
    </row>
    <row r="78" spans="1:8" ht="15" x14ac:dyDescent="0.25">
      <c r="A78" s="59"/>
      <c r="B78" s="62"/>
      <c r="C78" s="84"/>
      <c r="D78" s="83"/>
      <c r="E78" s="84"/>
      <c r="F78" s="83"/>
      <c r="G78" s="84"/>
      <c r="H78" s="85"/>
    </row>
    <row r="79" spans="1:8" ht="15" x14ac:dyDescent="0.25">
      <c r="A79" s="59"/>
      <c r="B79" s="61" t="s">
        <v>160</v>
      </c>
      <c r="C79" s="129">
        <f>'Dados BP'!C74*'Dados BP'!C$5</f>
        <v>1604560</v>
      </c>
      <c r="D79" s="83"/>
      <c r="E79" s="129">
        <f>'Dados BP'!E74*'Dados BP'!E$5</f>
        <v>1682747</v>
      </c>
      <c r="F79" s="83"/>
      <c r="G79" s="129">
        <f>'Dados BP'!G74*'Dados BP'!G$5</f>
        <v>2902452</v>
      </c>
      <c r="H79" s="85"/>
    </row>
    <row r="80" spans="1:8" ht="15" x14ac:dyDescent="0.25">
      <c r="A80" s="59"/>
      <c r="B80" s="62" t="s">
        <v>167</v>
      </c>
      <c r="C80" s="129">
        <f>'Dados BP'!C75*'Dados BP'!C$5</f>
        <v>1253771</v>
      </c>
      <c r="D80" s="83"/>
      <c r="E80" s="129">
        <f>'Dados BP'!E75*'Dados BP'!E$5</f>
        <v>1563351</v>
      </c>
      <c r="F80" s="83"/>
      <c r="G80" s="129">
        <f>'Dados BP'!G75*'Dados BP'!G$5</f>
        <v>2343954</v>
      </c>
      <c r="H80" s="85"/>
    </row>
    <row r="81" spans="1:8" ht="15" x14ac:dyDescent="0.25">
      <c r="A81" s="59"/>
      <c r="B81" s="61" t="s">
        <v>45</v>
      </c>
      <c r="C81" s="129">
        <f>'Dados BP'!C76*'Dados BP'!C$5</f>
        <v>757674</v>
      </c>
      <c r="D81" s="83"/>
      <c r="E81" s="129">
        <f>'Dados BP'!E76*'Dados BP'!E$5</f>
        <v>842495</v>
      </c>
      <c r="F81" s="83"/>
      <c r="G81" s="129">
        <f>'Dados BP'!G76*'Dados BP'!G$5</f>
        <v>1337695</v>
      </c>
      <c r="H81" s="85"/>
    </row>
    <row r="82" spans="1:8" ht="15" x14ac:dyDescent="0.25">
      <c r="A82" s="59"/>
      <c r="B82" s="61" t="s">
        <v>46</v>
      </c>
      <c r="C82" s="129">
        <f>'Dados BP'!C77*'Dados BP'!C$5</f>
        <v>46757</v>
      </c>
      <c r="D82" s="83"/>
      <c r="E82" s="129">
        <f>'Dados BP'!E77*'Dados BP'!E$5</f>
        <v>168647</v>
      </c>
      <c r="F82" s="83"/>
      <c r="G82" s="129">
        <f>'Dados BP'!G77*'Dados BP'!G$5</f>
        <v>517002</v>
      </c>
      <c r="H82" s="85"/>
    </row>
    <row r="83" spans="1:8" ht="14.25" x14ac:dyDescent="0.2">
      <c r="A83" s="98"/>
      <c r="B83" s="77" t="s">
        <v>47</v>
      </c>
      <c r="C83" s="99">
        <f>C12</f>
        <v>3662762</v>
      </c>
      <c r="D83" s="105">
        <f>+C83-C79-C80-C81-C82</f>
        <v>0</v>
      </c>
      <c r="E83" s="99">
        <f>E12</f>
        <v>4257240</v>
      </c>
      <c r="F83" s="105">
        <f>+E83-E79-E80-E81-E82</f>
        <v>0</v>
      </c>
      <c r="G83" s="99">
        <f>G12</f>
        <v>7101103</v>
      </c>
      <c r="H83" s="106">
        <f>+G83-G79-G80-G81-G82</f>
        <v>0</v>
      </c>
    </row>
    <row r="84" spans="1:8" ht="15" x14ac:dyDescent="0.25">
      <c r="A84" s="59"/>
      <c r="B84" s="61"/>
      <c r="C84" s="84"/>
      <c r="D84" s="83"/>
      <c r="E84" s="84"/>
      <c r="F84" s="83"/>
      <c r="G84" s="84"/>
      <c r="H84" s="85"/>
    </row>
    <row r="85" spans="1:8" ht="15" x14ac:dyDescent="0.25">
      <c r="A85" s="59"/>
      <c r="B85" s="62" t="s">
        <v>161</v>
      </c>
      <c r="C85" s="129">
        <f>'Dados BP'!C80*'Dados BP'!C$5</f>
        <v>742209</v>
      </c>
      <c r="D85" s="83"/>
      <c r="E85" s="129">
        <f>'Dados BP'!E80*'Dados BP'!E$5</f>
        <v>726272</v>
      </c>
      <c r="F85" s="83"/>
      <c r="G85" s="129">
        <f>'Dados BP'!G80*'Dados BP'!G$5</f>
        <v>1045804</v>
      </c>
      <c r="H85" s="85"/>
    </row>
    <row r="86" spans="1:8" ht="15" x14ac:dyDescent="0.25">
      <c r="A86" s="59"/>
      <c r="B86" s="61" t="s">
        <v>48</v>
      </c>
      <c r="C86" s="129">
        <f>'Dados BP'!C81*'Dados BP'!C$5</f>
        <v>922723</v>
      </c>
      <c r="D86" s="83"/>
      <c r="E86" s="129">
        <f>'Dados BP'!E81*'Dados BP'!E$5</f>
        <v>988855</v>
      </c>
      <c r="F86" s="83"/>
      <c r="G86" s="129">
        <f>'Dados BP'!G81*'Dados BP'!G$5</f>
        <v>1199859</v>
      </c>
      <c r="H86" s="85"/>
    </row>
    <row r="87" spans="1:8" ht="15" x14ac:dyDescent="0.25">
      <c r="A87" s="59"/>
      <c r="B87" s="61" t="s">
        <v>49</v>
      </c>
      <c r="C87" s="129">
        <f>'Dados BP'!C82*'Dados BP'!C$5</f>
        <v>1853722</v>
      </c>
      <c r="D87" s="83"/>
      <c r="E87" s="129">
        <f>'Dados BP'!E82*'Dados BP'!E$5</f>
        <v>1661896</v>
      </c>
      <c r="F87" s="83"/>
      <c r="G87" s="129">
        <f>'Dados BP'!G82*'Dados BP'!G$5</f>
        <v>1690065</v>
      </c>
      <c r="H87" s="85"/>
    </row>
    <row r="88" spans="1:8" ht="15" x14ac:dyDescent="0.25">
      <c r="A88" s="59"/>
      <c r="B88" s="61" t="s">
        <v>162</v>
      </c>
      <c r="C88" s="129">
        <f>'Dados BP'!C83*'Dados BP'!C$5</f>
        <v>-1517580</v>
      </c>
      <c r="D88" s="83"/>
      <c r="E88" s="129">
        <f>'Dados BP'!E83*'Dados BP'!E$5</f>
        <v>-1459378</v>
      </c>
      <c r="F88" s="83"/>
      <c r="G88" s="129">
        <f>'Dados BP'!G83*'Dados BP'!G$5</f>
        <v>-1635521</v>
      </c>
      <c r="H88" s="85"/>
    </row>
    <row r="89" spans="1:8" ht="14.25" x14ac:dyDescent="0.2">
      <c r="A89" s="100"/>
      <c r="B89" s="101" t="s">
        <v>50</v>
      </c>
      <c r="C89" s="102">
        <f>C20</f>
        <v>2001074</v>
      </c>
      <c r="D89" s="107">
        <f>+C89-C85-C86-C87-C88</f>
        <v>0</v>
      </c>
      <c r="E89" s="102">
        <f>E20</f>
        <v>1917645</v>
      </c>
      <c r="F89" s="107">
        <f>+E89-E85-E86-E87-E88</f>
        <v>0</v>
      </c>
      <c r="G89" s="102">
        <f>G20</f>
        <v>2300207</v>
      </c>
      <c r="H89" s="108">
        <f>+G89-G85-G86-G87-G88</f>
        <v>0</v>
      </c>
    </row>
    <row r="90" spans="1:8" x14ac:dyDescent="0.2">
      <c r="E90" s="25"/>
    </row>
    <row r="122" spans="1:8" ht="15.75" x14ac:dyDescent="0.25">
      <c r="A122" s="34"/>
      <c r="B122" s="34"/>
      <c r="C122" s="35"/>
      <c r="D122" s="36"/>
      <c r="E122" s="37"/>
      <c r="F122" s="34"/>
      <c r="G122" s="37"/>
      <c r="H122" s="34"/>
    </row>
    <row r="123" spans="1:8" ht="15.75" x14ac:dyDescent="0.25">
      <c r="A123" s="34"/>
      <c r="B123" s="34"/>
      <c r="C123" s="35"/>
      <c r="D123" s="36"/>
      <c r="E123" s="37"/>
      <c r="F123" s="34"/>
      <c r="G123" s="37"/>
      <c r="H123" s="34"/>
    </row>
    <row r="124" spans="1:8" ht="15.75" x14ac:dyDescent="0.25">
      <c r="A124" s="34"/>
      <c r="B124" s="34"/>
      <c r="C124" s="35"/>
      <c r="D124" s="36"/>
      <c r="E124" s="37"/>
      <c r="F124" s="34"/>
      <c r="G124" s="37"/>
      <c r="H124" s="34"/>
    </row>
    <row r="125" spans="1:8" ht="15.75" x14ac:dyDescent="0.25">
      <c r="A125" s="34"/>
      <c r="B125" s="34"/>
      <c r="C125" s="35"/>
      <c r="D125" s="36"/>
      <c r="E125" s="37"/>
      <c r="F125" s="34"/>
      <c r="G125" s="37"/>
      <c r="H125" s="34"/>
    </row>
  </sheetData>
  <sheetProtection password="C40E" sheet="1"/>
  <phoneticPr fontId="0" type="noConversion"/>
  <pageMargins left="0.59055118110236227" right="0.39370078740157483" top="0.98425196850393704" bottom="0.98425196850393704" header="0" footer="0"/>
  <pageSetup paperSize="9" scale="88" fitToHeight="2" orientation="portrait" horizontalDpi="120" verticalDpi="14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I48"/>
  <sheetViews>
    <sheetView topLeftCell="B31" workbookViewId="0">
      <selection activeCell="F33" sqref="F33"/>
    </sheetView>
  </sheetViews>
  <sheetFormatPr defaultRowHeight="12.75" x14ac:dyDescent="0.2"/>
  <cols>
    <col min="1" max="1" width="7" customWidth="1"/>
    <col min="2" max="2" width="30.83203125" customWidth="1"/>
    <col min="3" max="3" width="17.83203125" customWidth="1"/>
    <col min="4" max="4" width="10.1640625" bestFit="1" customWidth="1"/>
    <col min="5" max="5" width="17.83203125" customWidth="1"/>
    <col min="6" max="6" width="8.83203125" customWidth="1"/>
    <col min="7" max="7" width="17.83203125" customWidth="1"/>
    <col min="8" max="8" width="8.83203125" customWidth="1"/>
  </cols>
  <sheetData>
    <row r="2" spans="1:9" ht="15.75" x14ac:dyDescent="0.25">
      <c r="A2" s="15" t="str">
        <f>'Dados BP'!B2</f>
        <v>EMPRESA : EMBRAER S.A.</v>
      </c>
      <c r="B2" s="13"/>
      <c r="C2" s="13"/>
      <c r="D2" s="13"/>
      <c r="E2" s="13"/>
      <c r="F2" s="13"/>
      <c r="G2" s="13"/>
      <c r="H2" s="13"/>
    </row>
    <row r="3" spans="1:9" ht="15.75" x14ac:dyDescent="0.25">
      <c r="A3" s="15"/>
      <c r="B3" s="13"/>
      <c r="C3" s="13"/>
      <c r="D3" s="13"/>
      <c r="E3" s="13"/>
      <c r="F3" s="13"/>
      <c r="G3" s="13"/>
      <c r="H3" s="13"/>
    </row>
    <row r="4" spans="1:9" ht="15.75" x14ac:dyDescent="0.25">
      <c r="A4" s="185" t="s">
        <v>0</v>
      </c>
      <c r="B4" s="185"/>
      <c r="C4" s="185"/>
      <c r="D4" s="185"/>
      <c r="E4" s="185"/>
      <c r="F4" s="185"/>
      <c r="G4" s="185"/>
      <c r="H4" s="185"/>
    </row>
    <row r="5" spans="1:9" ht="15.75" x14ac:dyDescent="0.25">
      <c r="A5" s="16"/>
      <c r="B5" s="15"/>
      <c r="C5" s="15"/>
      <c r="D5" s="15"/>
      <c r="E5" s="15"/>
      <c r="F5" s="17" t="s">
        <v>1</v>
      </c>
      <c r="G5" s="15"/>
      <c r="H5" s="15"/>
    </row>
    <row r="6" spans="1:9" ht="14.25" x14ac:dyDescent="0.2">
      <c r="A6" s="48"/>
      <c r="B6" s="49" t="s">
        <v>2</v>
      </c>
      <c r="C6" s="128">
        <f>'Dados BP'!C6</f>
        <v>2010</v>
      </c>
      <c r="D6" s="51" t="s">
        <v>3</v>
      </c>
      <c r="E6" s="128">
        <f>'Dados BP'!E6</f>
        <v>2009</v>
      </c>
      <c r="F6" s="51" t="s">
        <v>3</v>
      </c>
      <c r="G6" s="128">
        <f>'Dados BP'!G6</f>
        <v>2008</v>
      </c>
      <c r="H6" s="52" t="s">
        <v>3</v>
      </c>
    </row>
    <row r="7" spans="1:9" ht="15" x14ac:dyDescent="0.25">
      <c r="A7" s="53"/>
      <c r="B7" s="54" t="s">
        <v>4</v>
      </c>
      <c r="C7" s="66" t="s">
        <v>5</v>
      </c>
      <c r="D7" s="56" t="s">
        <v>145</v>
      </c>
      <c r="E7" s="66" t="s">
        <v>5</v>
      </c>
      <c r="F7" s="56" t="s">
        <v>145</v>
      </c>
      <c r="G7" s="67" t="s">
        <v>5</v>
      </c>
      <c r="H7" s="115" t="s">
        <v>145</v>
      </c>
      <c r="I7" s="1"/>
    </row>
    <row r="8" spans="1:9" ht="15" x14ac:dyDescent="0.25">
      <c r="A8" s="64"/>
      <c r="B8" s="68" t="s">
        <v>7</v>
      </c>
      <c r="C8" s="69"/>
      <c r="D8" s="73"/>
      <c r="E8" s="69"/>
      <c r="F8" s="73"/>
      <c r="G8" s="69"/>
      <c r="H8" s="74"/>
    </row>
    <row r="9" spans="1:9" ht="14.25" x14ac:dyDescent="0.2">
      <c r="A9" s="94">
        <v>11</v>
      </c>
      <c r="B9" s="95" t="s">
        <v>8</v>
      </c>
      <c r="C9" s="91">
        <f>SUM(C10:C15)</f>
        <v>8310497</v>
      </c>
      <c r="D9" s="112">
        <f>IF(G9&gt;0,(C9-G9)/ABS(G9)*100+100,IF(G9&lt;0,(C9-G9)/ABS(G9)*100-100,IF(G9=0,((C9+1)/ABS(C9+1))*100,0)))</f>
        <v>57.871360981283601</v>
      </c>
      <c r="E9" s="91">
        <f>SUM(E10:E15)</f>
        <v>9836650</v>
      </c>
      <c r="F9" s="112">
        <f t="shared" ref="F9:F23" si="0">IF(G9&gt;0,(E9-G9)/ABS(G9)*100+100,IF(G9&lt;0,(E9-G9)/ABS(G9)*100-100,IF(G9=0,((E9+1)/ABS(E9+1))*100,0)))</f>
        <v>68.49895054369712</v>
      </c>
      <c r="G9" s="91">
        <f>SUM(G10:G15)</f>
        <v>14360293</v>
      </c>
      <c r="H9" s="112">
        <f t="shared" ref="H9:H23" si="1">IF(G9&gt;=0,100,-100)</f>
        <v>100</v>
      </c>
    </row>
    <row r="10" spans="1:9" ht="15" x14ac:dyDescent="0.25">
      <c r="A10" s="59">
        <v>111</v>
      </c>
      <c r="B10" s="61" t="str">
        <f>'Dados BP'!B10</f>
        <v xml:space="preserve">   - Disponível (caixa e bancos)</v>
      </c>
      <c r="C10" s="133">
        <f>'Dados BP'!C10*'Dados BP'!C$5</f>
        <v>171217</v>
      </c>
      <c r="D10" s="113">
        <f t="shared" ref="D10:D16" si="2">IF(G10&gt;0,(C10-G10)/ABS(G10)*100+100,IF(G10&lt;0,(C10-G10)/ABS(G10)*100-100,IF(G10=0,((C10+1)/ABS(C10+1))*100,0)))</f>
        <v>26.032056389079784</v>
      </c>
      <c r="E10" s="134">
        <f>'Dados BP'!E10*'Dados BP'!E$5</f>
        <v>190053</v>
      </c>
      <c r="F10" s="113">
        <f t="shared" si="0"/>
        <v>28.895906439861591</v>
      </c>
      <c r="G10" s="135">
        <f>'Dados BP'!G10*'Dados BP'!G$5</f>
        <v>657716</v>
      </c>
      <c r="H10" s="111">
        <f t="shared" si="1"/>
        <v>100</v>
      </c>
    </row>
    <row r="11" spans="1:9" ht="15" x14ac:dyDescent="0.25">
      <c r="A11" s="59">
        <v>112</v>
      </c>
      <c r="B11" s="61" t="str">
        <f>'Dados BP'!B11</f>
        <v xml:space="preserve">   - Duplicatas a Receber</v>
      </c>
      <c r="C11" s="133">
        <f>'Dados BP'!C11*'Dados BP'!C$5</f>
        <v>580781</v>
      </c>
      <c r="D11" s="113">
        <f t="shared" si="2"/>
        <v>56.702386694029457</v>
      </c>
      <c r="E11" s="134">
        <f>'Dados BP'!E11*'Dados BP'!E$5</f>
        <v>708465</v>
      </c>
      <c r="F11" s="113">
        <f t="shared" si="0"/>
        <v>69.168337788573623</v>
      </c>
      <c r="G11" s="135">
        <f>'Dados BP'!G11*'Dados BP'!G$5</f>
        <v>1024262</v>
      </c>
      <c r="H11" s="113">
        <f t="shared" si="1"/>
        <v>100</v>
      </c>
    </row>
    <row r="12" spans="1:9" ht="15" x14ac:dyDescent="0.25">
      <c r="A12" s="59">
        <v>113</v>
      </c>
      <c r="B12" s="61" t="str">
        <f>'Dados BP'!B12</f>
        <v xml:space="preserve">   - Estoques</v>
      </c>
      <c r="C12" s="133">
        <f>'Dados BP'!C12*'Dados BP'!C$5</f>
        <v>3662762</v>
      </c>
      <c r="D12" s="113">
        <f t="shared" si="2"/>
        <v>51.580184092527595</v>
      </c>
      <c r="E12" s="134">
        <f>'Dados BP'!E12*'Dados BP'!E$5</f>
        <v>4257240</v>
      </c>
      <c r="F12" s="113">
        <f t="shared" si="0"/>
        <v>59.951813119736471</v>
      </c>
      <c r="G12" s="135">
        <f>'Dados BP'!G12*'Dados BP'!G$5</f>
        <v>7101103</v>
      </c>
      <c r="H12" s="113">
        <f t="shared" si="1"/>
        <v>100</v>
      </c>
    </row>
    <row r="13" spans="1:9" ht="15" x14ac:dyDescent="0.25">
      <c r="A13" s="59">
        <v>114</v>
      </c>
      <c r="B13" s="61" t="str">
        <f>'Dados BP'!B13</f>
        <v xml:space="preserve">   - Aplicações Financeiras</v>
      </c>
      <c r="C13" s="133">
        <f>'Dados BP'!C13*'Dados BP'!C$5</f>
        <v>3417561</v>
      </c>
      <c r="D13" s="113">
        <f t="shared" si="2"/>
        <v>75.823168661884182</v>
      </c>
      <c r="E13" s="134">
        <f>'Dados BP'!E13*'Dados BP'!E$5</f>
        <v>4285088</v>
      </c>
      <c r="F13" s="113">
        <f t="shared" si="0"/>
        <v>95.070417222989136</v>
      </c>
      <c r="G13" s="135">
        <f>'Dados BP'!G13*'Dados BP'!G$5</f>
        <v>4507278</v>
      </c>
      <c r="H13" s="113">
        <f t="shared" si="1"/>
        <v>100</v>
      </c>
    </row>
    <row r="14" spans="1:9" ht="15" x14ac:dyDescent="0.25">
      <c r="A14" s="59">
        <v>115</v>
      </c>
      <c r="B14" s="61" t="str">
        <f>'Dados BP'!B14</f>
        <v xml:space="preserve">   - Outras Contas a Receber</v>
      </c>
      <c r="C14" s="133">
        <f>'Dados BP'!C14*'Dados BP'!C$5</f>
        <v>19379</v>
      </c>
      <c r="D14" s="113">
        <f t="shared" si="2"/>
        <v>72.078405117905234</v>
      </c>
      <c r="E14" s="134">
        <f>'Dados BP'!E14*'Dados BP'!E$5</f>
        <v>20960</v>
      </c>
      <c r="F14" s="113">
        <f t="shared" si="0"/>
        <v>77.958788960797435</v>
      </c>
      <c r="G14" s="135">
        <f>'Dados BP'!G14*'Dados BP'!G$5</f>
        <v>26886</v>
      </c>
      <c r="H14" s="113">
        <f t="shared" si="1"/>
        <v>100</v>
      </c>
    </row>
    <row r="15" spans="1:9" ht="15" x14ac:dyDescent="0.25">
      <c r="A15" s="53">
        <v>116</v>
      </c>
      <c r="B15" s="61" t="str">
        <f>'Dados BP'!B15</f>
        <v xml:space="preserve">   - Outros Créditos</v>
      </c>
      <c r="C15" s="136">
        <f>'Dados BP'!C15*'Dados BP'!C$5</f>
        <v>458797</v>
      </c>
      <c r="D15" s="86">
        <f t="shared" si="2"/>
        <v>43.986182802708981</v>
      </c>
      <c r="E15" s="137">
        <f>'Dados BP'!E15*'Dados BP'!E$5</f>
        <v>374844</v>
      </c>
      <c r="F15" s="86">
        <f t="shared" si="0"/>
        <v>35.937368174810743</v>
      </c>
      <c r="G15" s="138">
        <f>'Dados BP'!G15*'Dados BP'!G$5</f>
        <v>1043048</v>
      </c>
      <c r="H15" s="113">
        <f t="shared" si="1"/>
        <v>100</v>
      </c>
    </row>
    <row r="16" spans="1:9" ht="14.25" x14ac:dyDescent="0.2">
      <c r="A16" s="94">
        <v>12</v>
      </c>
      <c r="B16" s="68" t="str">
        <f>'Dados BP'!B16</f>
        <v xml:space="preserve">   NÃO CIRCULANTE</v>
      </c>
      <c r="C16" s="131">
        <f>C17+C18</f>
        <v>5670517</v>
      </c>
      <c r="D16" s="112">
        <f t="shared" si="2"/>
        <v>79.431498819772358</v>
      </c>
      <c r="E16" s="131">
        <f>E17+E18</f>
        <v>5641823</v>
      </c>
      <c r="F16" s="117">
        <f>IF(G16&gt;0,(E16-G16)/ABS(G16)*100+100,IF(G16&lt;0,(E16-G16)/ABS(G16)*100-100,IF(G16=0,((E16+1)/ABS(E16+1))*100,0)))</f>
        <v>79.029558850782834</v>
      </c>
      <c r="G16" s="131">
        <f>G17+G18</f>
        <v>7138877</v>
      </c>
      <c r="H16" s="112">
        <f>IF(G16&gt;=0,100,-100)</f>
        <v>100</v>
      </c>
    </row>
    <row r="17" spans="1:8" ht="14.25" x14ac:dyDescent="0.2">
      <c r="A17" s="94">
        <v>121</v>
      </c>
      <c r="B17" s="68" t="str">
        <f>'Dados BP'!B17</f>
        <v xml:space="preserve">   - Realizável Longo Prazo</v>
      </c>
      <c r="C17" s="131">
        <f>'Dados BP'!C17*'Dados BP'!C$5</f>
        <v>2475920</v>
      </c>
      <c r="D17" s="112">
        <f t="shared" ref="D17:D23" si="3">IF(G17&gt;0,(C17-G17)/ABS(G17)*100+100,IF(G17&lt;0,(C17-G17)/ABS(G17)*100-100,IF(G17=0,((C17+1)/ABS(C17+1))*100,0)))</f>
        <v>76.697323870799863</v>
      </c>
      <c r="E17" s="131">
        <f>'Dados BP'!E17*'Dados BP'!E$5</f>
        <v>2461011</v>
      </c>
      <c r="F17" s="117">
        <f t="shared" si="0"/>
        <v>76.235483261414359</v>
      </c>
      <c r="G17" s="131">
        <f>'Dados BP'!G17*'Dados BP'!G$5</f>
        <v>3228170</v>
      </c>
      <c r="H17" s="112">
        <f t="shared" si="1"/>
        <v>100</v>
      </c>
    </row>
    <row r="18" spans="1:8" ht="14.25" x14ac:dyDescent="0.2">
      <c r="A18" s="94">
        <v>122</v>
      </c>
      <c r="B18" s="68" t="str">
        <f>'Dados BP'!B18</f>
        <v xml:space="preserve">   - Permanente</v>
      </c>
      <c r="C18" s="91">
        <f>SUM(C19:C22)</f>
        <v>3194597</v>
      </c>
      <c r="D18" s="112">
        <f t="shared" si="3"/>
        <v>81.688477300907479</v>
      </c>
      <c r="E18" s="91">
        <f>SUM(E19:E22)</f>
        <v>3180812</v>
      </c>
      <c r="F18" s="117">
        <f t="shared" si="0"/>
        <v>81.335983493521752</v>
      </c>
      <c r="G18" s="91">
        <f>SUM(G19:G22)</f>
        <v>3910707</v>
      </c>
      <c r="H18" s="112">
        <f t="shared" si="1"/>
        <v>100</v>
      </c>
    </row>
    <row r="19" spans="1:8" ht="15" x14ac:dyDescent="0.25">
      <c r="A19" s="59">
        <v>1221</v>
      </c>
      <c r="B19" s="61" t="str">
        <f>'Dados BP'!B19</f>
        <v xml:space="preserve">     . Investimentos</v>
      </c>
      <c r="C19" s="129">
        <f>'Dados BP'!C19*'Dados BP'!C$5</f>
        <v>8</v>
      </c>
      <c r="D19" s="113">
        <f t="shared" si="3"/>
        <v>80</v>
      </c>
      <c r="E19" s="129">
        <f>'Dados BP'!E19*'Dados BP'!E$5</f>
        <v>9</v>
      </c>
      <c r="F19" s="113">
        <f t="shared" si="0"/>
        <v>90</v>
      </c>
      <c r="G19" s="129">
        <f>'Dados BP'!G19*'Dados BP'!G$5</f>
        <v>10</v>
      </c>
      <c r="H19" s="113">
        <f t="shared" si="1"/>
        <v>100</v>
      </c>
    </row>
    <row r="20" spans="1:8" ht="15" x14ac:dyDescent="0.25">
      <c r="A20" s="59">
        <v>1222</v>
      </c>
      <c r="B20" s="61" t="str">
        <f>'Dados BP'!B20</f>
        <v xml:space="preserve">     . Imobilizado</v>
      </c>
      <c r="C20" s="129">
        <f>'Dados BP'!C20*'Dados BP'!C$5</f>
        <v>2001074</v>
      </c>
      <c r="D20" s="113">
        <f t="shared" si="3"/>
        <v>86.995387806401766</v>
      </c>
      <c r="E20" s="129">
        <f>'Dados BP'!E20*'Dados BP'!E$5</f>
        <v>1917645</v>
      </c>
      <c r="F20" s="113">
        <f t="shared" si="0"/>
        <v>83.368366412240292</v>
      </c>
      <c r="G20" s="129">
        <f>'Dados BP'!G20*'Dados BP'!G$5</f>
        <v>2300207</v>
      </c>
      <c r="H20" s="113">
        <f t="shared" si="1"/>
        <v>100</v>
      </c>
    </row>
    <row r="21" spans="1:8" ht="15" x14ac:dyDescent="0.25">
      <c r="A21" s="59">
        <v>1223</v>
      </c>
      <c r="B21" s="61" t="str">
        <f>'Dados BP'!B21</f>
        <v xml:space="preserve">     . Intangível</v>
      </c>
      <c r="C21" s="129">
        <f>'Dados BP'!C21*'Dados BP'!C$5</f>
        <v>1193515</v>
      </c>
      <c r="D21" s="113">
        <f>IF(G21&gt;0,(C21-G21)/ABS(G21)*100+100,IF(G21&lt;0,(C21-G21)/ABS(G21)*100-100,IF(G21=0,((C21+1)/ABS(C21+1))*100,0)))</f>
        <v>74.108811603921794</v>
      </c>
      <c r="E21" s="129">
        <f>'Dados BP'!E21*'Dados BP'!E$5</f>
        <v>1263158</v>
      </c>
      <c r="F21" s="113">
        <f>IF(G21&gt;0,(E21-G21)/ABS(G21)*100+100,IF(G21&lt;0,(E21-G21)/ABS(G21)*100-100,IF(G21=0,((E21+1)/ABS(E21+1))*100,0)))</f>
        <v>78.433147675552163</v>
      </c>
      <c r="G21" s="129">
        <f>'Dados BP'!G21*'Dados BP'!G$5</f>
        <v>1610490</v>
      </c>
      <c r="H21" s="113">
        <f>IF(G21&gt;=0,100,-100)</f>
        <v>100</v>
      </c>
    </row>
    <row r="22" spans="1:8" ht="15" x14ac:dyDescent="0.25">
      <c r="A22" s="53">
        <v>1224</v>
      </c>
      <c r="B22" s="61" t="str">
        <f>'Dados BP'!B22</f>
        <v xml:space="preserve">     . Diferido</v>
      </c>
      <c r="C22" s="129">
        <f>'Dados BP'!C22*'Dados BP'!C$5</f>
        <v>0</v>
      </c>
      <c r="D22" s="86">
        <f t="shared" si="3"/>
        <v>100</v>
      </c>
      <c r="E22" s="129">
        <f>'Dados BP'!E22*'Dados BP'!E$5</f>
        <v>0</v>
      </c>
      <c r="F22" s="86">
        <f t="shared" si="0"/>
        <v>100</v>
      </c>
      <c r="G22" s="129">
        <f>'Dados BP'!G22*'Dados BP'!G$5</f>
        <v>0</v>
      </c>
      <c r="H22" s="113">
        <f t="shared" si="1"/>
        <v>100</v>
      </c>
    </row>
    <row r="23" spans="1:8" ht="15" x14ac:dyDescent="0.25">
      <c r="A23" s="64">
        <v>1</v>
      </c>
      <c r="B23" s="68" t="str">
        <f>'Dados BP'!B23</f>
        <v>TOTAL DO ATIVO</v>
      </c>
      <c r="C23" s="91">
        <f>C18+C17+C9</f>
        <v>13981014</v>
      </c>
      <c r="D23" s="112">
        <f t="shared" si="3"/>
        <v>65.030482572117904</v>
      </c>
      <c r="E23" s="91">
        <f>E18+E17+E9</f>
        <v>15478473</v>
      </c>
      <c r="F23" s="117">
        <f t="shared" si="0"/>
        <v>71.995677042416048</v>
      </c>
      <c r="G23" s="91">
        <f>G18+G17+G9</f>
        <v>21499170</v>
      </c>
      <c r="H23" s="112">
        <f t="shared" si="1"/>
        <v>100</v>
      </c>
    </row>
    <row r="24" spans="1:8" ht="15" x14ac:dyDescent="0.25">
      <c r="A24" s="18"/>
      <c r="B24" s="18"/>
      <c r="C24" s="21"/>
      <c r="D24" s="20"/>
      <c r="E24" s="21"/>
      <c r="F24" s="20"/>
      <c r="G24" s="21"/>
      <c r="H24" s="20"/>
    </row>
    <row r="25" spans="1:8" ht="15" x14ac:dyDescent="0.25">
      <c r="A25" s="64"/>
      <c r="B25" s="68" t="s">
        <v>15</v>
      </c>
      <c r="C25" s="70"/>
      <c r="D25" s="75"/>
      <c r="E25" s="70"/>
      <c r="F25" s="75"/>
      <c r="G25" s="70"/>
      <c r="H25" s="118"/>
    </row>
    <row r="26" spans="1:8" ht="14.25" x14ac:dyDescent="0.2">
      <c r="A26" s="94">
        <v>21</v>
      </c>
      <c r="B26" s="95" t="s">
        <v>8</v>
      </c>
      <c r="C26" s="91">
        <f>SUM(C27:C35)</f>
        <v>3980282</v>
      </c>
      <c r="D26" s="112">
        <f>IF(G26&gt;0,(C26-G26)/ABS(G26)*100+100,IF(G26&lt;0,(C26-G26)/ABS(G26)*100-100,IF(G26=0,((C26+1)/ABS(C26+1))*100,0)))</f>
        <v>47.52565307919339</v>
      </c>
      <c r="E26" s="91">
        <f>SUM(E27:E35)</f>
        <v>4789198</v>
      </c>
      <c r="F26" s="117">
        <f t="shared" ref="F26:F48" si="4">IF(G26&gt;0,(E26-G26)/ABS(G26)*100+100,IF(G26&lt;0,(E26-G26)/ABS(G26)*100-100,IF(G26=0,((E26+1)/ABS(E26+1))*100,0)))</f>
        <v>57.184330827706873</v>
      </c>
      <c r="G26" s="91">
        <f>SUM(G27:G35)</f>
        <v>8375018</v>
      </c>
      <c r="H26" s="112">
        <f>IF(G26&gt;=0,100,-100)</f>
        <v>100</v>
      </c>
    </row>
    <row r="27" spans="1:8" ht="15" x14ac:dyDescent="0.25">
      <c r="A27" s="59">
        <v>211</v>
      </c>
      <c r="B27" s="61" t="str">
        <f>'Dados BP'!B27</f>
        <v xml:space="preserve">   - Fornecedores</v>
      </c>
      <c r="C27" s="129">
        <f>'Dados BP'!C27*'Dados BP'!C$5</f>
        <v>1250029</v>
      </c>
      <c r="D27" s="113">
        <f>IF(G27&gt;0,(C27-G27)/ABS(G27)*100+100,IF(G27&lt;0,(C27-G27)/ABS(G27)*100-100,IF(G27=0,((C27+1)/ABS(C27+1))*100,0)))</f>
        <v>49.600231409470965</v>
      </c>
      <c r="E27" s="129">
        <f>'Dados BP'!E27*'Dados BP'!E$5</f>
        <v>1038345</v>
      </c>
      <c r="F27" s="113">
        <f t="shared" si="4"/>
        <v>41.200765968523235</v>
      </c>
      <c r="G27" s="129">
        <f>'Dados BP'!G27*'Dados BP'!G$5</f>
        <v>2520208</v>
      </c>
      <c r="H27" s="111">
        <f>IF(G27&gt;=0,100,-100)</f>
        <v>100</v>
      </c>
    </row>
    <row r="28" spans="1:8" ht="15" x14ac:dyDescent="0.25">
      <c r="A28" s="59">
        <v>212</v>
      </c>
      <c r="B28" s="61" t="str">
        <f>'Dados BP'!B28</f>
        <v xml:space="preserve">   - Obrigações Fiscais</v>
      </c>
      <c r="C28" s="129">
        <f>'Dados BP'!C28*'Dados BP'!C$5</f>
        <v>132538</v>
      </c>
      <c r="D28" s="113">
        <f>IF(G28&gt;0,(C28-G28)/ABS(G28)*100+100,IF(G28&lt;0,(C28-G28)/ABS(G28)*100-100,IF(G28=0,((C28+1)/ABS(C28+1))*100,0)))</f>
        <v>89.547257261382754</v>
      </c>
      <c r="E28" s="129">
        <f>'Dados BP'!E28*'Dados BP'!E$5</f>
        <v>112976</v>
      </c>
      <c r="F28" s="113">
        <f t="shared" si="4"/>
        <v>76.330493415940921</v>
      </c>
      <c r="G28" s="133">
        <f>'Dados BP'!G28*'Dados BP'!G$5</f>
        <v>148009</v>
      </c>
      <c r="H28" s="113">
        <f>IF(G28&gt;=0,100,-100)</f>
        <v>100</v>
      </c>
    </row>
    <row r="29" spans="1:8" ht="15" x14ac:dyDescent="0.25">
      <c r="A29" s="59">
        <v>213</v>
      </c>
      <c r="B29" s="61" t="str">
        <f>'Dados BP'!B29</f>
        <v xml:space="preserve">   - Obrigações Trabalhistas</v>
      </c>
      <c r="C29" s="129">
        <f>'Dados BP'!C29*'Dados BP'!C$5</f>
        <v>515844</v>
      </c>
      <c r="D29" s="113">
        <f t="shared" ref="D29:D47" si="5">IF(G29&gt;0,(C29-G29)/ABS(G29)*100+100,IF(G29&lt;0,(C29-G29)/ABS(G29)*100-100,IF(G29=0,((C29+1)/ABS(C29+1))*100,0)))</f>
        <v>57.847100658602258</v>
      </c>
      <c r="E29" s="129">
        <f>'Dados BP'!E29*'Dados BP'!E$5</f>
        <v>406527</v>
      </c>
      <c r="F29" s="113">
        <f t="shared" si="4"/>
        <v>45.588217153712364</v>
      </c>
      <c r="G29" s="129">
        <f>'Dados BP'!G29*'Dados BP'!G$5</f>
        <v>891737</v>
      </c>
      <c r="H29" s="113">
        <f>IF(G29&gt;=0,100,-100)</f>
        <v>100</v>
      </c>
    </row>
    <row r="30" spans="1:8" ht="15" x14ac:dyDescent="0.25">
      <c r="A30" s="59">
        <v>214</v>
      </c>
      <c r="B30" s="61" t="str">
        <f>'Dados BP'!B30</f>
        <v xml:space="preserve">   - Contas a Pagar</v>
      </c>
      <c r="C30" s="129">
        <f>'Dados BP'!C30*'Dados BP'!C$5</f>
        <v>140694</v>
      </c>
      <c r="D30" s="113">
        <f t="shared" si="5"/>
        <v>86.049797251426583</v>
      </c>
      <c r="E30" s="129">
        <f>'Dados BP'!E30*'Dados BP'!E$5</f>
        <v>188194</v>
      </c>
      <c r="F30" s="113">
        <f t="shared" si="4"/>
        <v>115.10125196479575</v>
      </c>
      <c r="G30" s="129">
        <f>'Dados BP'!G30*'Dados BP'!G$5</f>
        <v>163503</v>
      </c>
      <c r="H30" s="113">
        <f>IF(G30&gt;=0,100,-100)</f>
        <v>100</v>
      </c>
    </row>
    <row r="31" spans="1:8" ht="15" x14ac:dyDescent="0.25">
      <c r="A31" s="59">
        <v>215</v>
      </c>
      <c r="B31" s="61" t="str">
        <f>'Dados BP'!B31</f>
        <v xml:space="preserve">   - Instituições Financeiras</v>
      </c>
      <c r="C31" s="129">
        <f>'Dados BP'!C31*'Dados BP'!C$5</f>
        <v>122273</v>
      </c>
      <c r="D31" s="113">
        <f t="shared" si="5"/>
        <v>9.70567760668483</v>
      </c>
      <c r="E31" s="129">
        <f>'Dados BP'!E31*'Dados BP'!E$5</f>
        <v>1032375</v>
      </c>
      <c r="F31" s="113">
        <f t="shared" si="4"/>
        <v>81.946945925930038</v>
      </c>
      <c r="G31" s="129">
        <f>'Dados BP'!G31*'Dados BP'!G$5</f>
        <v>1259809</v>
      </c>
      <c r="H31" s="113">
        <f t="shared" ref="H31:H39" si="6">IF(G31&gt;=0,100,-100)</f>
        <v>100</v>
      </c>
    </row>
    <row r="32" spans="1:8" ht="15" x14ac:dyDescent="0.25">
      <c r="A32" s="59">
        <v>216</v>
      </c>
      <c r="B32" s="61" t="str">
        <f>'Dados BP'!B32</f>
        <v xml:space="preserve">   - IRPJ/CSLL a Pagar</v>
      </c>
      <c r="C32" s="129">
        <f>'Dados BP'!C32*'Dados BP'!C$5</f>
        <v>16658</v>
      </c>
      <c r="D32" s="113">
        <f t="shared" si="5"/>
        <v>19.65847268607574</v>
      </c>
      <c r="E32" s="129">
        <f>'Dados BP'!E32*'Dados BP'!E$5</f>
        <v>23617</v>
      </c>
      <c r="F32" s="113">
        <f t="shared" si="4"/>
        <v>27.870941855387841</v>
      </c>
      <c r="G32" s="129">
        <f>'Dados BP'!G32*'Dados BP'!G$5</f>
        <v>84737</v>
      </c>
      <c r="H32" s="113">
        <f t="shared" si="6"/>
        <v>100</v>
      </c>
    </row>
    <row r="33" spans="1:8" ht="15" x14ac:dyDescent="0.25">
      <c r="A33" s="59">
        <v>217</v>
      </c>
      <c r="B33" s="61" t="str">
        <f>'Dados BP'!B33</f>
        <v xml:space="preserve">   - Dividendos e Juros s/CPróprio</v>
      </c>
      <c r="C33" s="129">
        <f>'Dados BP'!C33*'Dados BP'!C$5</f>
        <v>82331</v>
      </c>
      <c r="D33" s="113">
        <f t="shared" si="5"/>
        <v>4112.4375624375625</v>
      </c>
      <c r="E33" s="129">
        <f>'Dados BP'!E33*'Dados BP'!E$5</f>
        <v>208256</v>
      </c>
      <c r="F33" s="113">
        <f t="shared" si="4"/>
        <v>10402.397602397601</v>
      </c>
      <c r="G33" s="129">
        <f>'Dados BP'!G33*'Dados BP'!G$5</f>
        <v>2002</v>
      </c>
      <c r="H33" s="113">
        <f t="shared" si="6"/>
        <v>100</v>
      </c>
    </row>
    <row r="34" spans="1:8" ht="15" x14ac:dyDescent="0.25">
      <c r="A34" s="59">
        <v>218</v>
      </c>
      <c r="B34" s="61" t="str">
        <f>'Dados BP'!B34</f>
        <v xml:space="preserve">   - Adiantamento de Clientes</v>
      </c>
      <c r="C34" s="129">
        <f>'Dados BP'!C34*'Dados BP'!C$5</f>
        <v>1298699</v>
      </c>
      <c r="D34" s="113">
        <f>IF(G34&gt;0,(C34-G34)/ABS(G34)*100+100,IF(G34&lt;0,(C34-G34)/ABS(G34)*100-100,IF(G34=0,((C34+1)/ABS(C34+1))*100,0)))</f>
        <v>48.260097114833997</v>
      </c>
      <c r="E34" s="129">
        <f>'Dados BP'!E34*'Dados BP'!E$5</f>
        <v>1328138</v>
      </c>
      <c r="F34" s="113">
        <f>IF(G34&gt;0,(E34-G34)/ABS(G34)*100+100,IF(G34&lt;0,(E34-G34)/ABS(G34)*100-100,IF(G34=0,((E34+1)/ABS(E34+1))*100,0)))</f>
        <v>49.354060380350951</v>
      </c>
      <c r="G34" s="129">
        <f>'Dados BP'!G34*'Dados BP'!G$5</f>
        <v>2691041</v>
      </c>
      <c r="H34" s="113">
        <f t="shared" si="6"/>
        <v>100</v>
      </c>
    </row>
    <row r="35" spans="1:8" ht="15" x14ac:dyDescent="0.25">
      <c r="A35" s="59">
        <v>219</v>
      </c>
      <c r="B35" s="61" t="str">
        <f>'Dados BP'!B35</f>
        <v xml:space="preserve">   - Outras Obrigações</v>
      </c>
      <c r="C35" s="129">
        <f>'Dados BP'!C35*'Dados BP'!C$5</f>
        <v>421216</v>
      </c>
      <c r="D35" s="86">
        <f t="shared" si="5"/>
        <v>68.605082967952939</v>
      </c>
      <c r="E35" s="129">
        <f>'Dados BP'!E35*'Dados BP'!E$5</f>
        <v>450770</v>
      </c>
      <c r="F35" s="86">
        <f t="shared" si="4"/>
        <v>73.418657528356334</v>
      </c>
      <c r="G35" s="129">
        <f>'Dados BP'!G35*'Dados BP'!G$5</f>
        <v>613972</v>
      </c>
      <c r="H35" s="113">
        <f t="shared" si="6"/>
        <v>100</v>
      </c>
    </row>
    <row r="36" spans="1:8" ht="14.25" x14ac:dyDescent="0.2">
      <c r="A36" s="94">
        <v>22</v>
      </c>
      <c r="B36" s="68" t="str">
        <f>'Dados BP'!B36</f>
        <v xml:space="preserve">   NÃO CIRCULANTE</v>
      </c>
      <c r="C36" s="91">
        <f>C37</f>
        <v>4782975</v>
      </c>
      <c r="D36" s="112">
        <f>IF(G36&gt;0,(C36-G36)/ABS(G36)*100+100,IF(G36&lt;0,(C36-G36)/ABS(G36)*100-100,IF(G36=0,((C36+1)/ABS(C36+1))*100,0)))</f>
        <v>68.424722469277029</v>
      </c>
      <c r="E36" s="91">
        <f>E37</f>
        <v>5669463</v>
      </c>
      <c r="F36" s="117">
        <f>IF(G36&gt;0,(E36-G36)/ABS(G36)*100+100,IF(G36&lt;0,(E36-G36)/ABS(G36)*100-100,IF(G36=0,((E36+1)/ABS(E36+1))*100,0)))</f>
        <v>81.106723812028022</v>
      </c>
      <c r="G36" s="91">
        <f>G37</f>
        <v>6990127</v>
      </c>
      <c r="H36" s="112">
        <f>IF(G36&gt;=0,100,-100)</f>
        <v>100</v>
      </c>
    </row>
    <row r="37" spans="1:8" ht="14.25" x14ac:dyDescent="0.2">
      <c r="A37" s="94">
        <v>221</v>
      </c>
      <c r="B37" s="68" t="str">
        <f>'Dados BP'!B37</f>
        <v xml:space="preserve">   - Exigível a Longo Prazo</v>
      </c>
      <c r="C37" s="91">
        <f>SUM(C38:C39)</f>
        <v>4782975</v>
      </c>
      <c r="D37" s="112">
        <f>IF(G37&gt;0,(C37-G37)/ABS(G37)*100+100,IF(G37&lt;0,(C37-G37)/ABS(G37)*100-100,IF(G37=0,((C37+1)/ABS(C37+1))*100,0)))</f>
        <v>68.424722469277029</v>
      </c>
      <c r="E37" s="91">
        <f>SUM(E38:E39)</f>
        <v>5669463</v>
      </c>
      <c r="F37" s="117">
        <f t="shared" si="4"/>
        <v>81.106723812028022</v>
      </c>
      <c r="G37" s="91">
        <f>SUM(G38:G39)</f>
        <v>6990127</v>
      </c>
      <c r="H37" s="112">
        <f>IF(G37&gt;=0,100,-100)</f>
        <v>100</v>
      </c>
    </row>
    <row r="38" spans="1:8" ht="15" x14ac:dyDescent="0.25">
      <c r="A38" s="59">
        <v>2211</v>
      </c>
      <c r="B38" s="71" t="str">
        <f>'Dados BP'!B38</f>
        <v xml:space="preserve">     . Instituições Financeiras</v>
      </c>
      <c r="C38" s="129">
        <f>'Dados BP'!C38*'Dados BP'!C$5</f>
        <v>2637860</v>
      </c>
      <c r="D38" s="113">
        <f t="shared" si="5"/>
        <v>86.775421317358962</v>
      </c>
      <c r="E38" s="129">
        <f>'Dados BP'!E38*'Dados BP'!E$5</f>
        <v>3007358</v>
      </c>
      <c r="F38" s="113">
        <f t="shared" si="4"/>
        <v>98.930480579761635</v>
      </c>
      <c r="G38" s="129">
        <f>'Dados BP'!G38*'Dados BP'!G$5</f>
        <v>3039870</v>
      </c>
      <c r="H38" s="113">
        <f t="shared" si="6"/>
        <v>100</v>
      </c>
    </row>
    <row r="39" spans="1:8" ht="15" x14ac:dyDescent="0.25">
      <c r="A39" s="59">
        <v>2212</v>
      </c>
      <c r="B39" s="71" t="str">
        <f>'Dados BP'!B39</f>
        <v xml:space="preserve">     . Outras Obrigações</v>
      </c>
      <c r="C39" s="129">
        <f>'Dados BP'!C39*'Dados BP'!C$5</f>
        <v>2145115</v>
      </c>
      <c r="D39" s="86">
        <f t="shared" si="5"/>
        <v>54.303175717428005</v>
      </c>
      <c r="E39" s="129">
        <f>'Dados BP'!E39*'Dados BP'!E$5</f>
        <v>2662105</v>
      </c>
      <c r="F39" s="86">
        <f t="shared" si="4"/>
        <v>67.390678631795339</v>
      </c>
      <c r="G39" s="129">
        <f>'Dados BP'!G39*'Dados BP'!G$5</f>
        <v>3950257</v>
      </c>
      <c r="H39" s="113">
        <f t="shared" si="6"/>
        <v>100</v>
      </c>
    </row>
    <row r="40" spans="1:8" ht="14.25" x14ac:dyDescent="0.2">
      <c r="A40" s="94">
        <v>23</v>
      </c>
      <c r="B40" s="68" t="str">
        <f>'Dados BP'!B40</f>
        <v xml:space="preserve">   PATRIMÔNIO LÍQUIDO</v>
      </c>
      <c r="C40" s="91">
        <f>SUM(C41:C47)</f>
        <v>5217757</v>
      </c>
      <c r="D40" s="112">
        <f>IF(G40&gt;0,(C40-G40)/ABS(G40)*100+100,IF(G40&lt;0,(C40-G40)/ABS(G40)*100-100,IF(G40=0,((C40+1)/ABS(C40+1))*100,0)))</f>
        <v>85.062532350292017</v>
      </c>
      <c r="E40" s="91">
        <f>SUM(E41:E47)</f>
        <v>5019812</v>
      </c>
      <c r="F40" s="117">
        <f t="shared" si="4"/>
        <v>81.835532134283767</v>
      </c>
      <c r="G40" s="91">
        <f>SUM(G41:G47)</f>
        <v>6134025</v>
      </c>
      <c r="H40" s="112">
        <f t="shared" ref="H40:H48" si="7">IF(G40&gt;=0,100,-100)</f>
        <v>100</v>
      </c>
    </row>
    <row r="41" spans="1:8" ht="15" x14ac:dyDescent="0.25">
      <c r="A41" s="59">
        <v>231</v>
      </c>
      <c r="B41" s="61" t="str">
        <f>'Dados BP'!B41</f>
        <v xml:space="preserve">   - Capital Social</v>
      </c>
      <c r="C41" s="129">
        <f>'Dados BP'!C41*'Dados BP'!C$5</f>
        <v>4789617</v>
      </c>
      <c r="D41" s="113">
        <f t="shared" si="5"/>
        <v>100</v>
      </c>
      <c r="E41" s="129">
        <f>'Dados BP'!E41*'Dados BP'!E$5</f>
        <v>4789617</v>
      </c>
      <c r="F41" s="113">
        <f t="shared" si="4"/>
        <v>100</v>
      </c>
      <c r="G41" s="129">
        <f>'Dados BP'!G41*'Dados BP'!G$5</f>
        <v>4789617</v>
      </c>
      <c r="H41" s="113">
        <f t="shared" si="7"/>
        <v>100</v>
      </c>
    </row>
    <row r="42" spans="1:8" ht="15" x14ac:dyDescent="0.25">
      <c r="A42" s="59">
        <v>232</v>
      </c>
      <c r="B42" s="61" t="str">
        <f>'Dados BP'!B42</f>
        <v xml:space="preserve">   - Reservas de Capital</v>
      </c>
      <c r="C42" s="129">
        <f>'Dados BP'!C42*'Dados BP'!C$5</f>
        <v>5809</v>
      </c>
      <c r="D42" s="113">
        <f t="shared" si="5"/>
        <v>100</v>
      </c>
      <c r="E42" s="129">
        <f>'Dados BP'!E42*'Dados BP'!E$5</f>
        <v>0</v>
      </c>
      <c r="F42" s="113">
        <f t="shared" si="4"/>
        <v>100</v>
      </c>
      <c r="G42" s="129">
        <f>'Dados BP'!G42*'Dados BP'!G$5</f>
        <v>0</v>
      </c>
      <c r="H42" s="113">
        <f t="shared" si="7"/>
        <v>100</v>
      </c>
    </row>
    <row r="43" spans="1:8" ht="15" x14ac:dyDescent="0.25">
      <c r="A43" s="59">
        <v>233</v>
      </c>
      <c r="B43" s="61" t="str">
        <f>'Dados BP'!B43</f>
        <v xml:space="preserve">   - Ajustes Aval. Patrimonial</v>
      </c>
      <c r="C43" s="129">
        <f>'Dados BP'!C43*'Dados BP'!C$5</f>
        <v>-1801329</v>
      </c>
      <c r="D43" s="113">
        <f t="shared" si="5"/>
        <v>-13356.039148809963</v>
      </c>
      <c r="E43" s="129">
        <f>'Dados BP'!E43*'Dados BP'!E$5</f>
        <v>-1561265</v>
      </c>
      <c r="F43" s="113">
        <f t="shared" si="4"/>
        <v>-11576.073255727737</v>
      </c>
      <c r="G43" s="129">
        <f>'Dados BP'!G43*'Dados BP'!G$5</f>
        <v>13487</v>
      </c>
      <c r="H43" s="113">
        <f t="shared" si="7"/>
        <v>100</v>
      </c>
    </row>
    <row r="44" spans="1:8" ht="15" x14ac:dyDescent="0.25">
      <c r="A44" s="59">
        <v>234</v>
      </c>
      <c r="B44" s="61" t="str">
        <f>'Dados BP'!B44</f>
        <v xml:space="preserve">   - Reservas de Lucros</v>
      </c>
      <c r="C44" s="129">
        <f>'Dados BP'!C44*'Dados BP'!C$5</f>
        <v>2372289</v>
      </c>
      <c r="D44" s="113">
        <f t="shared" si="5"/>
        <v>159.46263873139128</v>
      </c>
      <c r="E44" s="129">
        <f>'Dados BP'!E44*'Dados BP'!E$5</f>
        <v>2239478</v>
      </c>
      <c r="F44" s="113">
        <f t="shared" si="4"/>
        <v>150.53523042972364</v>
      </c>
      <c r="G44" s="129">
        <f>'Dados BP'!G44*'Dados BP'!G$5</f>
        <v>1487677</v>
      </c>
      <c r="H44" s="113">
        <f t="shared" si="7"/>
        <v>100</v>
      </c>
    </row>
    <row r="45" spans="1:8" ht="15" x14ac:dyDescent="0.25">
      <c r="A45" s="59">
        <v>235</v>
      </c>
      <c r="B45" s="61" t="str">
        <f>'Dados BP'!B45</f>
        <v xml:space="preserve">   - Resultados Acumulados</v>
      </c>
      <c r="C45" s="129">
        <f>'Dados BP'!C45*'Dados BP'!C$5</f>
        <v>0</v>
      </c>
      <c r="D45" s="113">
        <f t="shared" si="5"/>
        <v>100</v>
      </c>
      <c r="E45" s="129">
        <f>'Dados BP'!E45*'Dados BP'!E$5</f>
        <v>-285053</v>
      </c>
      <c r="F45" s="113">
        <f t="shared" si="4"/>
        <v>-100</v>
      </c>
      <c r="G45" s="129">
        <f>'Dados BP'!G45*'Dados BP'!G$5</f>
        <v>0</v>
      </c>
      <c r="H45" s="113">
        <f t="shared" si="7"/>
        <v>100</v>
      </c>
    </row>
    <row r="46" spans="1:8" ht="15" x14ac:dyDescent="0.25">
      <c r="A46" s="59">
        <v>236</v>
      </c>
      <c r="B46" s="61" t="str">
        <f>'Dados BP'!B46</f>
        <v xml:space="preserve">   - (-) Ações em Tesouraria</v>
      </c>
      <c r="C46" s="129">
        <f>'Dados BP'!C46*'Dados BP'!C$5</f>
        <v>-320250</v>
      </c>
      <c r="D46" s="113">
        <f>IF(G46&gt;0,(C46-G46)/ABS(G46)*100+100,IF(G46&lt;0,(C46-G46)/ABS(G46)*100-100,IF(G46=0,((C46+1)/ABS(C46+1))*100,0)))</f>
        <v>-100</v>
      </c>
      <c r="E46" s="129">
        <f>'Dados BP'!E46*'Dados BP'!E$5</f>
        <v>-320250</v>
      </c>
      <c r="F46" s="113">
        <f t="shared" si="4"/>
        <v>-100</v>
      </c>
      <c r="G46" s="129">
        <f>'Dados BP'!G46*'Dados BP'!G$5</f>
        <v>-320250</v>
      </c>
      <c r="H46" s="113">
        <f t="shared" si="7"/>
        <v>-100</v>
      </c>
    </row>
    <row r="47" spans="1:8" ht="15" x14ac:dyDescent="0.25">
      <c r="A47" s="53">
        <v>237</v>
      </c>
      <c r="B47" s="61" t="str">
        <f>'Dados BP'!B47</f>
        <v xml:space="preserve">   - Participação Minoritária</v>
      </c>
      <c r="C47" s="129">
        <f>'Dados BP'!C47*'Dados BP'!C$5</f>
        <v>171621</v>
      </c>
      <c r="D47" s="86">
        <f t="shared" si="5"/>
        <v>104.97082461741715</v>
      </c>
      <c r="E47" s="129">
        <f>'Dados BP'!E47*'Dados BP'!E$5</f>
        <v>157285</v>
      </c>
      <c r="F47" s="86">
        <f t="shared" si="4"/>
        <v>96.202307118304034</v>
      </c>
      <c r="G47" s="129">
        <f>'Dados BP'!G47*'Dados BP'!G$5</f>
        <v>163494</v>
      </c>
      <c r="H47" s="113">
        <f t="shared" si="7"/>
        <v>100</v>
      </c>
    </row>
    <row r="48" spans="1:8" ht="14.25" x14ac:dyDescent="0.2">
      <c r="A48" s="94">
        <v>2</v>
      </c>
      <c r="B48" s="68" t="str">
        <f>'Dados BP'!B48</f>
        <v>TOTAL DO PASSIVO</v>
      </c>
      <c r="C48" s="91">
        <f>C40+C37+C26</f>
        <v>13981014</v>
      </c>
      <c r="D48" s="112">
        <f>IF(G48&gt;0,(C48-G48)/ABS(G48)*100+100,IF(G48&lt;0,(C48-G48)/ABS(G48)*100-100,IF(G48=0,((C48+1)/ABS(C48+1))*100,0)))</f>
        <v>65.030482572117904</v>
      </c>
      <c r="E48" s="91">
        <f>E40+E37+E26</f>
        <v>15478473</v>
      </c>
      <c r="F48" s="117">
        <f t="shared" si="4"/>
        <v>71.995677042416048</v>
      </c>
      <c r="G48" s="91">
        <f>G40+G37+G26</f>
        <v>21499170</v>
      </c>
      <c r="H48" s="112">
        <f t="shared" si="7"/>
        <v>100</v>
      </c>
    </row>
  </sheetData>
  <sheetProtection password="BC0E" sheet="1" objects="1" scenarios="1"/>
  <phoneticPr fontId="0" type="noConversion"/>
  <pageMargins left="0.98425196850393704" right="0.39370078740157483" top="0.78740157480314965" bottom="0.39370078740157483" header="0.51181102362204722" footer="0.51181102362204722"/>
  <pageSetup paperSize="9" scale="77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H46"/>
  <sheetViews>
    <sheetView topLeftCell="A10" workbookViewId="0">
      <selection activeCell="C16" sqref="C16"/>
    </sheetView>
  </sheetViews>
  <sheetFormatPr defaultColWidth="12" defaultRowHeight="12.75" x14ac:dyDescent="0.2"/>
  <cols>
    <col min="1" max="1" width="7" customWidth="1"/>
    <col min="2" max="2" width="30.83203125" customWidth="1"/>
    <col min="3" max="3" width="17.83203125" customWidth="1"/>
    <col min="4" max="4" width="8.83203125" customWidth="1"/>
    <col min="5" max="5" width="17.83203125" customWidth="1"/>
    <col min="6" max="6" width="8.83203125" customWidth="1"/>
    <col min="7" max="7" width="17.83203125" customWidth="1"/>
    <col min="8" max="8" width="8.83203125" customWidth="1"/>
  </cols>
  <sheetData>
    <row r="3" spans="1:8" ht="15.75" x14ac:dyDescent="0.25">
      <c r="A3" s="15" t="str">
        <f>BP_AV!A2</f>
        <v>EMPRESA : EMBRAER S.A.</v>
      </c>
      <c r="B3" s="13"/>
      <c r="C3" s="30"/>
      <c r="D3" s="13"/>
      <c r="E3" s="30"/>
      <c r="F3" s="13"/>
      <c r="G3" s="30"/>
      <c r="H3" s="13"/>
    </row>
    <row r="4" spans="1:8" ht="16.5" customHeight="1" x14ac:dyDescent="0.25">
      <c r="A4" s="31"/>
      <c r="C4" s="32"/>
      <c r="E4" s="32"/>
      <c r="G4" s="32"/>
    </row>
    <row r="5" spans="1:8" ht="22.5" x14ac:dyDescent="0.3">
      <c r="A5" s="224" t="s">
        <v>51</v>
      </c>
      <c r="B5" s="224"/>
      <c r="C5" s="225"/>
      <c r="D5" s="224"/>
      <c r="E5" s="225"/>
      <c r="F5" s="224"/>
      <c r="G5" s="225"/>
      <c r="H5" s="224"/>
    </row>
    <row r="6" spans="1:8" ht="22.5" x14ac:dyDescent="0.3">
      <c r="A6" s="224"/>
      <c r="B6" s="224"/>
      <c r="C6" s="225"/>
      <c r="D6" s="224"/>
      <c r="E6" s="225"/>
      <c r="F6" s="224"/>
      <c r="G6" s="225"/>
      <c r="H6" s="224"/>
    </row>
    <row r="7" spans="1:8" ht="15" customHeight="1" x14ac:dyDescent="0.25">
      <c r="A7" s="15"/>
      <c r="B7" s="15"/>
      <c r="C7" s="33"/>
      <c r="D7" s="15"/>
      <c r="E7" s="33"/>
      <c r="F7" s="17" t="s">
        <v>1</v>
      </c>
      <c r="G7" s="33"/>
      <c r="H7" s="15"/>
    </row>
    <row r="8" spans="1:8" ht="14.25" x14ac:dyDescent="0.2">
      <c r="A8" s="48"/>
      <c r="B8" s="49" t="s">
        <v>2</v>
      </c>
      <c r="C8" s="50">
        <f>BP_AV!C6</f>
        <v>2010</v>
      </c>
      <c r="D8" s="51" t="s">
        <v>3</v>
      </c>
      <c r="E8" s="50">
        <f>BP_AV!E6</f>
        <v>2009</v>
      </c>
      <c r="F8" s="51" t="s">
        <v>3</v>
      </c>
      <c r="G8" s="50">
        <f>BP_AV!G6</f>
        <v>2008</v>
      </c>
      <c r="H8" s="52" t="s">
        <v>3</v>
      </c>
    </row>
    <row r="9" spans="1:8" ht="15" x14ac:dyDescent="0.25">
      <c r="A9" s="53"/>
      <c r="B9" s="54" t="s">
        <v>4</v>
      </c>
      <c r="C9" s="55" t="s">
        <v>5</v>
      </c>
      <c r="D9" s="56" t="s">
        <v>6</v>
      </c>
      <c r="E9" s="55" t="s">
        <v>5</v>
      </c>
      <c r="F9" s="56" t="s">
        <v>6</v>
      </c>
      <c r="G9" s="57" t="s">
        <v>5</v>
      </c>
      <c r="H9" s="58" t="s">
        <v>6</v>
      </c>
    </row>
    <row r="10" spans="1:8" ht="14.25" x14ac:dyDescent="0.2">
      <c r="A10" s="94">
        <v>41</v>
      </c>
      <c r="B10" s="95" t="s">
        <v>52</v>
      </c>
      <c r="C10" s="91">
        <f>'Dados DRE'!C11*'Dados BP'!C$5</f>
        <v>9488512</v>
      </c>
      <c r="D10" s="93">
        <f>IF(C10=0,0,C10/C$14*100)</f>
        <v>101.15010460390432</v>
      </c>
      <c r="E10" s="91">
        <f>'Dados DRE'!E11*'Dados BP'!E$5</f>
        <v>10997789</v>
      </c>
      <c r="F10" s="93">
        <f>IF(E10=0,0,E10/E$14*100)</f>
        <v>101.16374574279465</v>
      </c>
      <c r="G10" s="91">
        <f>'Dados DRE'!G11*'Dados BP'!G$5</f>
        <v>11881608</v>
      </c>
      <c r="H10" s="112">
        <f t="shared" ref="H10:H17" si="0">IF(G10=0,0,G10/G$14*100)</f>
        <v>101.1479160432681</v>
      </c>
    </row>
    <row r="11" spans="1:8" ht="14.25" x14ac:dyDescent="0.2">
      <c r="A11" s="94">
        <v>411</v>
      </c>
      <c r="B11" s="204" t="s">
        <v>53</v>
      </c>
      <c r="C11" s="91">
        <f>C12+C13</f>
        <v>-107887</v>
      </c>
      <c r="D11" s="93">
        <f>IF(C11=0,0,C11/C$14*100)</f>
        <v>-1.1501046039043239</v>
      </c>
      <c r="E11" s="91">
        <f>E12+E13</f>
        <v>-126514</v>
      </c>
      <c r="F11" s="93">
        <f>IF(E11=0,0,E11/E$14*100)</f>
        <v>-1.1637457427946585</v>
      </c>
      <c r="G11" s="91">
        <f>G12+G13</f>
        <v>-134843</v>
      </c>
      <c r="H11" s="112">
        <f>IF(G11=0,0,G11/G$14*100)</f>
        <v>-1.1479160432680828</v>
      </c>
    </row>
    <row r="12" spans="1:8" ht="15" x14ac:dyDescent="0.25">
      <c r="A12" s="59">
        <v>4111</v>
      </c>
      <c r="B12" s="61" t="s">
        <v>291</v>
      </c>
      <c r="C12" s="84">
        <f>'Dados DRE'!C13*'Dados BP'!C$5</f>
        <v>0</v>
      </c>
      <c r="D12" s="83">
        <f t="shared" ref="D12:F31" si="1">IF(C12=0,0,C12/C$14*100)</f>
        <v>0</v>
      </c>
      <c r="E12" s="84">
        <f>'Dados DRE'!E13*'Dados BP'!E$5</f>
        <v>0</v>
      </c>
      <c r="F12" s="83">
        <f t="shared" si="1"/>
        <v>0</v>
      </c>
      <c r="G12" s="84">
        <f>'Dados DRE'!G13*'Dados BP'!G$5</f>
        <v>0</v>
      </c>
      <c r="H12" s="113">
        <f>IF(G12=0,0,G12/G$14*100)</f>
        <v>0</v>
      </c>
    </row>
    <row r="13" spans="1:8" ht="15" x14ac:dyDescent="0.25">
      <c r="A13" s="59">
        <v>4112</v>
      </c>
      <c r="B13" s="61" t="s">
        <v>277</v>
      </c>
      <c r="C13" s="84">
        <f>'Dados DRE'!C14*'Dados BP'!C$5</f>
        <v>-107887</v>
      </c>
      <c r="D13" s="86">
        <f t="shared" si="1"/>
        <v>-1.1501046039043239</v>
      </c>
      <c r="E13" s="84">
        <f>'Dados DRE'!E14*'Dados BP'!E$5</f>
        <v>-126514</v>
      </c>
      <c r="F13" s="86">
        <f t="shared" si="1"/>
        <v>-1.1637457427946585</v>
      </c>
      <c r="G13" s="84">
        <f>'Dados DRE'!G14*'Dados BP'!G$5</f>
        <v>-134843</v>
      </c>
      <c r="H13" s="86">
        <f t="shared" si="0"/>
        <v>-1.1479160432680828</v>
      </c>
    </row>
    <row r="14" spans="1:8" ht="14.25" x14ac:dyDescent="0.2">
      <c r="A14" s="94">
        <v>42</v>
      </c>
      <c r="B14" s="68" t="s">
        <v>54</v>
      </c>
      <c r="C14" s="91">
        <f>+C10+C11</f>
        <v>9380625</v>
      </c>
      <c r="D14" s="112">
        <f t="shared" si="1"/>
        <v>100</v>
      </c>
      <c r="E14" s="91">
        <f>+E10+E11</f>
        <v>10871275</v>
      </c>
      <c r="F14" s="112">
        <f t="shared" si="1"/>
        <v>100</v>
      </c>
      <c r="G14" s="91">
        <f>+G10+G11</f>
        <v>11746765</v>
      </c>
      <c r="H14" s="112">
        <f t="shared" si="0"/>
        <v>100</v>
      </c>
    </row>
    <row r="15" spans="1:8" ht="15" x14ac:dyDescent="0.25">
      <c r="A15" s="59">
        <v>421</v>
      </c>
      <c r="B15" s="61" t="s">
        <v>163</v>
      </c>
      <c r="C15" s="84">
        <f>'Dados DRE'!C16*'Dados BP'!C$5</f>
        <v>-7582662</v>
      </c>
      <c r="D15" s="86">
        <f t="shared" si="1"/>
        <v>-80.833228063162096</v>
      </c>
      <c r="E15" s="84">
        <f>'Dados DRE'!E16*'Dados BP'!E$5</f>
        <v>-8759483</v>
      </c>
      <c r="F15" s="86">
        <f t="shared" si="1"/>
        <v>-80.574569220261651</v>
      </c>
      <c r="G15" s="84">
        <f>'Dados DRE'!G16*'Dados BP'!G$5</f>
        <v>-9339709</v>
      </c>
      <c r="H15" s="86">
        <f t="shared" si="0"/>
        <v>-79.50877539475762</v>
      </c>
    </row>
    <row r="16" spans="1:8" ht="14.25" x14ac:dyDescent="0.2">
      <c r="A16" s="94">
        <v>43</v>
      </c>
      <c r="B16" s="68" t="s">
        <v>279</v>
      </c>
      <c r="C16" s="91">
        <f>SUM(C14:C15)</f>
        <v>1797963</v>
      </c>
      <c r="D16" s="112">
        <f t="shared" si="1"/>
        <v>19.166771936837897</v>
      </c>
      <c r="E16" s="91">
        <f>SUM(E14:E15)</f>
        <v>2111792</v>
      </c>
      <c r="F16" s="112">
        <f t="shared" si="1"/>
        <v>19.425430779738349</v>
      </c>
      <c r="G16" s="91">
        <f>SUM(G14:G15)</f>
        <v>2407056</v>
      </c>
      <c r="H16" s="112">
        <f t="shared" si="0"/>
        <v>20.49122460524238</v>
      </c>
    </row>
    <row r="17" spans="1:8" ht="15" x14ac:dyDescent="0.25">
      <c r="A17" s="59">
        <v>431</v>
      </c>
      <c r="B17" s="61" t="s">
        <v>55</v>
      </c>
      <c r="C17" s="84">
        <f>SUM(C18:C20)</f>
        <v>-1112443</v>
      </c>
      <c r="D17" s="83">
        <f t="shared" si="1"/>
        <v>-11.858943300686255</v>
      </c>
      <c r="E17" s="84">
        <f>SUM(E18:E20)</f>
        <v>-1345052</v>
      </c>
      <c r="F17" s="83">
        <f t="shared" si="1"/>
        <v>-12.372532200684832</v>
      </c>
      <c r="G17" s="84">
        <f>SUM(G18:G20)</f>
        <v>-1294560</v>
      </c>
      <c r="H17" s="113">
        <f t="shared" si="0"/>
        <v>-11.020566087769696</v>
      </c>
    </row>
    <row r="18" spans="1:8" ht="15" x14ac:dyDescent="0.25">
      <c r="A18" s="59">
        <v>4311</v>
      </c>
      <c r="B18" s="61" t="s">
        <v>56</v>
      </c>
      <c r="C18" s="84">
        <f>'Dados DRE'!C19*'Dados BP'!C$5</f>
        <v>-657010</v>
      </c>
      <c r="D18" s="83">
        <f t="shared" si="1"/>
        <v>-7.0039043240722227</v>
      </c>
      <c r="E18" s="84">
        <f>'Dados DRE'!E19*'Dados BP'!E$5</f>
        <v>-601119</v>
      </c>
      <c r="F18" s="83">
        <f t="shared" si="1"/>
        <v>-5.5294250214441263</v>
      </c>
      <c r="G18" s="84">
        <f>'Dados DRE'!G19*'Dados BP'!G$5</f>
        <v>-731155</v>
      </c>
      <c r="H18" s="113">
        <f t="shared" ref="H18:H31" si="2">IF(G18=0,0,G18/G$14*100)</f>
        <v>-6.2243094162520487</v>
      </c>
    </row>
    <row r="19" spans="1:8" ht="15" x14ac:dyDescent="0.25">
      <c r="A19" s="59">
        <v>4312</v>
      </c>
      <c r="B19" s="61" t="s">
        <v>57</v>
      </c>
      <c r="C19" s="84">
        <f>'Dados DRE'!C20*'Dados BP'!C$5</f>
        <v>-346061</v>
      </c>
      <c r="D19" s="83">
        <f t="shared" si="1"/>
        <v>-3.6891038710107265</v>
      </c>
      <c r="E19" s="84">
        <f>'Dados DRE'!E20*'Dados BP'!E$5</f>
        <v>-376199</v>
      </c>
      <c r="F19" s="83">
        <f t="shared" si="1"/>
        <v>-3.4604864654789806</v>
      </c>
      <c r="G19" s="84">
        <f>'Dados DRE'!G20*'Dados BP'!G$5</f>
        <v>-425296</v>
      </c>
      <c r="H19" s="113">
        <f t="shared" si="2"/>
        <v>-3.6205372287604289</v>
      </c>
    </row>
    <row r="20" spans="1:8" ht="15" x14ac:dyDescent="0.25">
      <c r="A20" s="59">
        <v>4313</v>
      </c>
      <c r="B20" s="61" t="s">
        <v>58</v>
      </c>
      <c r="C20" s="84">
        <f>'Dados DRE'!C21*'Dados BP'!C$5</f>
        <v>-109372</v>
      </c>
      <c r="D20" s="86">
        <f t="shared" si="1"/>
        <v>-1.1659351056033047</v>
      </c>
      <c r="E20" s="84">
        <f>'Dados DRE'!E21*'Dados BP'!E$5</f>
        <v>-367734</v>
      </c>
      <c r="F20" s="86">
        <f t="shared" si="1"/>
        <v>-3.3826207137617255</v>
      </c>
      <c r="G20" s="84">
        <f>'Dados DRE'!G21*'Dados BP'!G$5</f>
        <v>-138109</v>
      </c>
      <c r="H20" s="86">
        <f t="shared" si="2"/>
        <v>-1.1757194427572186</v>
      </c>
    </row>
    <row r="21" spans="1:8" ht="14.25" x14ac:dyDescent="0.2">
      <c r="A21" s="94">
        <v>44</v>
      </c>
      <c r="B21" s="68" t="s">
        <v>169</v>
      </c>
      <c r="C21" s="91">
        <f>C16+C17</f>
        <v>685520</v>
      </c>
      <c r="D21" s="112">
        <f t="shared" si="1"/>
        <v>7.3078286361516422</v>
      </c>
      <c r="E21" s="91">
        <f>E16+E17</f>
        <v>766740</v>
      </c>
      <c r="F21" s="112">
        <f t="shared" si="1"/>
        <v>7.0528985790535152</v>
      </c>
      <c r="G21" s="91">
        <f>G16+G17</f>
        <v>1112496</v>
      </c>
      <c r="H21" s="112">
        <f t="shared" si="2"/>
        <v>9.4706585174726818</v>
      </c>
    </row>
    <row r="22" spans="1:8" ht="15" x14ac:dyDescent="0.25">
      <c r="A22" s="59">
        <v>441</v>
      </c>
      <c r="B22" s="61" t="s">
        <v>60</v>
      </c>
      <c r="C22" s="84">
        <f>+C23+C24</f>
        <v>30885</v>
      </c>
      <c r="D22" s="111">
        <f t="shared" si="1"/>
        <v>0.32924245452728362</v>
      </c>
      <c r="E22" s="84">
        <f>+E23+E24</f>
        <v>16301</v>
      </c>
      <c r="F22" s="111">
        <f t="shared" si="1"/>
        <v>0.14994561355498781</v>
      </c>
      <c r="G22" s="84">
        <f>+G23+G24</f>
        <v>-40487</v>
      </c>
      <c r="H22" s="111">
        <f t="shared" si="2"/>
        <v>-0.34466510566951841</v>
      </c>
    </row>
    <row r="23" spans="1:8" ht="15" x14ac:dyDescent="0.25">
      <c r="A23" s="59">
        <v>4411</v>
      </c>
      <c r="B23" s="61" t="s">
        <v>61</v>
      </c>
      <c r="C23" s="84">
        <f>'Dados DRE'!C24*'Dados BP'!C$5</f>
        <v>30885</v>
      </c>
      <c r="D23" s="113">
        <f t="shared" si="1"/>
        <v>0.32924245452728362</v>
      </c>
      <c r="E23" s="84">
        <f>'Dados DRE'!E24*'Dados BP'!E$5</f>
        <v>16301</v>
      </c>
      <c r="F23" s="113">
        <f t="shared" si="1"/>
        <v>0.14994561355498781</v>
      </c>
      <c r="G23" s="84">
        <f>'Dados DRE'!G24*'Dados BP'!G$5</f>
        <v>189033</v>
      </c>
      <c r="H23" s="113">
        <f t="shared" si="2"/>
        <v>1.609234542446367</v>
      </c>
    </row>
    <row r="24" spans="1:8" ht="15" x14ac:dyDescent="0.25">
      <c r="A24" s="59">
        <v>4412</v>
      </c>
      <c r="B24" s="61" t="s">
        <v>62</v>
      </c>
      <c r="C24" s="84">
        <f>'Dados DRE'!C25*'Dados BP'!C$5</f>
        <v>0</v>
      </c>
      <c r="D24" s="113">
        <f t="shared" si="1"/>
        <v>0</v>
      </c>
      <c r="E24" s="84">
        <f>'Dados DRE'!E25*'Dados BP'!E$5</f>
        <v>0</v>
      </c>
      <c r="F24" s="113">
        <f t="shared" si="1"/>
        <v>0</v>
      </c>
      <c r="G24" s="84">
        <f>'Dados DRE'!G25*'Dados BP'!G$5</f>
        <v>-229520</v>
      </c>
      <c r="H24" s="113">
        <f t="shared" si="2"/>
        <v>-1.9538996481158855</v>
      </c>
    </row>
    <row r="25" spans="1:8" ht="15" x14ac:dyDescent="0.25">
      <c r="A25" s="59">
        <v>442</v>
      </c>
      <c r="B25" s="71" t="s">
        <v>170</v>
      </c>
      <c r="C25" s="84">
        <f>'Dados DRE'!C26*'Dados BP'!C$5</f>
        <v>0</v>
      </c>
      <c r="D25" s="113">
        <f t="shared" si="1"/>
        <v>0</v>
      </c>
      <c r="E25" s="84">
        <f>'Dados DRE'!E26*'Dados BP'!E$5</f>
        <v>0</v>
      </c>
      <c r="F25" s="113">
        <f t="shared" si="1"/>
        <v>0</v>
      </c>
      <c r="G25" s="84">
        <f>'Dados DRE'!G26*'Dados BP'!G$5</f>
        <v>0</v>
      </c>
      <c r="H25" s="113">
        <f t="shared" si="2"/>
        <v>0</v>
      </c>
    </row>
    <row r="26" spans="1:8" ht="15" x14ac:dyDescent="0.25">
      <c r="A26" s="59">
        <v>443</v>
      </c>
      <c r="B26" s="62" t="s">
        <v>63</v>
      </c>
      <c r="C26" s="84">
        <f>'Dados DRE'!C27*'Dados BP'!C$5</f>
        <v>0</v>
      </c>
      <c r="D26" s="113">
        <f>IF(C26=0,0,C26/C$14*100)</f>
        <v>0</v>
      </c>
      <c r="E26" s="84">
        <f>'Dados DRE'!E27*'Dados BP'!E$5</f>
        <v>0</v>
      </c>
      <c r="F26" s="113">
        <f>IF(E26=0,0,E26/E$14*100)</f>
        <v>0</v>
      </c>
      <c r="G26" s="84">
        <f>'Dados DRE'!G27*'Dados BP'!G$5</f>
        <v>0</v>
      </c>
      <c r="H26" s="113">
        <f>IF(G26=0,0,G26/G$14*100)</f>
        <v>0</v>
      </c>
    </row>
    <row r="27" spans="1:8" ht="15" x14ac:dyDescent="0.25">
      <c r="A27" s="59">
        <v>444</v>
      </c>
      <c r="B27" s="62" t="s">
        <v>281</v>
      </c>
      <c r="C27" s="84">
        <f>'Dados DRE'!C28*'Dados BP'!C$5</f>
        <v>-1350</v>
      </c>
      <c r="D27" s="86">
        <f t="shared" si="1"/>
        <v>-1.4391365180891465E-2</v>
      </c>
      <c r="E27" s="84">
        <f>'Dados DRE'!E28*'Dados BP'!E$5</f>
        <v>-135824</v>
      </c>
      <c r="F27" s="86">
        <f t="shared" si="1"/>
        <v>-1.2493842718540373</v>
      </c>
      <c r="G27" s="84">
        <f>'Dados DRE'!G28*'Dados BP'!G$5</f>
        <v>-188830</v>
      </c>
      <c r="H27" s="86">
        <f t="shared" si="2"/>
        <v>-1.6075064070831417</v>
      </c>
    </row>
    <row r="28" spans="1:8" ht="14.25" x14ac:dyDescent="0.2">
      <c r="A28" s="94">
        <v>45</v>
      </c>
      <c r="B28" s="68" t="s">
        <v>64</v>
      </c>
      <c r="C28" s="91">
        <f>+C21+C22+C25+C26+C27</f>
        <v>715055</v>
      </c>
      <c r="D28" s="112">
        <f t="shared" si="1"/>
        <v>7.6226797254980339</v>
      </c>
      <c r="E28" s="91">
        <f>+E21+E22+E25+E26+E27</f>
        <v>647217</v>
      </c>
      <c r="F28" s="112">
        <f t="shared" si="1"/>
        <v>5.9534599207544652</v>
      </c>
      <c r="G28" s="91">
        <f>+G21+G22+G25+G26+G27</f>
        <v>883179</v>
      </c>
      <c r="H28" s="112">
        <f t="shared" si="2"/>
        <v>7.518487004720023</v>
      </c>
    </row>
    <row r="29" spans="1:8" ht="15" x14ac:dyDescent="0.25">
      <c r="A29" s="59">
        <v>451</v>
      </c>
      <c r="B29" s="61" t="s">
        <v>65</v>
      </c>
      <c r="C29" s="84">
        <f>'Dados DRE'!C30*'Dados BP'!C$5</f>
        <v>-243119</v>
      </c>
      <c r="D29" s="111">
        <f t="shared" si="1"/>
        <v>-2.5917143047504831</v>
      </c>
      <c r="E29" s="84">
        <f>'Dados DRE'!E30*'Dados BP'!E$5</f>
        <v>-220054</v>
      </c>
      <c r="F29" s="111">
        <f t="shared" si="1"/>
        <v>-2.024178396738193</v>
      </c>
      <c r="G29" s="84">
        <f>'Dados DRE'!G30*'Dados BP'!G$5</f>
        <v>-435136</v>
      </c>
      <c r="H29" s="111">
        <f t="shared" si="2"/>
        <v>-3.7043049724754007</v>
      </c>
    </row>
    <row r="30" spans="1:8" ht="15" x14ac:dyDescent="0.25">
      <c r="A30" s="59">
        <v>452</v>
      </c>
      <c r="B30" s="61" t="s">
        <v>66</v>
      </c>
      <c r="C30" s="84">
        <f>'Dados DRE'!C31*'Dados BP'!C$5</f>
        <v>0</v>
      </c>
      <c r="D30" s="86">
        <f t="shared" si="1"/>
        <v>0</v>
      </c>
      <c r="E30" s="84">
        <f>'Dados DRE'!E31*'Dados BP'!E$5</f>
        <v>0</v>
      </c>
      <c r="F30" s="86">
        <f t="shared" si="1"/>
        <v>0</v>
      </c>
      <c r="G30" s="84">
        <f>'Dados DRE'!G31*'Dados BP'!G$5</f>
        <v>0</v>
      </c>
      <c r="H30" s="86">
        <f t="shared" si="2"/>
        <v>0</v>
      </c>
    </row>
    <row r="31" spans="1:8" ht="14.25" x14ac:dyDescent="0.2">
      <c r="A31" s="94">
        <v>46</v>
      </c>
      <c r="B31" s="95" t="s">
        <v>67</v>
      </c>
      <c r="C31" s="91">
        <f>SUM(C28:C30)</f>
        <v>471936</v>
      </c>
      <c r="D31" s="112">
        <f t="shared" si="1"/>
        <v>5.0309654207475507</v>
      </c>
      <c r="E31" s="91">
        <f>SUM(E28:E30)</f>
        <v>427163</v>
      </c>
      <c r="F31" s="112">
        <f t="shared" si="1"/>
        <v>3.9292815240162726</v>
      </c>
      <c r="G31" s="91">
        <f>SUM(G28:G30)</f>
        <v>448043</v>
      </c>
      <c r="H31" s="112">
        <f t="shared" si="2"/>
        <v>3.8141820322446223</v>
      </c>
    </row>
    <row r="32" spans="1:8" ht="15.75" x14ac:dyDescent="0.25">
      <c r="A32" s="34"/>
      <c r="B32" s="34"/>
      <c r="C32" s="35"/>
      <c r="D32" s="36"/>
      <c r="E32" s="35"/>
      <c r="F32" s="36"/>
      <c r="G32" s="35"/>
      <c r="H32" s="36"/>
    </row>
    <row r="33" spans="1:8" ht="15.75" x14ac:dyDescent="0.25">
      <c r="A33" s="34"/>
      <c r="B33" s="34"/>
      <c r="C33" s="35"/>
      <c r="D33" s="36"/>
      <c r="E33" s="35"/>
      <c r="F33" s="36"/>
      <c r="G33" s="35"/>
      <c r="H33" s="36"/>
    </row>
    <row r="34" spans="1:8" x14ac:dyDescent="0.2">
      <c r="G34" s="6"/>
    </row>
    <row r="35" spans="1:8" x14ac:dyDescent="0.2">
      <c r="G35" s="6"/>
    </row>
    <row r="36" spans="1:8" x14ac:dyDescent="0.2">
      <c r="G36" s="6"/>
    </row>
    <row r="37" spans="1:8" x14ac:dyDescent="0.2">
      <c r="G37" s="6"/>
    </row>
    <row r="38" spans="1:8" x14ac:dyDescent="0.2">
      <c r="G38" s="6"/>
    </row>
    <row r="39" spans="1:8" x14ac:dyDescent="0.2">
      <c r="G39" s="6"/>
    </row>
    <row r="40" spans="1:8" x14ac:dyDescent="0.2">
      <c r="G40" s="6"/>
    </row>
    <row r="41" spans="1:8" x14ac:dyDescent="0.2">
      <c r="G41" s="6"/>
    </row>
    <row r="42" spans="1:8" x14ac:dyDescent="0.2">
      <c r="G42" s="6"/>
    </row>
    <row r="43" spans="1:8" x14ac:dyDescent="0.2">
      <c r="G43" s="6"/>
    </row>
    <row r="44" spans="1:8" x14ac:dyDescent="0.2">
      <c r="G44" s="6"/>
    </row>
    <row r="45" spans="1:8" x14ac:dyDescent="0.2">
      <c r="G45" s="6"/>
    </row>
    <row r="46" spans="1:8" x14ac:dyDescent="0.2">
      <c r="G46" s="6"/>
    </row>
  </sheetData>
  <sheetProtection password="C40E" sheet="1"/>
  <phoneticPr fontId="0" type="noConversion"/>
  <printOptions gridLines="1"/>
  <pageMargins left="0.59055118110236227" right="0.39370078740157483" top="0.59055118110236227" bottom="0.39370078740157483" header="0.51181102362204722" footer="0.51181102362204722"/>
  <pageSetup paperSize="9" scale="88" orientation="portrait" horizontalDpi="120" verticalDpi="14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3:H33"/>
  <sheetViews>
    <sheetView workbookViewId="0">
      <selection activeCell="D10" sqref="D10"/>
    </sheetView>
  </sheetViews>
  <sheetFormatPr defaultRowHeight="12.75" x14ac:dyDescent="0.2"/>
  <cols>
    <col min="1" max="1" width="7" customWidth="1"/>
    <col min="2" max="2" width="30.83203125" customWidth="1"/>
    <col min="3" max="3" width="17.83203125" customWidth="1"/>
    <col min="4" max="4" width="11.33203125" bestFit="1" customWidth="1"/>
    <col min="5" max="5" width="17.83203125" customWidth="1"/>
    <col min="6" max="6" width="10.83203125" bestFit="1" customWidth="1"/>
    <col min="7" max="7" width="17.83203125" customWidth="1"/>
    <col min="8" max="8" width="8.83203125" customWidth="1"/>
  </cols>
  <sheetData>
    <row r="3" spans="1:8" ht="15.75" x14ac:dyDescent="0.25">
      <c r="A3" s="15" t="str">
        <f>BP_AV!A2</f>
        <v>EMPRESA : EMBRAER S.A.</v>
      </c>
      <c r="B3" s="13"/>
      <c r="C3" s="30"/>
      <c r="D3" s="13"/>
      <c r="E3" s="30"/>
      <c r="F3" s="13"/>
      <c r="G3" s="30"/>
      <c r="H3" s="13"/>
    </row>
    <row r="4" spans="1:8" ht="15.75" x14ac:dyDescent="0.25">
      <c r="A4" s="31"/>
      <c r="C4" s="32"/>
      <c r="E4" s="32"/>
      <c r="G4" s="32"/>
    </row>
    <row r="5" spans="1:8" ht="22.5" x14ac:dyDescent="0.3">
      <c r="A5" s="224" t="s">
        <v>51</v>
      </c>
      <c r="B5" s="224"/>
      <c r="C5" s="225"/>
      <c r="D5" s="224"/>
      <c r="E5" s="225"/>
      <c r="F5" s="224"/>
      <c r="G5" s="227"/>
      <c r="H5" s="226"/>
    </row>
    <row r="6" spans="1:8" ht="20.25" x14ac:dyDescent="0.3">
      <c r="A6" s="226"/>
      <c r="B6" s="226"/>
      <c r="C6" s="227"/>
      <c r="D6" s="226"/>
      <c r="E6" s="227"/>
      <c r="F6" s="226"/>
      <c r="G6" s="227"/>
      <c r="H6" s="226"/>
    </row>
    <row r="7" spans="1:8" ht="15.75" x14ac:dyDescent="0.25">
      <c r="A7" s="15"/>
      <c r="B7" s="15"/>
      <c r="C7" s="33"/>
      <c r="D7" s="15"/>
      <c r="E7" s="33"/>
      <c r="F7" s="17" t="s">
        <v>1</v>
      </c>
      <c r="G7" s="33"/>
      <c r="H7" s="15"/>
    </row>
    <row r="8" spans="1:8" ht="14.25" x14ac:dyDescent="0.2">
      <c r="A8" s="48"/>
      <c r="B8" s="49" t="s">
        <v>2</v>
      </c>
      <c r="C8" s="50">
        <f>BP_AV!C6</f>
        <v>2010</v>
      </c>
      <c r="D8" s="51" t="s">
        <v>3</v>
      </c>
      <c r="E8" s="50">
        <f>BP_AV!E6</f>
        <v>2009</v>
      </c>
      <c r="F8" s="51" t="s">
        <v>3</v>
      </c>
      <c r="G8" s="50">
        <f>BP_AV!G6</f>
        <v>2008</v>
      </c>
      <c r="H8" s="52" t="s">
        <v>3</v>
      </c>
    </row>
    <row r="9" spans="1:8" ht="15" x14ac:dyDescent="0.25">
      <c r="A9" s="53"/>
      <c r="B9" s="54" t="s">
        <v>4</v>
      </c>
      <c r="C9" s="55" t="s">
        <v>5</v>
      </c>
      <c r="D9" s="119" t="s">
        <v>146</v>
      </c>
      <c r="E9" s="55" t="s">
        <v>5</v>
      </c>
      <c r="F9" s="120" t="s">
        <v>146</v>
      </c>
      <c r="G9" s="57" t="s">
        <v>5</v>
      </c>
      <c r="H9" s="120" t="s">
        <v>146</v>
      </c>
    </row>
    <row r="10" spans="1:8" ht="14.25" x14ac:dyDescent="0.2">
      <c r="A10" s="94">
        <v>41</v>
      </c>
      <c r="B10" s="95" t="s">
        <v>52</v>
      </c>
      <c r="C10" s="91">
        <f>'Dados DRE'!C11*'Dados BP'!C$5</f>
        <v>9488512</v>
      </c>
      <c r="D10" s="112">
        <f t="shared" ref="D10:D20" si="0">IF(G10&gt;0,(C10-G10)/ABS(G10)*100+100,IF(G10&lt;0,(C10-G10)/ABS(G10)*100-100,IF(G10=0,((C10+1)/ABS(C10+1))*100,0)))</f>
        <v>79.858820455951758</v>
      </c>
      <c r="E10" s="234">
        <f>'Dados DRE'!E11*'Dados BP'!E$5</f>
        <v>10997789</v>
      </c>
      <c r="F10" s="112">
        <f t="shared" ref="F10:F31" si="1">IF(G10&gt;0,(E10-G10)/ABS(G10)*100+100,IF(G10&lt;0,(E10-G10)/ABS(G10)*100-100,IF(G10=0,((E10+1)/ABS(E10+1))*100,0)))</f>
        <v>92.561452961585672</v>
      </c>
      <c r="G10" s="235">
        <f>'Dados DRE'!G11*'Dados BP'!G$5</f>
        <v>11881608</v>
      </c>
      <c r="H10" s="112">
        <f>IF(G10&gt;=0,100,-100)</f>
        <v>100</v>
      </c>
    </row>
    <row r="11" spans="1:8" ht="14.25" x14ac:dyDescent="0.2">
      <c r="A11" s="94">
        <v>411</v>
      </c>
      <c r="B11" s="95" t="str">
        <f>DRE_AV!B11</f>
        <v xml:space="preserve">  (-) Deduções Receita Bruta</v>
      </c>
      <c r="C11" s="91">
        <f>'Dados DRE'!C12*'Dados BP'!C$5</f>
        <v>-107887</v>
      </c>
      <c r="D11" s="112">
        <f>IF(G11&gt;0,(C11-G11)/ABS(G11)*100+100,IF(G11&lt;0,(C11-G11)/ABS(G11)*100-100,IF(G11=0,((C11+1)/ABS(C11+1))*100,0)))</f>
        <v>-80.00934420029219</v>
      </c>
      <c r="E11" s="234">
        <f>'Dados DRE'!E12*'Dados BP'!E$5</f>
        <v>-126514</v>
      </c>
      <c r="F11" s="112">
        <f>IF(G11&gt;0,(E11-G11)/ABS(G11)*100+100,IF(G11&lt;0,(E11-G11)/ABS(G11)*100-100,IF(G11=0,((E11+1)/ABS(E11+1))*100,0)))</f>
        <v>-93.823186965582195</v>
      </c>
      <c r="G11" s="235">
        <f>'Dados DRE'!G12*'Dados BP'!G$5</f>
        <v>-134843</v>
      </c>
      <c r="H11" s="112">
        <f>IF(G11&gt;=0,100,-100)</f>
        <v>-100</v>
      </c>
    </row>
    <row r="12" spans="1:8" ht="15" x14ac:dyDescent="0.25">
      <c r="A12" s="59">
        <v>4111</v>
      </c>
      <c r="B12" s="61" t="str">
        <f>DRE_AV!B12</f>
        <v xml:space="preserve">       . Devoluções/Abatimentos</v>
      </c>
      <c r="C12" s="84">
        <f>'Dados DRE'!C13*'Dados BP'!C$5</f>
        <v>0</v>
      </c>
      <c r="D12" s="113">
        <f>IF(G12&gt;0,(C12-G12)/ABS(G12)*100+100,IF(G12&lt;0,(C12-G12)/ABS(G12)*100-100,IF(G12=0,((C12+1)/ABS(C12+1))*100,0)))</f>
        <v>100</v>
      </c>
      <c r="E12" s="84">
        <f>'Dados DRE'!E13*'Dados BP'!E$5</f>
        <v>0</v>
      </c>
      <c r="F12" s="113">
        <f>IF(G12&gt;0,(E12-G12)/ABS(G12)*100+100,IF(G12&lt;0,(E12-G12)/ABS(G12)*100-100,IF(G12=0,((E12+1)/ABS(E12+1))*100,0)))</f>
        <v>100</v>
      </c>
      <c r="G12" s="116">
        <f>'Dados DRE'!G13*'Dados BP'!G$5</f>
        <v>0</v>
      </c>
      <c r="H12" s="86">
        <f>IF(G12&gt;=0,100,-100)</f>
        <v>100</v>
      </c>
    </row>
    <row r="13" spans="1:8" ht="15" x14ac:dyDescent="0.25">
      <c r="A13" s="59">
        <v>4112</v>
      </c>
      <c r="B13" s="61" t="str">
        <f>DRE_AV!B13</f>
        <v xml:space="preserve">       . Tributos s/Vendas</v>
      </c>
      <c r="C13" s="84">
        <f>'Dados DRE'!C14*'Dados BP'!C$5</f>
        <v>-107887</v>
      </c>
      <c r="D13" s="113">
        <f t="shared" si="0"/>
        <v>-80.00934420029219</v>
      </c>
      <c r="E13" s="84">
        <f>'Dados DRE'!E14*'Dados BP'!E$5</f>
        <v>-126514</v>
      </c>
      <c r="F13" s="113">
        <f t="shared" si="1"/>
        <v>-93.823186965582195</v>
      </c>
      <c r="G13" s="116">
        <f>'Dados DRE'!G14*'Dados BP'!G$5</f>
        <v>-134843</v>
      </c>
      <c r="H13" s="86">
        <f t="shared" ref="H13:H23" si="2">IF(G13&gt;=0,100,-100)</f>
        <v>-100</v>
      </c>
    </row>
    <row r="14" spans="1:8" ht="14.25" x14ac:dyDescent="0.2">
      <c r="A14" s="94">
        <v>42</v>
      </c>
      <c r="B14" s="68" t="s">
        <v>54</v>
      </c>
      <c r="C14" s="91">
        <f>SUM(C10:C11)</f>
        <v>9380625</v>
      </c>
      <c r="D14" s="112">
        <f>IF(G14&gt;0,(C14-G14)/ABS(G14)*100+100,IF(G14&lt;0,(C14-G14)/ABS(G14)*100-100,IF(G14=0,((C14+1)/ABS(C14+1))*100,0)))</f>
        <v>79.857092569741539</v>
      </c>
      <c r="E14" s="91">
        <f>SUM(E10:E11)</f>
        <v>10871275</v>
      </c>
      <c r="F14" s="112">
        <f t="shared" si="1"/>
        <v>92.546969314530429</v>
      </c>
      <c r="G14" s="91">
        <f>SUM(G10:G11)</f>
        <v>11746765</v>
      </c>
      <c r="H14" s="112">
        <f>IF(G14&gt;=0,100,-100)</f>
        <v>100</v>
      </c>
    </row>
    <row r="15" spans="1:8" ht="15" x14ac:dyDescent="0.25">
      <c r="A15" s="59">
        <v>421</v>
      </c>
      <c r="B15" s="61" t="s">
        <v>163</v>
      </c>
      <c r="C15" s="84">
        <f>'Dados DRE'!C16*'Dados BP'!C$5</f>
        <v>-7582662</v>
      </c>
      <c r="D15" s="113">
        <f t="shared" si="0"/>
        <v>-81.187347485879911</v>
      </c>
      <c r="E15" s="84">
        <f>'Dados DRE'!E16*'Dados BP'!E$5</f>
        <v>-8759483</v>
      </c>
      <c r="F15" s="113">
        <f t="shared" si="1"/>
        <v>-93.787536635242063</v>
      </c>
      <c r="G15" s="84">
        <f>'Dados DRE'!G16*'Dados BP'!G$5</f>
        <v>-9339709</v>
      </c>
      <c r="H15" s="86">
        <f t="shared" si="2"/>
        <v>-100</v>
      </c>
    </row>
    <row r="16" spans="1:8" ht="14.25" x14ac:dyDescent="0.2">
      <c r="A16" s="94">
        <v>43</v>
      </c>
      <c r="B16" s="68" t="s">
        <v>279</v>
      </c>
      <c r="C16" s="91">
        <f>SUM(C14:C15)</f>
        <v>1797963</v>
      </c>
      <c r="D16" s="112">
        <f>IF(G16&gt;0,(C16-G16)/ABS(G16)*100+100,IF(G16&lt;0,(C16-G16)/ABS(G16)*100-100,IF(G16=0,((C16+1)/ABS(C16+1))*100,0)))</f>
        <v>74.695520170698146</v>
      </c>
      <c r="E16" s="91">
        <f>SUM(E14:E15)</f>
        <v>2111792</v>
      </c>
      <c r="F16" s="112">
        <f t="shared" si="1"/>
        <v>87.733397145724908</v>
      </c>
      <c r="G16" s="91">
        <f>SUM(G14:G15)</f>
        <v>2407056</v>
      </c>
      <c r="H16" s="112">
        <f>IF(G16&gt;=0,100,-100)</f>
        <v>100</v>
      </c>
    </row>
    <row r="17" spans="1:8" ht="15" x14ac:dyDescent="0.25">
      <c r="A17" s="59">
        <v>431</v>
      </c>
      <c r="B17" s="61" t="s">
        <v>55</v>
      </c>
      <c r="C17" s="84">
        <f>SUM(C18:C20)</f>
        <v>-1112443</v>
      </c>
      <c r="D17" s="113">
        <f t="shared" si="0"/>
        <v>-85.932131380546281</v>
      </c>
      <c r="E17" s="84">
        <f>SUM(E18:E20)</f>
        <v>-1345052</v>
      </c>
      <c r="F17" s="113">
        <f t="shared" si="1"/>
        <v>-103.900321344704</v>
      </c>
      <c r="G17" s="116">
        <f>SUM(G18:G20)</f>
        <v>-1294560</v>
      </c>
      <c r="H17" s="111">
        <f t="shared" si="2"/>
        <v>-100</v>
      </c>
    </row>
    <row r="18" spans="1:8" ht="15" x14ac:dyDescent="0.25">
      <c r="A18" s="59">
        <v>4311</v>
      </c>
      <c r="B18" s="61" t="s">
        <v>56</v>
      </c>
      <c r="C18" s="84">
        <f>'Dados DRE'!C19*'Dados BP'!C$5</f>
        <v>-657010</v>
      </c>
      <c r="D18" s="113">
        <f t="shared" si="0"/>
        <v>-89.859195382647997</v>
      </c>
      <c r="E18" s="84">
        <f>'Dados DRE'!E19*'Dados BP'!E$5</f>
        <v>-601119</v>
      </c>
      <c r="F18" s="113">
        <f t="shared" si="1"/>
        <v>-82.214988613905405</v>
      </c>
      <c r="G18" s="116">
        <f>'Dados DRE'!G19*'Dados BP'!G$5</f>
        <v>-731155</v>
      </c>
      <c r="H18" s="113">
        <f t="shared" si="2"/>
        <v>-100</v>
      </c>
    </row>
    <row r="19" spans="1:8" ht="15" x14ac:dyDescent="0.25">
      <c r="A19" s="59">
        <v>4312</v>
      </c>
      <c r="B19" s="61" t="s">
        <v>57</v>
      </c>
      <c r="C19" s="84">
        <f>'Dados DRE'!C20*'Dados BP'!C$5</f>
        <v>-346061</v>
      </c>
      <c r="D19" s="113">
        <f t="shared" si="0"/>
        <v>-81.369446220984912</v>
      </c>
      <c r="E19" s="84">
        <f>'Dados DRE'!E20*'Dados BP'!E$5</f>
        <v>-376199</v>
      </c>
      <c r="F19" s="113">
        <f t="shared" si="1"/>
        <v>-88.455804898235584</v>
      </c>
      <c r="G19" s="116">
        <f>'Dados DRE'!G20*'Dados BP'!G$5</f>
        <v>-425296</v>
      </c>
      <c r="H19" s="113">
        <f t="shared" si="2"/>
        <v>-100</v>
      </c>
    </row>
    <row r="20" spans="1:8" ht="15" x14ac:dyDescent="0.25">
      <c r="A20" s="59">
        <v>4313</v>
      </c>
      <c r="B20" s="61" t="s">
        <v>58</v>
      </c>
      <c r="C20" s="84">
        <f>'Dados DRE'!C21*'Dados BP'!C$5</f>
        <v>-109372</v>
      </c>
      <c r="D20" s="113">
        <f t="shared" si="0"/>
        <v>-79.192521848684734</v>
      </c>
      <c r="E20" s="84">
        <f>'Dados DRE'!E21*'Dados BP'!E$5</f>
        <v>-367734</v>
      </c>
      <c r="F20" s="113">
        <f t="shared" si="1"/>
        <v>-266.26360338573159</v>
      </c>
      <c r="G20" s="116">
        <f>'Dados DRE'!G21*'Dados BP'!G$5</f>
        <v>-138109</v>
      </c>
      <c r="H20" s="86">
        <f t="shared" si="2"/>
        <v>-100</v>
      </c>
    </row>
    <row r="21" spans="1:8" ht="14.25" x14ac:dyDescent="0.2">
      <c r="A21" s="94">
        <v>44</v>
      </c>
      <c r="B21" s="68" t="s">
        <v>171</v>
      </c>
      <c r="C21" s="91">
        <f>C16+C17</f>
        <v>685520</v>
      </c>
      <c r="D21" s="112">
        <f t="shared" ref="D21:D31" si="3">IF(G21&gt;0,(C21-G21)/ABS(G21)*100+100,IF(G21&lt;0,(C21-G21)/ABS(G21)*100-100,IF(G21=0,((C21+1)/ABS(C21+1))*100,0)))</f>
        <v>61.619996835943681</v>
      </c>
      <c r="E21" s="91">
        <f>E16+E17</f>
        <v>766740</v>
      </c>
      <c r="F21" s="112">
        <f t="shared" si="1"/>
        <v>68.920697242956379</v>
      </c>
      <c r="G21" s="91">
        <f>G16+G17</f>
        <v>1112496</v>
      </c>
      <c r="H21" s="112">
        <f>IF(G21&gt;=0,100,-100)</f>
        <v>100</v>
      </c>
    </row>
    <row r="22" spans="1:8" ht="15" x14ac:dyDescent="0.25">
      <c r="A22" s="59">
        <v>441</v>
      </c>
      <c r="B22" s="61" t="s">
        <v>60</v>
      </c>
      <c r="C22" s="84">
        <f>+C23+C24</f>
        <v>30885</v>
      </c>
      <c r="D22" s="113">
        <f t="shared" si="3"/>
        <v>76.283745399757947</v>
      </c>
      <c r="E22" s="84">
        <f>+E23+E24</f>
        <v>16301</v>
      </c>
      <c r="F22" s="113">
        <f t="shared" si="1"/>
        <v>40.262306419344469</v>
      </c>
      <c r="G22" s="84">
        <f>+G23+G24</f>
        <v>-40487</v>
      </c>
      <c r="H22" s="113">
        <f t="shared" si="2"/>
        <v>-100</v>
      </c>
    </row>
    <row r="23" spans="1:8" ht="15" x14ac:dyDescent="0.25">
      <c r="A23" s="59">
        <v>4411</v>
      </c>
      <c r="B23" s="61" t="s">
        <v>61</v>
      </c>
      <c r="C23" s="84">
        <f>'Dados DRE'!C24*'Dados BP'!C$5</f>
        <v>30885</v>
      </c>
      <c r="D23" s="113">
        <f t="shared" si="3"/>
        <v>16.338417101775889</v>
      </c>
      <c r="E23" s="84">
        <f>'Dados DRE'!E24*'Dados BP'!E$5</f>
        <v>16301</v>
      </c>
      <c r="F23" s="113">
        <f t="shared" si="1"/>
        <v>8.6233620584765589</v>
      </c>
      <c r="G23" s="84">
        <f>'Dados DRE'!G24*'Dados BP'!G$5</f>
        <v>189033</v>
      </c>
      <c r="H23" s="113">
        <f t="shared" si="2"/>
        <v>100</v>
      </c>
    </row>
    <row r="24" spans="1:8" ht="15" x14ac:dyDescent="0.25">
      <c r="A24" s="59">
        <v>4412</v>
      </c>
      <c r="B24" s="61" t="s">
        <v>62</v>
      </c>
      <c r="C24" s="84">
        <f>'Dados DRE'!C25*'Dados BP'!C$5</f>
        <v>0</v>
      </c>
      <c r="D24" s="113">
        <f t="shared" si="3"/>
        <v>0</v>
      </c>
      <c r="E24" s="84">
        <f>'Dados DRE'!E25*'Dados BP'!E$5</f>
        <v>0</v>
      </c>
      <c r="F24" s="113">
        <f t="shared" si="1"/>
        <v>0</v>
      </c>
      <c r="G24" s="84">
        <f>'Dados DRE'!G25*'Dados BP'!G$5</f>
        <v>-229520</v>
      </c>
      <c r="H24" s="113">
        <f t="shared" ref="H24:H30" si="4">IF(G24&gt;=0,100,-100)</f>
        <v>-100</v>
      </c>
    </row>
    <row r="25" spans="1:8" ht="15" x14ac:dyDescent="0.25">
      <c r="A25" s="59">
        <v>442</v>
      </c>
      <c r="B25" s="71" t="s">
        <v>170</v>
      </c>
      <c r="C25" s="84">
        <f>'Dados DRE'!C26*'Dados BP'!C$5</f>
        <v>0</v>
      </c>
      <c r="D25" s="113">
        <f t="shared" si="3"/>
        <v>100</v>
      </c>
      <c r="E25" s="84">
        <f>'Dados DRE'!E26*'Dados BP'!E$5</f>
        <v>0</v>
      </c>
      <c r="F25" s="113">
        <f t="shared" si="1"/>
        <v>100</v>
      </c>
      <c r="G25" s="84">
        <f>'Dados DRE'!G26*'Dados BP'!G$5</f>
        <v>0</v>
      </c>
      <c r="H25" s="113">
        <f t="shared" si="4"/>
        <v>100</v>
      </c>
    </row>
    <row r="26" spans="1:8" ht="15" x14ac:dyDescent="0.25">
      <c r="A26" s="59">
        <v>443</v>
      </c>
      <c r="B26" s="62" t="s">
        <v>63</v>
      </c>
      <c r="C26" s="84">
        <f>'Dados DRE'!C27*'Dados BP'!C$5</f>
        <v>0</v>
      </c>
      <c r="D26" s="113">
        <f>IF(G26&gt;0,(C26-G26)/ABS(G26)*100+100,IF(G26&lt;0,(C26-G26)/ABS(G26)*100-100,IF(G26=0,((C26+1)/ABS(C26+1))*100,0)))</f>
        <v>100</v>
      </c>
      <c r="E26" s="84">
        <f>'Dados DRE'!E27*'Dados BP'!E$5</f>
        <v>0</v>
      </c>
      <c r="F26" s="113">
        <f>IF(G26&gt;0,(E26-G26)/ABS(G26)*100+100,IF(G26&lt;0,(E26-G26)/ABS(G26)*100-100,IF(G26=0,((E26+1)/ABS(E26+1))*100,0)))</f>
        <v>100</v>
      </c>
      <c r="G26" s="84">
        <f>'Dados DRE'!G27*'Dados BP'!G$5</f>
        <v>0</v>
      </c>
      <c r="H26" s="113">
        <f t="shared" si="4"/>
        <v>100</v>
      </c>
    </row>
    <row r="27" spans="1:8" ht="15" x14ac:dyDescent="0.25">
      <c r="A27" s="59">
        <v>444</v>
      </c>
      <c r="B27" s="62" t="s">
        <v>281</v>
      </c>
      <c r="C27" s="84">
        <f>'Dados DRE'!C28*'Dados BP'!C$5</f>
        <v>-1350</v>
      </c>
      <c r="D27" s="113">
        <f t="shared" si="3"/>
        <v>-0.71492877191123227</v>
      </c>
      <c r="E27" s="84">
        <f>'Dados DRE'!E28*'Dados BP'!E$5</f>
        <v>-135824</v>
      </c>
      <c r="F27" s="113">
        <f t="shared" si="1"/>
        <v>-71.929248530424189</v>
      </c>
      <c r="G27" s="84">
        <f>'Dados DRE'!G28*'Dados BP'!G$5</f>
        <v>-188830</v>
      </c>
      <c r="H27" s="86">
        <f t="shared" si="4"/>
        <v>-100</v>
      </c>
    </row>
    <row r="28" spans="1:8" ht="14.25" x14ac:dyDescent="0.2">
      <c r="A28" s="94">
        <v>45</v>
      </c>
      <c r="B28" s="68" t="s">
        <v>64</v>
      </c>
      <c r="C28" s="91">
        <f>+C21+C22+C25+C26+C27</f>
        <v>715055</v>
      </c>
      <c r="D28" s="112">
        <f t="shared" si="3"/>
        <v>80.963768386703038</v>
      </c>
      <c r="E28" s="91">
        <f>+E21+E22+E25+E26+E27</f>
        <v>647217</v>
      </c>
      <c r="F28" s="112">
        <f t="shared" si="1"/>
        <v>73.282652780466933</v>
      </c>
      <c r="G28" s="91">
        <f>+G21+G22+G25+G26+G27</f>
        <v>883179</v>
      </c>
      <c r="H28" s="112">
        <f>IF(G28&gt;=0,100,-100)</f>
        <v>100</v>
      </c>
    </row>
    <row r="29" spans="1:8" ht="15" x14ac:dyDescent="0.25">
      <c r="A29" s="59">
        <v>451</v>
      </c>
      <c r="B29" s="61" t="s">
        <v>65</v>
      </c>
      <c r="C29" s="84">
        <f>'Dados DRE'!C30*'Dados BP'!C$5</f>
        <v>-243119</v>
      </c>
      <c r="D29" s="113">
        <f t="shared" si="3"/>
        <v>-55.871957273128402</v>
      </c>
      <c r="E29" s="84">
        <f>'Dados DRE'!E30*'Dados BP'!E$5</f>
        <v>-220054</v>
      </c>
      <c r="F29" s="113">
        <f t="shared" si="1"/>
        <v>-50.571315634652152</v>
      </c>
      <c r="G29" s="116">
        <f>'Dados DRE'!G30*'Dados BP'!G$5</f>
        <v>-435136</v>
      </c>
      <c r="H29" s="111">
        <f t="shared" si="4"/>
        <v>-100</v>
      </c>
    </row>
    <row r="30" spans="1:8" ht="15" x14ac:dyDescent="0.25">
      <c r="A30" s="59">
        <v>452</v>
      </c>
      <c r="B30" s="61" t="s">
        <v>66</v>
      </c>
      <c r="C30" s="84">
        <f>'Dados DRE'!C31*'Dados BP'!C$5</f>
        <v>0</v>
      </c>
      <c r="D30" s="113">
        <f t="shared" si="3"/>
        <v>100</v>
      </c>
      <c r="E30" s="84">
        <f>'Dados DRE'!E31*'Dados BP'!E$5</f>
        <v>0</v>
      </c>
      <c r="F30" s="113">
        <f t="shared" si="1"/>
        <v>100</v>
      </c>
      <c r="G30" s="116">
        <f>'Dados DRE'!G31*'Dados BP'!G$5</f>
        <v>0</v>
      </c>
      <c r="H30" s="86">
        <f t="shared" si="4"/>
        <v>100</v>
      </c>
    </row>
    <row r="31" spans="1:8" ht="14.25" x14ac:dyDescent="0.2">
      <c r="A31" s="94">
        <v>46</v>
      </c>
      <c r="B31" s="95" t="s">
        <v>67</v>
      </c>
      <c r="C31" s="91">
        <f>SUM(C28:C30)</f>
        <v>471936</v>
      </c>
      <c r="D31" s="112">
        <f t="shared" si="3"/>
        <v>105.33274708007937</v>
      </c>
      <c r="E31" s="91">
        <f>SUM(E28:E30)</f>
        <v>427163</v>
      </c>
      <c r="F31" s="112">
        <f t="shared" si="1"/>
        <v>95.339733016697053</v>
      </c>
      <c r="G31" s="91">
        <f>SUM(G28:G30)</f>
        <v>448043</v>
      </c>
      <c r="H31" s="117">
        <f>IF(G31&gt;=0,100,-100)</f>
        <v>100</v>
      </c>
    </row>
    <row r="32" spans="1:8" ht="15.75" x14ac:dyDescent="0.25">
      <c r="A32" s="34"/>
      <c r="B32" s="34"/>
      <c r="C32" s="35"/>
      <c r="D32" s="36"/>
      <c r="E32" s="35"/>
      <c r="F32" s="36"/>
      <c r="G32" s="35"/>
      <c r="H32" s="36"/>
    </row>
    <row r="33" spans="1:8" ht="15.75" x14ac:dyDescent="0.25">
      <c r="A33" s="34"/>
      <c r="B33" s="34"/>
      <c r="C33" s="35"/>
      <c r="D33" s="36"/>
      <c r="E33" s="35"/>
      <c r="F33" s="36"/>
      <c r="G33" s="35"/>
      <c r="H33" s="36"/>
    </row>
  </sheetData>
  <sheetProtection password="BC0E" sheet="1"/>
  <phoneticPr fontId="0" type="noConversion"/>
  <pageMargins left="0.19685039370078741" right="0.19685039370078741" top="0.98425196850393704" bottom="0.98425196850393704" header="0.51181102362204722" footer="0.51181102362204722"/>
  <pageSetup paperSize="121" scale="95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topLeftCell="A25" workbookViewId="0">
      <selection activeCell="C24" sqref="C24"/>
    </sheetView>
  </sheetViews>
  <sheetFormatPr defaultRowHeight="12.75" x14ac:dyDescent="0.2"/>
  <cols>
    <col min="1" max="1" width="7.1640625" customWidth="1"/>
    <col min="2" max="2" width="30.83203125" customWidth="1"/>
    <col min="3" max="3" width="14.83203125" customWidth="1"/>
    <col min="4" max="4" width="8.83203125" customWidth="1"/>
    <col min="5" max="5" width="14.83203125" customWidth="1"/>
    <col min="6" max="6" width="8.83203125" customWidth="1"/>
    <col min="7" max="7" width="14.83203125" customWidth="1"/>
    <col min="8" max="8" width="8.83203125" customWidth="1"/>
  </cols>
  <sheetData>
    <row r="1" spans="1:8" ht="15.75" x14ac:dyDescent="0.25">
      <c r="A1" s="15" t="str">
        <f>BP_AV!A2</f>
        <v>EMPRESA : EMBRAER S.A.</v>
      </c>
      <c r="B1" s="13"/>
      <c r="C1" s="30"/>
      <c r="D1" s="13"/>
      <c r="E1" s="30"/>
      <c r="F1" s="13"/>
      <c r="G1" s="30"/>
      <c r="H1" s="30"/>
    </row>
    <row r="2" spans="1:8" ht="15.75" x14ac:dyDescent="0.25">
      <c r="A2" s="31"/>
      <c r="C2" s="32"/>
      <c r="E2" s="32"/>
      <c r="G2" s="32"/>
      <c r="H2" s="32"/>
    </row>
    <row r="3" spans="1:8" ht="15.75" x14ac:dyDescent="0.25">
      <c r="A3" s="185" t="s">
        <v>184</v>
      </c>
      <c r="B3" s="185"/>
      <c r="C3" s="189"/>
      <c r="D3" s="185"/>
      <c r="E3" s="189"/>
      <c r="F3" s="185"/>
      <c r="G3" s="189"/>
      <c r="H3" s="189"/>
    </row>
    <row r="4" spans="1:8" ht="15.75" x14ac:dyDescent="0.25">
      <c r="A4" s="15"/>
      <c r="B4" s="15"/>
      <c r="C4" s="33"/>
      <c r="D4" s="15"/>
      <c r="E4" s="33"/>
      <c r="F4" s="17" t="s">
        <v>1</v>
      </c>
      <c r="G4" s="33"/>
      <c r="H4" s="33"/>
    </row>
    <row r="5" spans="1:8" ht="14.25" x14ac:dyDescent="0.2">
      <c r="A5" s="48"/>
      <c r="B5" s="49" t="s">
        <v>2</v>
      </c>
      <c r="C5" s="50">
        <f>BP_AV!C6</f>
        <v>2010</v>
      </c>
      <c r="D5" s="51" t="s">
        <v>3</v>
      </c>
      <c r="E5" s="50">
        <f>BP_AV!E6</f>
        <v>2009</v>
      </c>
      <c r="F5" s="51" t="s">
        <v>3</v>
      </c>
      <c r="G5" s="50">
        <f>BP_AV!G6</f>
        <v>2008</v>
      </c>
      <c r="H5" s="201" t="s">
        <v>3</v>
      </c>
    </row>
    <row r="6" spans="1:8" ht="15" x14ac:dyDescent="0.25">
      <c r="A6" s="53"/>
      <c r="B6" s="54" t="s">
        <v>4</v>
      </c>
      <c r="C6" s="55" t="s">
        <v>5</v>
      </c>
      <c r="D6" s="56" t="s">
        <v>6</v>
      </c>
      <c r="E6" s="55" t="s">
        <v>5</v>
      </c>
      <c r="F6" s="56" t="s">
        <v>6</v>
      </c>
      <c r="G6" s="57" t="s">
        <v>5</v>
      </c>
      <c r="H6" s="115" t="s">
        <v>6</v>
      </c>
    </row>
    <row r="7" spans="1:8" ht="14.25" x14ac:dyDescent="0.2">
      <c r="A7" s="48"/>
      <c r="B7" s="198" t="s">
        <v>185</v>
      </c>
      <c r="C7" s="109"/>
      <c r="D7" s="110"/>
      <c r="E7" s="109"/>
      <c r="F7" s="110"/>
      <c r="G7" s="109"/>
      <c r="H7" s="202"/>
    </row>
    <row r="8" spans="1:8" ht="15" x14ac:dyDescent="0.25">
      <c r="A8" s="59">
        <v>611</v>
      </c>
      <c r="B8" s="62" t="s">
        <v>195</v>
      </c>
      <c r="C8" s="19">
        <f>'Dados DFC_DVA'!C8*'Dados BP'!C5</f>
        <v>600178</v>
      </c>
      <c r="D8" s="83">
        <f>IF(C8=0,0,C8/C$11*100)</f>
        <v>39.970776708210629</v>
      </c>
      <c r="E8" s="19">
        <f>'Dados DFC_DVA'!E8*'Dados BP'!E5</f>
        <v>937271</v>
      </c>
      <c r="F8" s="83">
        <f>IF(E8=0,0,E8/E$11*100)</f>
        <v>-459.16971629850627</v>
      </c>
      <c r="G8" s="2">
        <f>'Dados DFC_DVA'!G8*'Dados BP'!G5</f>
        <v>428750</v>
      </c>
      <c r="H8" s="113">
        <f>IF(G8=0,0,G8/G$11*100)</f>
        <v>22.32247450161659</v>
      </c>
    </row>
    <row r="9" spans="1:8" ht="15" x14ac:dyDescent="0.25">
      <c r="A9" s="59">
        <v>612</v>
      </c>
      <c r="B9" s="62" t="s">
        <v>204</v>
      </c>
      <c r="C9" s="19">
        <f>'Dados DFC_DVA'!C9*'Dados BP'!C5</f>
        <v>568832</v>
      </c>
      <c r="D9" s="83">
        <f t="shared" ref="D9:F11" si="0">IF(C9=0,0,C9/C$11*100)</f>
        <v>37.88318941461511</v>
      </c>
      <c r="E9" s="19">
        <f>'Dados DFC_DVA'!E9*'Dados BP'!E5</f>
        <v>371418</v>
      </c>
      <c r="F9" s="83">
        <f t="shared" si="0"/>
        <v>-181.95793712614451</v>
      </c>
      <c r="G9" s="2">
        <f>'Dados DFC_DVA'!G9*'Dados BP'!G5</f>
        <v>549070</v>
      </c>
      <c r="H9" s="113">
        <f>IF(G9=0,0,G9/G$11*100)</f>
        <v>28.5868246637962</v>
      </c>
    </row>
    <row r="10" spans="1:8" ht="15" x14ac:dyDescent="0.25">
      <c r="A10" s="59">
        <v>613</v>
      </c>
      <c r="B10" s="61" t="s">
        <v>194</v>
      </c>
      <c r="C10" s="19">
        <f>'Dados DFC_DVA'!C10*'Dados BP'!C5</f>
        <v>332532</v>
      </c>
      <c r="D10" s="83">
        <f t="shared" si="0"/>
        <v>22.146033877174265</v>
      </c>
      <c r="E10" s="19">
        <f>'Dados DFC_DVA'!E10*'Dados BP'!E5</f>
        <v>-1512812</v>
      </c>
      <c r="F10" s="83">
        <f t="shared" si="0"/>
        <v>741.12765342465082</v>
      </c>
      <c r="G10" s="2">
        <f>'Dados DFC_DVA'!G10*'Dados BP'!G5</f>
        <v>942890</v>
      </c>
      <c r="H10" s="86">
        <f>IF(G10=0,0,G10/G$11*100)</f>
        <v>49.09070083458721</v>
      </c>
    </row>
    <row r="11" spans="1:8" ht="14.25" x14ac:dyDescent="0.2">
      <c r="A11" s="94">
        <v>61</v>
      </c>
      <c r="B11" s="68" t="s">
        <v>196</v>
      </c>
      <c r="C11" s="91">
        <f>SUM(C8:C10)</f>
        <v>1501542</v>
      </c>
      <c r="D11" s="112">
        <f t="shared" si="0"/>
        <v>100</v>
      </c>
      <c r="E11" s="91">
        <f>SUM(E8:E10)</f>
        <v>-204123</v>
      </c>
      <c r="F11" s="112">
        <f t="shared" si="0"/>
        <v>100</v>
      </c>
      <c r="G11" s="91">
        <f>SUM(G8:G10)</f>
        <v>1920710</v>
      </c>
      <c r="H11" s="112">
        <f>IF(G11=0,0,G11/G$11*100)</f>
        <v>100</v>
      </c>
    </row>
    <row r="12" spans="1:8" ht="15" x14ac:dyDescent="0.25">
      <c r="A12" s="64"/>
      <c r="B12" s="200"/>
      <c r="C12" s="196"/>
      <c r="D12" s="197"/>
      <c r="E12" s="196"/>
      <c r="F12" s="197"/>
      <c r="G12" s="196"/>
      <c r="H12" s="203"/>
    </row>
    <row r="13" spans="1:8" ht="14.25" x14ac:dyDescent="0.2">
      <c r="A13" s="48"/>
      <c r="B13" s="198" t="s">
        <v>197</v>
      </c>
      <c r="C13" s="109"/>
      <c r="D13" s="110"/>
      <c r="E13" s="109"/>
      <c r="F13" s="110"/>
      <c r="G13" s="109"/>
      <c r="H13" s="202"/>
    </row>
    <row r="14" spans="1:8" ht="15" x14ac:dyDescent="0.25">
      <c r="A14" s="59">
        <v>621</v>
      </c>
      <c r="B14" s="62" t="s">
        <v>186</v>
      </c>
      <c r="C14" s="19">
        <f>'Dados DFC_DVA'!C14*'Dados BP'!C5</f>
        <v>0</v>
      </c>
      <c r="D14" s="83">
        <f>IF(C14=0,0,C14/C$18*100)</f>
        <v>0</v>
      </c>
      <c r="E14" s="2">
        <f>'Dados DFC_DVA'!E14*'Dados BP'!E5</f>
        <v>0</v>
      </c>
      <c r="F14" s="83">
        <f>IF(E14=0,0,E14/E$18*100)</f>
        <v>0</v>
      </c>
      <c r="G14" s="2">
        <f>'Dados DFC_DVA'!G14*'Dados BP'!G5</f>
        <v>0</v>
      </c>
      <c r="H14" s="113">
        <f>IF(G14=0,0,G14/G$18*100)</f>
        <v>0</v>
      </c>
    </row>
    <row r="15" spans="1:8" ht="15" x14ac:dyDescent="0.25">
      <c r="A15" s="59">
        <v>622</v>
      </c>
      <c r="B15" s="62" t="s">
        <v>187</v>
      </c>
      <c r="C15" s="19">
        <f>'Dados DFC_DVA'!C15*'Dados BP'!C5</f>
        <v>-209950</v>
      </c>
      <c r="D15" s="83">
        <f>IF(C15=0,0,C15/C$18*100)</f>
        <v>41.540449258128533</v>
      </c>
      <c r="E15" s="2">
        <f>'Dados DFC_DVA'!E15*'Dados BP'!E5</f>
        <v>-339492</v>
      </c>
      <c r="F15" s="83">
        <f>IF(E15=0,0,E15/E$18*100)</f>
        <v>43.520542308219873</v>
      </c>
      <c r="G15" s="2">
        <f>'Dados DFC_DVA'!G15*'Dados BP'!G5</f>
        <v>-478883</v>
      </c>
      <c r="H15" s="113">
        <f>IF(G15=0,0,G15/G$18*100)</f>
        <v>48.696516077335538</v>
      </c>
    </row>
    <row r="16" spans="1:8" ht="15" x14ac:dyDescent="0.25">
      <c r="A16" s="59">
        <v>623</v>
      </c>
      <c r="B16" s="62" t="s">
        <v>188</v>
      </c>
      <c r="C16" s="19">
        <f>'Dados DFC_DVA'!C16*'Dados BP'!C5</f>
        <v>-313087</v>
      </c>
      <c r="D16" s="83">
        <f>IF(C16=0,0,C16/C$18*100)</f>
        <v>61.947009463585076</v>
      </c>
      <c r="E16" s="2">
        <f>'Dados DFC_DVA'!E16*'Dados BP'!E5</f>
        <v>-435115</v>
      </c>
      <c r="F16" s="83">
        <f>IF(E16=0,0,E16/E$18*100)</f>
        <v>55.778754039686028</v>
      </c>
      <c r="G16" s="2">
        <f>'Dados DFC_DVA'!G16*'Dados BP'!G5</f>
        <v>-480340</v>
      </c>
      <c r="H16" s="113">
        <f>IF(G16=0,0,G16/G$18*100)</f>
        <v>48.844675072172855</v>
      </c>
    </row>
    <row r="17" spans="1:8" ht="15" x14ac:dyDescent="0.25">
      <c r="A17" s="59">
        <v>624</v>
      </c>
      <c r="B17" s="61" t="s">
        <v>283</v>
      </c>
      <c r="C17" s="19">
        <f>'Dados DFC_DVA'!C17*'Dados BP'!C5</f>
        <v>17626</v>
      </c>
      <c r="D17" s="83">
        <f>IF(C17=0,0,C17/C$18*100)</f>
        <v>-3.4874587217136153</v>
      </c>
      <c r="E17" s="2">
        <f>'Dados DFC_DVA'!E17*'Dados BP'!E5</f>
        <v>-5466</v>
      </c>
      <c r="F17" s="83">
        <f>IF(E17=0,0,E17/E$18*100)</f>
        <v>0.70070365209409891</v>
      </c>
      <c r="G17" s="2">
        <f>'Dados DFC_DVA'!G17*'Dados BP'!G5</f>
        <v>-24180</v>
      </c>
      <c r="H17" s="86">
        <f>IF(G17=0,0,G17/G$18*100)</f>
        <v>2.4588088504916095</v>
      </c>
    </row>
    <row r="18" spans="1:8" ht="14.25" x14ac:dyDescent="0.2">
      <c r="A18" s="94">
        <v>62</v>
      </c>
      <c r="B18" s="68" t="s">
        <v>199</v>
      </c>
      <c r="C18" s="91">
        <f>SUM(C14:C17)</f>
        <v>-505411</v>
      </c>
      <c r="D18" s="112">
        <f>IF(C18=0,0,C18/C$18*100)</f>
        <v>100</v>
      </c>
      <c r="E18" s="91">
        <f>SUM(E14:E17)</f>
        <v>-780073</v>
      </c>
      <c r="F18" s="112">
        <f>IF(E18=0,0,E18/E$18*100)</f>
        <v>100</v>
      </c>
      <c r="G18" s="91">
        <f>SUM(G14:G17)</f>
        <v>-983403</v>
      </c>
      <c r="H18" s="112">
        <f>IF(G18=0,0,G18/G$18*100)</f>
        <v>100</v>
      </c>
    </row>
    <row r="19" spans="1:8" ht="15" x14ac:dyDescent="0.25">
      <c r="A19" s="64"/>
      <c r="B19" s="200"/>
      <c r="C19" s="196"/>
      <c r="D19" s="197"/>
      <c r="E19" s="196"/>
      <c r="F19" s="197"/>
      <c r="G19" s="196"/>
      <c r="H19" s="203"/>
    </row>
    <row r="20" spans="1:8" ht="14.25" x14ac:dyDescent="0.2">
      <c r="A20" s="48"/>
      <c r="B20" s="198" t="s">
        <v>198</v>
      </c>
      <c r="C20" s="109"/>
      <c r="D20" s="110"/>
      <c r="E20" s="109"/>
      <c r="F20" s="110"/>
      <c r="G20" s="109"/>
      <c r="H20" s="202"/>
    </row>
    <row r="21" spans="1:8" ht="15" x14ac:dyDescent="0.25">
      <c r="A21" s="59">
        <v>631</v>
      </c>
      <c r="B21" s="62" t="s">
        <v>189</v>
      </c>
      <c r="C21" s="19">
        <f>'Dados DFC_DVA'!C21*'Dados BP'!C5</f>
        <v>0</v>
      </c>
      <c r="D21" s="83">
        <f t="shared" ref="D21:D27" si="1">IF(C21=0,0,C21/C$27*100)</f>
        <v>0</v>
      </c>
      <c r="E21" s="2">
        <f>'Dados DFC_DVA'!E21*'Dados BP'!E5</f>
        <v>0</v>
      </c>
      <c r="F21" s="83">
        <f t="shared" ref="F21:F27" si="2">IF(E21=0,0,E21/E$27*100)</f>
        <v>0</v>
      </c>
      <c r="G21" s="2">
        <f>'Dados DFC_DVA'!G21*'Dados BP'!G5</f>
        <v>0</v>
      </c>
      <c r="H21" s="113">
        <f t="shared" ref="H21:H27" si="3">IF(G21=0,0,G21/G$27*100)</f>
        <v>0</v>
      </c>
    </row>
    <row r="22" spans="1:8" ht="15" x14ac:dyDescent="0.25">
      <c r="A22" s="59">
        <v>632</v>
      </c>
      <c r="B22" s="62" t="s">
        <v>284</v>
      </c>
      <c r="C22" s="19">
        <f>'Dados DFC_DVA'!C22*'Dados BP'!C4</f>
        <v>0</v>
      </c>
      <c r="D22" s="83">
        <f>IF(C22=0,0,C22/C$27*100)</f>
        <v>0</v>
      </c>
      <c r="E22" s="2">
        <f>'Dados DFC_DVA'!E22*'Dados BP'!E4</f>
        <v>0</v>
      </c>
      <c r="F22" s="83">
        <f>IF(E22=0,0,E22/E$27*100)</f>
        <v>0</v>
      </c>
      <c r="G22" s="2">
        <f>'Dados DFC_DVA'!G22*'Dados BP'!G4</f>
        <v>0</v>
      </c>
      <c r="H22" s="113">
        <f>IF(G22=0,0,G22/G$27*100)</f>
        <v>0</v>
      </c>
    </row>
    <row r="23" spans="1:8" ht="15" x14ac:dyDescent="0.25">
      <c r="A23" s="59">
        <v>633</v>
      </c>
      <c r="B23" s="62" t="s">
        <v>292</v>
      </c>
      <c r="C23" s="19">
        <f>'Dados DFC_DVA'!C23*'Dados BP'!C5</f>
        <v>0</v>
      </c>
      <c r="D23" s="83">
        <f t="shared" si="1"/>
        <v>0</v>
      </c>
      <c r="E23" s="2">
        <f>'Dados DFC_DVA'!E23*'Dados BP'!E5</f>
        <v>0</v>
      </c>
      <c r="F23" s="83">
        <f t="shared" si="2"/>
        <v>0</v>
      </c>
      <c r="G23" s="2">
        <f>'Dados DFC_DVA'!G23*'Dados BP'!G5</f>
        <v>0</v>
      </c>
      <c r="H23" s="113">
        <f t="shared" si="3"/>
        <v>0</v>
      </c>
    </row>
    <row r="24" spans="1:8" ht="15" x14ac:dyDescent="0.25">
      <c r="A24" s="59">
        <v>634</v>
      </c>
      <c r="B24" s="62" t="s">
        <v>200</v>
      </c>
      <c r="C24" s="19">
        <f>'Dados DFC_DVA'!C24*'Dados BP'!C5</f>
        <v>-280732</v>
      </c>
      <c r="D24" s="83">
        <f t="shared" si="1"/>
        <v>9.2121990133208911</v>
      </c>
      <c r="E24" s="2">
        <f>'Dados DFC_DVA'!E24*'Dados BP'!E5</f>
        <v>0</v>
      </c>
      <c r="F24" s="83">
        <f t="shared" si="2"/>
        <v>0</v>
      </c>
      <c r="G24" s="2">
        <f>'Dados DFC_DVA'!G24*'Dados BP'!G5</f>
        <v>-423468</v>
      </c>
      <c r="H24" s="113">
        <f t="shared" si="3"/>
        <v>10.391123469616611</v>
      </c>
    </row>
    <row r="25" spans="1:8" ht="15" x14ac:dyDescent="0.25">
      <c r="A25" s="59">
        <v>635</v>
      </c>
      <c r="B25" s="61" t="s">
        <v>190</v>
      </c>
      <c r="C25" s="19">
        <f>'Dados DFC_DVA'!C25*'Dados BP'!C5</f>
        <v>-2766623</v>
      </c>
      <c r="D25" s="83">
        <f t="shared" si="1"/>
        <v>90.786521204675211</v>
      </c>
      <c r="E25" s="2">
        <f>'Dados DFC_DVA'!E25*'Dados BP'!E5</f>
        <v>-2946469</v>
      </c>
      <c r="F25" s="83">
        <f t="shared" si="2"/>
        <v>100</v>
      </c>
      <c r="G25" s="2">
        <f>'Dados DFC_DVA'!G25*'Dados BP'!G5</f>
        <v>-3330640</v>
      </c>
      <c r="H25" s="113">
        <f t="shared" si="3"/>
        <v>81.727760947329827</v>
      </c>
    </row>
    <row r="26" spans="1:8" ht="15" x14ac:dyDescent="0.25">
      <c r="A26" s="59">
        <v>636</v>
      </c>
      <c r="B26" s="62" t="s">
        <v>201</v>
      </c>
      <c r="C26" s="19">
        <f>'Dados DFC_DVA'!C26*'Dados BP'!C5</f>
        <v>-39</v>
      </c>
      <c r="D26" s="83">
        <f t="shared" si="1"/>
        <v>1.2797820039023506E-3</v>
      </c>
      <c r="E26" s="2">
        <f>'Dados DFC_DVA'!E26*'Dados BP'!E5</f>
        <v>0</v>
      </c>
      <c r="F26" s="83">
        <f t="shared" si="2"/>
        <v>0</v>
      </c>
      <c r="G26" s="2">
        <f>'Dados DFC_DVA'!G26*'Dados BP'!G5</f>
        <v>-321178</v>
      </c>
      <c r="H26" s="86">
        <f t="shared" si="3"/>
        <v>7.8811155830535577</v>
      </c>
    </row>
    <row r="27" spans="1:8" ht="14.25" x14ac:dyDescent="0.2">
      <c r="A27" s="94">
        <v>63</v>
      </c>
      <c r="B27" s="68" t="s">
        <v>202</v>
      </c>
      <c r="C27" s="91">
        <f>SUM(C21:C26)</f>
        <v>-3047394</v>
      </c>
      <c r="D27" s="112">
        <f t="shared" si="1"/>
        <v>100</v>
      </c>
      <c r="E27" s="91">
        <f>SUM(E21:E26)</f>
        <v>-2946469</v>
      </c>
      <c r="F27" s="112">
        <f t="shared" si="2"/>
        <v>100</v>
      </c>
      <c r="G27" s="91">
        <f>SUM(G21:G26)</f>
        <v>-4075286</v>
      </c>
      <c r="H27" s="112">
        <f t="shared" si="3"/>
        <v>100</v>
      </c>
    </row>
    <row r="28" spans="1:8" ht="15" x14ac:dyDescent="0.25">
      <c r="A28" s="59"/>
      <c r="B28" s="61"/>
      <c r="C28" s="2"/>
      <c r="D28" s="22"/>
      <c r="E28" s="2"/>
      <c r="F28" s="22"/>
      <c r="G28" s="2"/>
      <c r="H28" s="38"/>
    </row>
    <row r="29" spans="1:8" ht="14.25" x14ac:dyDescent="0.2">
      <c r="A29" s="94">
        <v>64</v>
      </c>
      <c r="B29" s="204" t="s">
        <v>203</v>
      </c>
      <c r="C29" s="91">
        <f>C11+C18+C27</f>
        <v>-2051263</v>
      </c>
      <c r="D29" s="92"/>
      <c r="E29" s="91">
        <f>E11+E18+E27</f>
        <v>-3930665</v>
      </c>
      <c r="F29" s="92"/>
      <c r="G29" s="91">
        <f>G11+G18+G27</f>
        <v>-3137979</v>
      </c>
      <c r="H29" s="117"/>
    </row>
    <row r="32" spans="1:8" ht="15.75" x14ac:dyDescent="0.25">
      <c r="A32" s="185" t="s">
        <v>191</v>
      </c>
      <c r="B32" s="185"/>
      <c r="C32" s="189"/>
      <c r="D32" s="185"/>
      <c r="E32" s="189"/>
      <c r="F32" s="185"/>
      <c r="G32" s="189"/>
      <c r="H32" s="189"/>
    </row>
    <row r="33" spans="1:8" ht="15.75" x14ac:dyDescent="0.25">
      <c r="A33" s="15"/>
      <c r="B33" s="15"/>
      <c r="C33" s="33"/>
      <c r="D33" s="15"/>
      <c r="E33" s="33"/>
      <c r="F33" s="17" t="s">
        <v>1</v>
      </c>
      <c r="G33" s="33"/>
      <c r="H33" s="33"/>
    </row>
    <row r="34" spans="1:8" ht="14.25" x14ac:dyDescent="0.2">
      <c r="A34" s="48"/>
      <c r="B34" s="49" t="s">
        <v>2</v>
      </c>
      <c r="C34" s="50">
        <f>C5</f>
        <v>2010</v>
      </c>
      <c r="D34" s="51"/>
      <c r="E34" s="50">
        <f>E5</f>
        <v>2009</v>
      </c>
      <c r="F34" s="51"/>
      <c r="G34" s="50">
        <f>G5</f>
        <v>2008</v>
      </c>
      <c r="H34" s="201"/>
    </row>
    <row r="35" spans="1:8" ht="15" x14ac:dyDescent="0.25">
      <c r="A35" s="53"/>
      <c r="B35" s="54" t="s">
        <v>4</v>
      </c>
      <c r="C35" s="55" t="s">
        <v>5</v>
      </c>
      <c r="D35" s="56"/>
      <c r="E35" s="55" t="s">
        <v>5</v>
      </c>
      <c r="F35" s="56"/>
      <c r="G35" s="57" t="s">
        <v>5</v>
      </c>
      <c r="H35" s="115"/>
    </row>
    <row r="36" spans="1:8" ht="14.25" x14ac:dyDescent="0.2">
      <c r="A36" s="94">
        <v>71</v>
      </c>
      <c r="B36" s="68" t="s">
        <v>287</v>
      </c>
      <c r="C36" s="91">
        <f>'Dados DFC_DVA'!C36*'Dados BP'!C5</f>
        <v>9751499</v>
      </c>
      <c r="D36" s="112">
        <f t="shared" ref="D36:D42" si="4">IF(C36=0,0,C36/C$36*100)</f>
        <v>100</v>
      </c>
      <c r="E36" s="91">
        <f>'Dados DFC_DVA'!E36*'Dados BP'!E5</f>
        <v>11324311</v>
      </c>
      <c r="F36" s="112">
        <f t="shared" ref="F36:F42" si="5">IF(E36=0,0,E36/E$36*100)</f>
        <v>100</v>
      </c>
      <c r="G36" s="91">
        <f>'Dados DFC_DVA'!G36*'Dados BP'!G5</f>
        <v>12300898</v>
      </c>
      <c r="H36" s="112">
        <f t="shared" ref="H36:H42" si="6">IF(G36=0,0,G36/G$36*100)</f>
        <v>100</v>
      </c>
    </row>
    <row r="37" spans="1:8" ht="15" x14ac:dyDescent="0.25">
      <c r="A37" s="64">
        <v>711</v>
      </c>
      <c r="B37" s="215" t="s">
        <v>205</v>
      </c>
      <c r="C37" s="19">
        <f>'Dados DFC_DVA'!C37*'Dados BP'!C5</f>
        <v>-6907684</v>
      </c>
      <c r="D37" s="114">
        <f t="shared" si="4"/>
        <v>-70.837150267871635</v>
      </c>
      <c r="E37" s="19">
        <f>'Dados DFC_DVA'!E37*'Dados BP'!E5</f>
        <v>-8208348</v>
      </c>
      <c r="F37" s="114">
        <f t="shared" si="5"/>
        <v>-72.484303901579523</v>
      </c>
      <c r="G37" s="19">
        <f>'Dados DFC_DVA'!G37*'Dados BP'!G5</f>
        <v>-9303689</v>
      </c>
      <c r="H37" s="114">
        <f t="shared" si="6"/>
        <v>-75.634226054065323</v>
      </c>
    </row>
    <row r="38" spans="1:8" ht="14.25" x14ac:dyDescent="0.2">
      <c r="A38" s="94">
        <v>72</v>
      </c>
      <c r="B38" s="216" t="s">
        <v>192</v>
      </c>
      <c r="C38" s="91">
        <f>C36+C37</f>
        <v>2843815</v>
      </c>
      <c r="D38" s="117">
        <f t="shared" si="4"/>
        <v>29.162849732128365</v>
      </c>
      <c r="E38" s="91">
        <f>E36+E37</f>
        <v>3115963</v>
      </c>
      <c r="F38" s="112">
        <f t="shared" si="5"/>
        <v>27.515696098420467</v>
      </c>
      <c r="G38" s="91">
        <f>G36+G37</f>
        <v>2997209</v>
      </c>
      <c r="H38" s="112">
        <f t="shared" si="6"/>
        <v>24.365773945934681</v>
      </c>
    </row>
    <row r="39" spans="1:8" ht="15" x14ac:dyDescent="0.25">
      <c r="A39" s="64">
        <v>721</v>
      </c>
      <c r="B39" s="215" t="s">
        <v>206</v>
      </c>
      <c r="C39" s="19">
        <f>'Dados DFC_DVA'!C39*'Dados BP'!C5</f>
        <v>-383595</v>
      </c>
      <c r="D39" s="114">
        <f t="shared" si="4"/>
        <v>-3.9337029107012165</v>
      </c>
      <c r="E39" s="19">
        <f>'Dados DFC_DVA'!E39*'Dados BP'!E5</f>
        <v>-452148</v>
      </c>
      <c r="F39" s="114">
        <f t="shared" si="5"/>
        <v>-3.9927197336773954</v>
      </c>
      <c r="G39" s="19">
        <f>'Dados DFC_DVA'!G39*'Dados BP'!G5</f>
        <v>-227574</v>
      </c>
      <c r="H39" s="114">
        <f t="shared" si="6"/>
        <v>-1.8500600525262465</v>
      </c>
    </row>
    <row r="40" spans="1:8" ht="14.25" x14ac:dyDescent="0.2">
      <c r="A40" s="94">
        <v>73</v>
      </c>
      <c r="B40" s="216" t="s">
        <v>193</v>
      </c>
      <c r="C40" s="91">
        <f>C38+C39</f>
        <v>2460220</v>
      </c>
      <c r="D40" s="112">
        <f t="shared" si="4"/>
        <v>25.229146821427147</v>
      </c>
      <c r="E40" s="91">
        <f>E38+E39</f>
        <v>2663815</v>
      </c>
      <c r="F40" s="112">
        <f t="shared" si="5"/>
        <v>23.522976364743073</v>
      </c>
      <c r="G40" s="91">
        <f>G38+G39</f>
        <v>2769635</v>
      </c>
      <c r="H40" s="112">
        <f t="shared" si="6"/>
        <v>22.515713893408432</v>
      </c>
    </row>
    <row r="41" spans="1:8" ht="15" x14ac:dyDescent="0.25">
      <c r="A41" s="59">
        <v>731</v>
      </c>
      <c r="B41" s="61" t="s">
        <v>288</v>
      </c>
      <c r="C41" s="19">
        <f>'Dados DFC_DVA'!C41*'Dados BP'!C5</f>
        <v>246826</v>
      </c>
      <c r="D41" s="83">
        <f t="shared" si="4"/>
        <v>2.5311595683904597</v>
      </c>
      <c r="E41" s="19">
        <f>'Dados DFC_DVA'!E41*'Dados BP'!E5</f>
        <v>302771</v>
      </c>
      <c r="F41" s="114">
        <f t="shared" si="5"/>
        <v>2.6736372747092516</v>
      </c>
      <c r="G41" s="19">
        <f>'Dados DFC_DVA'!G41*'Dados BP'!G5</f>
        <v>188942</v>
      </c>
      <c r="H41" s="86">
        <f t="shared" si="6"/>
        <v>1.5360016805277144</v>
      </c>
    </row>
    <row r="42" spans="1:8" ht="14.25" x14ac:dyDescent="0.2">
      <c r="A42" s="94">
        <v>74</v>
      </c>
      <c r="B42" s="68" t="s">
        <v>207</v>
      </c>
      <c r="C42" s="91">
        <f>C40+C41</f>
        <v>2707046</v>
      </c>
      <c r="D42" s="112">
        <f t="shared" si="4"/>
        <v>27.760306389817607</v>
      </c>
      <c r="E42" s="91">
        <f>E40+E41</f>
        <v>2966586</v>
      </c>
      <c r="F42" s="112">
        <f t="shared" si="5"/>
        <v>26.196613639452327</v>
      </c>
      <c r="G42" s="91">
        <f>G40+G41</f>
        <v>2958577</v>
      </c>
      <c r="H42" s="112">
        <f t="shared" si="6"/>
        <v>24.051715573936146</v>
      </c>
    </row>
    <row r="43" spans="1:8" ht="15" x14ac:dyDescent="0.25">
      <c r="A43" s="64"/>
      <c r="B43" s="200"/>
      <c r="C43" s="196"/>
      <c r="D43" s="197"/>
      <c r="E43" s="196"/>
      <c r="F43" s="197"/>
      <c r="G43" s="196"/>
      <c r="H43" s="203"/>
    </row>
    <row r="44" spans="1:8" ht="14.25" x14ac:dyDescent="0.2">
      <c r="A44" s="94">
        <v>75</v>
      </c>
      <c r="B44" s="68" t="s">
        <v>214</v>
      </c>
      <c r="C44" s="91">
        <f>SUM(C45:C50)</f>
        <v>2707045</v>
      </c>
      <c r="D44" s="112">
        <f t="shared" ref="D44:D50" si="7">IF(C44=0,0,C44/-C$44*100)</f>
        <v>-100</v>
      </c>
      <c r="E44" s="91">
        <f>SUM(E45:E50)</f>
        <v>2966586</v>
      </c>
      <c r="F44" s="112">
        <f t="shared" ref="F44:F50" si="8">IF(E44=0,0,E44/-E$44*100)</f>
        <v>-100</v>
      </c>
      <c r="G44" s="91">
        <f>SUM(G45:G50)</f>
        <v>2958577</v>
      </c>
      <c r="H44" s="112">
        <f t="shared" ref="H44:H50" si="9">IF(G44=0,0,G44/-G$44*100)</f>
        <v>-100</v>
      </c>
    </row>
    <row r="45" spans="1:8" ht="15" x14ac:dyDescent="0.25">
      <c r="A45" s="59">
        <v>751</v>
      </c>
      <c r="B45" s="62" t="s">
        <v>208</v>
      </c>
      <c r="C45" s="19">
        <f>'Dados DFC_DVA'!C45*'Dados BP'!C5</f>
        <v>1359157</v>
      </c>
      <c r="D45" s="83">
        <f t="shared" si="7"/>
        <v>-50.208142088513483</v>
      </c>
      <c r="E45" s="19">
        <f>'Dados DFC_DVA'!E45*'Dados BP'!E5</f>
        <v>1467619</v>
      </c>
      <c r="F45" s="83">
        <f t="shared" si="8"/>
        <v>-49.471648554938234</v>
      </c>
      <c r="G45" s="19">
        <f>'Dados DFC_DVA'!G45*'Dados BP'!G5</f>
        <v>1526710</v>
      </c>
      <c r="H45" s="113">
        <f t="shared" si="9"/>
        <v>-51.602848261174202</v>
      </c>
    </row>
    <row r="46" spans="1:8" ht="15" x14ac:dyDescent="0.25">
      <c r="A46" s="59">
        <v>752</v>
      </c>
      <c r="B46" s="62" t="s">
        <v>209</v>
      </c>
      <c r="C46" s="19">
        <f>'Dados DFC_DVA'!C46*'Dados BP'!$C5</f>
        <v>503716</v>
      </c>
      <c r="D46" s="83">
        <f t="shared" si="7"/>
        <v>-18.607596105716752</v>
      </c>
      <c r="E46" s="19">
        <f>'Dados DFC_DVA'!E46*'Dados BP'!$C5</f>
        <v>119289</v>
      </c>
      <c r="F46" s="83">
        <f t="shared" si="8"/>
        <v>-4.0210868655080283</v>
      </c>
      <c r="G46" s="19">
        <f>'Dados DFC_DVA'!G46*'Dados BP'!$C5</f>
        <v>549447</v>
      </c>
      <c r="H46" s="113">
        <f t="shared" si="9"/>
        <v>-18.571326688472194</v>
      </c>
    </row>
    <row r="47" spans="1:8" ht="15" x14ac:dyDescent="0.25">
      <c r="A47" s="59">
        <v>753</v>
      </c>
      <c r="B47" s="62" t="s">
        <v>210</v>
      </c>
      <c r="C47" s="19">
        <f>'Dados DFC_DVA'!C47*'Dados BP'!$C5</f>
        <v>243994</v>
      </c>
      <c r="D47" s="83">
        <f t="shared" si="7"/>
        <v>-9.0132967867176195</v>
      </c>
      <c r="E47" s="19">
        <f>'Dados DFC_DVA'!E47*'Dados BP'!$C5</f>
        <v>442408</v>
      </c>
      <c r="F47" s="83">
        <f t="shared" si="8"/>
        <v>-14.913034713977616</v>
      </c>
      <c r="G47" s="19">
        <f>'Dados DFC_DVA'!G47*'Dados BP'!$C5</f>
        <v>434377</v>
      </c>
      <c r="H47" s="113">
        <f t="shared" si="9"/>
        <v>-14.68195690022602</v>
      </c>
    </row>
    <row r="48" spans="1:8" ht="15" x14ac:dyDescent="0.25">
      <c r="A48" s="59">
        <v>754</v>
      </c>
      <c r="B48" s="62" t="s">
        <v>211</v>
      </c>
      <c r="C48" s="19">
        <f>'Dados DFC_DVA'!C48*'Dados BP'!$C5</f>
        <v>155728</v>
      </c>
      <c r="D48" s="83">
        <f t="shared" si="7"/>
        <v>-5.7526934350925085</v>
      </c>
      <c r="E48" s="19">
        <f>'Dados DFC_DVA'!E48*'Dados BP'!$C5</f>
        <v>228880</v>
      </c>
      <c r="F48" s="83">
        <f t="shared" si="8"/>
        <v>-7.7152659656588423</v>
      </c>
      <c r="G48" s="19">
        <f>'Dados DFC_DVA'!G48*'Dados BP'!$C5</f>
        <v>224210</v>
      </c>
      <c r="H48" s="113">
        <f t="shared" si="9"/>
        <v>-7.5783053812694412</v>
      </c>
    </row>
    <row r="49" spans="1:8" ht="15" x14ac:dyDescent="0.25">
      <c r="A49" s="59">
        <v>755</v>
      </c>
      <c r="B49" s="62" t="s">
        <v>212</v>
      </c>
      <c r="C49" s="19">
        <f>'Dados DFC_DVA'!C49*'Dados BP'!$C5</f>
        <v>26586</v>
      </c>
      <c r="D49" s="83">
        <f t="shared" si="7"/>
        <v>-0.98210410244380864</v>
      </c>
      <c r="E49" s="19">
        <f>'Dados DFC_DVA'!E49*'Dados BP'!$C5</f>
        <v>25177</v>
      </c>
      <c r="F49" s="83">
        <f t="shared" si="8"/>
        <v>-0.84868599797882149</v>
      </c>
      <c r="G49" s="19">
        <f>'Dados DFC_DVA'!G49*'Dados BP'!$C5</f>
        <v>19293</v>
      </c>
      <c r="H49" s="113">
        <f t="shared" si="9"/>
        <v>-0.65210403514933024</v>
      </c>
    </row>
    <row r="50" spans="1:8" ht="15" x14ac:dyDescent="0.25">
      <c r="A50" s="53">
        <v>756</v>
      </c>
      <c r="B50" s="63" t="s">
        <v>213</v>
      </c>
      <c r="C50" s="228">
        <f>'Dados DFC_DVA'!C50*'Dados BP'!$C5</f>
        <v>417864</v>
      </c>
      <c r="D50" s="83">
        <f t="shared" si="7"/>
        <v>-15.436167481515822</v>
      </c>
      <c r="E50" s="228">
        <f>'Dados DFC_DVA'!E50*'Dados BP'!$C5</f>
        <v>683213</v>
      </c>
      <c r="F50" s="83">
        <f t="shared" si="8"/>
        <v>-23.030277901938454</v>
      </c>
      <c r="G50" s="228">
        <f>'Dados DFC_DVA'!G50*'Dados BP'!$C5</f>
        <v>204540</v>
      </c>
      <c r="H50" s="86">
        <f t="shared" si="9"/>
        <v>-6.913458733708806</v>
      </c>
    </row>
    <row r="51" spans="1:8" x14ac:dyDescent="0.2">
      <c r="D51" s="205"/>
      <c r="F51" s="205"/>
      <c r="H51" s="205"/>
    </row>
  </sheetData>
  <sheetProtection password="C40E" sheet="1"/>
  <phoneticPr fontId="0" type="noConversion"/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1"/>
  <sheetViews>
    <sheetView topLeftCell="A34" workbookViewId="0">
      <selection activeCell="C36" sqref="C36"/>
    </sheetView>
  </sheetViews>
  <sheetFormatPr defaultRowHeight="12.75" x14ac:dyDescent="0.2"/>
  <cols>
    <col min="1" max="1" width="7" customWidth="1"/>
    <col min="2" max="2" width="30.83203125" customWidth="1"/>
    <col min="3" max="3" width="14.83203125" customWidth="1"/>
    <col min="4" max="4" width="8.83203125" customWidth="1"/>
    <col min="5" max="5" width="14.83203125" customWidth="1"/>
    <col min="6" max="6" width="8.83203125" customWidth="1"/>
    <col min="7" max="7" width="14.83203125" customWidth="1"/>
    <col min="8" max="8" width="8.83203125" customWidth="1"/>
  </cols>
  <sheetData>
    <row r="1" spans="1:8" ht="15.75" x14ac:dyDescent="0.25">
      <c r="A1" s="15" t="str">
        <f>BP_AV!A2</f>
        <v>EMPRESA : EMBRAER S.A.</v>
      </c>
      <c r="B1" s="13"/>
      <c r="C1" s="30"/>
      <c r="D1" s="13"/>
      <c r="E1" s="30"/>
      <c r="F1" s="13"/>
      <c r="G1" s="30"/>
      <c r="H1" s="30"/>
    </row>
    <row r="2" spans="1:8" ht="15.75" x14ac:dyDescent="0.25">
      <c r="A2" s="31"/>
      <c r="C2" s="32"/>
      <c r="E2" s="32"/>
      <c r="G2" s="32"/>
      <c r="H2" s="32"/>
    </row>
    <row r="3" spans="1:8" ht="15.75" x14ac:dyDescent="0.25">
      <c r="A3" s="185" t="s">
        <v>184</v>
      </c>
      <c r="B3" s="185"/>
      <c r="C3" s="189"/>
      <c r="D3" s="185"/>
      <c r="E3" s="189"/>
      <c r="F3" s="185"/>
      <c r="G3" s="189"/>
      <c r="H3" s="189"/>
    </row>
    <row r="4" spans="1:8" ht="15.75" x14ac:dyDescent="0.25">
      <c r="A4" s="15"/>
      <c r="B4" s="15"/>
      <c r="C4" s="33"/>
      <c r="D4" s="15"/>
      <c r="E4" s="33"/>
      <c r="F4" s="17" t="s">
        <v>1</v>
      </c>
      <c r="G4" s="33"/>
      <c r="H4" s="33"/>
    </row>
    <row r="5" spans="1:8" ht="14.25" x14ac:dyDescent="0.2">
      <c r="A5" s="48"/>
      <c r="B5" s="49" t="s">
        <v>2</v>
      </c>
      <c r="C5" s="50">
        <f>BP_AV!C6</f>
        <v>2010</v>
      </c>
      <c r="D5" s="51" t="s">
        <v>3</v>
      </c>
      <c r="E5" s="50">
        <f>BP_AV!E6</f>
        <v>2009</v>
      </c>
      <c r="F5" s="51" t="s">
        <v>3</v>
      </c>
      <c r="G5" s="50">
        <f>BP_AV!G6</f>
        <v>2008</v>
      </c>
      <c r="H5" s="51" t="s">
        <v>3</v>
      </c>
    </row>
    <row r="6" spans="1:8" ht="15" x14ac:dyDescent="0.25">
      <c r="A6" s="53"/>
      <c r="B6" s="54" t="s">
        <v>4</v>
      </c>
      <c r="C6" s="55" t="s">
        <v>5</v>
      </c>
      <c r="D6" s="119" t="s">
        <v>146</v>
      </c>
      <c r="E6" s="55" t="s">
        <v>5</v>
      </c>
      <c r="F6" s="208" t="s">
        <v>146</v>
      </c>
      <c r="G6" s="57" t="s">
        <v>5</v>
      </c>
      <c r="H6" s="119" t="s">
        <v>146</v>
      </c>
    </row>
    <row r="7" spans="1:8" ht="14.25" x14ac:dyDescent="0.2">
      <c r="A7" s="48"/>
      <c r="B7" s="198" t="s">
        <v>185</v>
      </c>
      <c r="C7" s="109"/>
      <c r="D7" s="110"/>
      <c r="E7" s="206"/>
      <c r="F7" s="209"/>
      <c r="G7" s="207"/>
      <c r="H7" s="202"/>
    </row>
    <row r="8" spans="1:8" ht="15" x14ac:dyDescent="0.25">
      <c r="A8" s="59">
        <v>611</v>
      </c>
      <c r="B8" s="62" t="s">
        <v>195</v>
      </c>
      <c r="C8" s="19">
        <f>'Dados DFC_DVA'!C8*'Dados BP'!C5</f>
        <v>600178</v>
      </c>
      <c r="D8" s="113">
        <f>IF(G8&gt;0,(C8-G8)/ABS(G8)*100+100,IF(G8&lt;0,(C8-G8)/ABS(G8)*100-100,IF(G8=0,((C8+1)/ABS(C8+1))*100,0)))</f>
        <v>139.98320699708455</v>
      </c>
      <c r="E8" s="19">
        <f>'Dados DFC_DVA'!E8*'Dados BP'!E5</f>
        <v>937271</v>
      </c>
      <c r="F8" s="113">
        <f>IF(G8&gt;0,(E8-G8)/ABS(G8)*100+100,IF(G8&lt;0,(E8-G8)/ABS(G8)*100-100,IF(G8=0,((E8+1)/ABS(E8+1))*100,0)))</f>
        <v>218.60548104956268</v>
      </c>
      <c r="G8" s="19">
        <f>'Dados DFC_DVA'!G8*'Dados BP'!G5</f>
        <v>428750</v>
      </c>
      <c r="H8" s="113">
        <f>IF(G8&gt;=0,100,-100)</f>
        <v>100</v>
      </c>
    </row>
    <row r="9" spans="1:8" ht="15" x14ac:dyDescent="0.25">
      <c r="A9" s="59">
        <v>612</v>
      </c>
      <c r="B9" s="62" t="s">
        <v>204</v>
      </c>
      <c r="C9" s="19">
        <f>'Dados DFC_DVA'!C9*'Dados BP'!C5</f>
        <v>568832</v>
      </c>
      <c r="D9" s="113">
        <f>IF(G9&gt;0,(C9-G9)/ABS(G9)*100+100,IF(G9&lt;0,(C9-G9)/ABS(G9)*100-100,IF(G9=0,((C9+1)/ABS(C9+1))*100,0)))</f>
        <v>103.59917678984465</v>
      </c>
      <c r="E9" s="19">
        <f>'Dados DFC_DVA'!E9*'Dados BP'!E5</f>
        <v>371418</v>
      </c>
      <c r="F9" s="113">
        <f>IF(G9&gt;0,(E9-G9)/ABS(G9)*100+100,IF(G9&lt;0,(E9-G9)/ABS(G9)*100-100,IF(G9=0,((E9+1)/ABS(E9+1))*100,0)))</f>
        <v>67.64492687635456</v>
      </c>
      <c r="G9" s="19">
        <f>'Dados DFC_DVA'!G9*'Dados BP'!G5</f>
        <v>549070</v>
      </c>
      <c r="H9" s="113">
        <f>IF(G9&gt;=0,100,-100)</f>
        <v>100</v>
      </c>
    </row>
    <row r="10" spans="1:8" ht="15" x14ac:dyDescent="0.25">
      <c r="A10" s="59">
        <v>613</v>
      </c>
      <c r="B10" s="61" t="s">
        <v>194</v>
      </c>
      <c r="C10" s="19">
        <f>'Dados DFC_DVA'!C10*'Dados BP'!C5</f>
        <v>332532</v>
      </c>
      <c r="D10" s="113">
        <f>IF(G10&gt;0,(C10-G10)/ABS(G10)*100+100,IF(G10&lt;0,(C10-G10)/ABS(G10)*100-100,IF(G10=0,((C10+1)/ABS(C10+1))*100,0)))</f>
        <v>35.26731644200278</v>
      </c>
      <c r="E10" s="19">
        <f>'Dados DFC_DVA'!E10*'Dados BP'!E5</f>
        <v>-1512812</v>
      </c>
      <c r="F10" s="113">
        <f>IF(G10&gt;0,(E10-G10)/ABS(G10)*100+100,IF(G10&lt;0,(E10-G10)/ABS(G10)*100-100,IF(G10=0,((E10+1)/ABS(E10+1))*100,0)))</f>
        <v>-160.44416633965784</v>
      </c>
      <c r="G10" s="19">
        <f>'Dados DFC_DVA'!G10*'Dados BP'!G5</f>
        <v>942890</v>
      </c>
      <c r="H10" s="113">
        <f>IF(G10&gt;=0,100,-100)</f>
        <v>100</v>
      </c>
    </row>
    <row r="11" spans="1:8" ht="14.25" x14ac:dyDescent="0.2">
      <c r="A11" s="94">
        <v>61</v>
      </c>
      <c r="B11" s="68" t="s">
        <v>196</v>
      </c>
      <c r="C11" s="91">
        <f>SUM(C8:C10)</f>
        <v>1501542</v>
      </c>
      <c r="D11" s="112">
        <f>IF(G11&gt;0,(C11-G11)/ABS(G11)*100+100,IF(G11&lt;0,(C11-G11)/ABS(G11)*100-100,IF(G11=0,((C11+1)/ABS(C11+1))*100,0)))</f>
        <v>78.176403517449273</v>
      </c>
      <c r="E11" s="91">
        <f>SUM(E8:E10)</f>
        <v>-204123</v>
      </c>
      <c r="F11" s="112">
        <f>IF(G11&gt;0,(E11-G11)/ABS(G11)*100+100,IF(G11&lt;0,(E11-G11)/ABS(G11)*100-100,IF(G11=0,((E11+1)/ABS(E11+1))*100,0)))</f>
        <v>-10.627476297827371</v>
      </c>
      <c r="G11" s="91">
        <f>SUM(G8:G10)</f>
        <v>1920710</v>
      </c>
      <c r="H11" s="112">
        <f>IF(G11&gt;=0,100,-100)</f>
        <v>100</v>
      </c>
    </row>
    <row r="12" spans="1:8" ht="15" x14ac:dyDescent="0.25">
      <c r="A12" s="64"/>
      <c r="B12" s="200"/>
      <c r="C12" s="196"/>
      <c r="D12" s="197"/>
      <c r="E12" s="196"/>
      <c r="F12" s="197"/>
      <c r="G12" s="196"/>
      <c r="H12" s="203"/>
    </row>
    <row r="13" spans="1:8" ht="14.25" x14ac:dyDescent="0.2">
      <c r="A13" s="48"/>
      <c r="B13" s="198" t="s">
        <v>197</v>
      </c>
      <c r="C13" s="109"/>
      <c r="D13" s="110"/>
      <c r="E13" s="109"/>
      <c r="F13" s="110"/>
      <c r="G13" s="109"/>
      <c r="H13" s="202"/>
    </row>
    <row r="14" spans="1:8" ht="15" x14ac:dyDescent="0.25">
      <c r="A14" s="59">
        <v>621</v>
      </c>
      <c r="B14" s="62" t="s">
        <v>186</v>
      </c>
      <c r="C14" s="19">
        <f>'Dados DFC_DVA'!C14*'Dados BP'!C5</f>
        <v>0</v>
      </c>
      <c r="D14" s="113">
        <f>IF(G14&gt;0,(C14-G14)/ABS(G14)*100+100,IF(G14&lt;0,(C14-G14)/ABS(G14)*100-100,IF(G14=0,((C14+1)/ABS(C14+1))*100,0)))</f>
        <v>100</v>
      </c>
      <c r="E14" s="19">
        <f>'Dados DFC_DVA'!E14*'Dados BP'!E5</f>
        <v>0</v>
      </c>
      <c r="F14" s="113">
        <f>IF(G14&gt;0,(E14-G14)/ABS(G14)*100+100,IF(G14&lt;0,(E14-G14)/ABS(G14)*100-100,IF(G14=0,((E14+1)/ABS(E14+1))*100,0)))</f>
        <v>100</v>
      </c>
      <c r="G14" s="19">
        <f>'Dados DFC_DVA'!G14*'Dados BP'!G5</f>
        <v>0</v>
      </c>
      <c r="H14" s="113">
        <f>IF(G14&gt;=0,100,-100)</f>
        <v>100</v>
      </c>
    </row>
    <row r="15" spans="1:8" ht="15" x14ac:dyDescent="0.25">
      <c r="A15" s="59">
        <v>622</v>
      </c>
      <c r="B15" s="62" t="s">
        <v>187</v>
      </c>
      <c r="C15" s="19">
        <f>'Dados DFC_DVA'!C15*'Dados BP'!C5</f>
        <v>-209950</v>
      </c>
      <c r="D15" s="113">
        <f>IF(G15&gt;0,(C15-G15)/ABS(G15)*100+100,IF(G15&lt;0,(C15-G15)/ABS(G15)*100-100,IF(G15=0,((C15+1)/ABS(C15+1))*100,0)))</f>
        <v>-43.841606404904745</v>
      </c>
      <c r="E15" s="19">
        <f>'Dados DFC_DVA'!E15*'Dados BP'!E5</f>
        <v>-339492</v>
      </c>
      <c r="F15" s="113">
        <f>IF(G15&gt;0,(E15-G15)/ABS(G15)*100+100,IF(G15&lt;0,(E15-G15)/ABS(G15)*100-100,IF(G15=0,((E15+1)/ABS(E15+1))*100,0)))</f>
        <v>-70.892472691659549</v>
      </c>
      <c r="G15" s="19">
        <f>'Dados DFC_DVA'!G15*'Dados BP'!G5</f>
        <v>-478883</v>
      </c>
      <c r="H15" s="113">
        <f>IF(G15&gt;=0,100,-100)</f>
        <v>-100</v>
      </c>
    </row>
    <row r="16" spans="1:8" ht="15" x14ac:dyDescent="0.25">
      <c r="A16" s="59">
        <v>623</v>
      </c>
      <c r="B16" s="62" t="s">
        <v>188</v>
      </c>
      <c r="C16" s="19">
        <f>'Dados DFC_DVA'!C16*'Dados BP'!C5</f>
        <v>-313087</v>
      </c>
      <c r="D16" s="113">
        <f>IF(G16&gt;0,(C16-G16)/ABS(G16)*100+100,IF(G16&lt;0,(C16-G16)/ABS(G16)*100-100,IF(G16=0,((C16+1)/ABS(C16+1))*100,0)))</f>
        <v>-65.180288961985269</v>
      </c>
      <c r="E16" s="19">
        <f>'Dados DFC_DVA'!E16*'Dados BP'!E5</f>
        <v>-435115</v>
      </c>
      <c r="F16" s="113">
        <f>IF(G16&gt;0,(E16-G16)/ABS(G16)*100+100,IF(G16&lt;0,(E16-G16)/ABS(G16)*100-100,IF(G16=0,((E16+1)/ABS(E16+1))*100,0)))</f>
        <v>-90.584794104176211</v>
      </c>
      <c r="G16" s="19">
        <f>'Dados DFC_DVA'!G16*'Dados BP'!G5</f>
        <v>-480340</v>
      </c>
      <c r="H16" s="113">
        <f>IF(G16&gt;=0,100,-100)</f>
        <v>-100</v>
      </c>
    </row>
    <row r="17" spans="1:8" ht="15" x14ac:dyDescent="0.25">
      <c r="A17" s="59">
        <v>624</v>
      </c>
      <c r="B17" s="61" t="s">
        <v>283</v>
      </c>
      <c r="C17" s="19">
        <f>'Dados DFC_DVA'!C17*'Dados BP'!C5</f>
        <v>17626</v>
      </c>
      <c r="D17" s="113">
        <f>IF(G17&gt;0,(C17-G17)/ABS(G17)*100+100,IF(G17&lt;0,(C17-G17)/ABS(G17)*100-100,IF(G17=0,((C17+1)/ABS(C17+1))*100,0)))</f>
        <v>72.894954507857733</v>
      </c>
      <c r="E17" s="19">
        <f>'Dados DFC_DVA'!E17*'Dados BP'!E5</f>
        <v>-5466</v>
      </c>
      <c r="F17" s="113">
        <f>IF(G17&gt;0,(E17-G17)/ABS(G17)*100+100,IF(G17&lt;0,(E17-G17)/ABS(G17)*100-100,IF(G17=0,((E17+1)/ABS(E17+1))*100,0)))</f>
        <v>-22.605459057071968</v>
      </c>
      <c r="G17" s="19">
        <f>'Dados DFC_DVA'!G17*'Dados BP'!G5</f>
        <v>-24180</v>
      </c>
      <c r="H17" s="113">
        <f>IF(G17&gt;=0,100,-100)</f>
        <v>-100</v>
      </c>
    </row>
    <row r="18" spans="1:8" ht="14.25" x14ac:dyDescent="0.2">
      <c r="A18" s="94">
        <v>62</v>
      </c>
      <c r="B18" s="68" t="s">
        <v>199</v>
      </c>
      <c r="C18" s="91">
        <f>SUM(C14:C17)</f>
        <v>-505411</v>
      </c>
      <c r="D18" s="112">
        <f>IF(G18&gt;0,(C18-G18)/ABS(G18)*100+100,IF(G18&lt;0,(C18-G18)/ABS(G18)*100-100,IF(G18=0,((C18+1)/ABS(C18+1))*100,0)))</f>
        <v>-51.394087673110619</v>
      </c>
      <c r="E18" s="91">
        <f>SUM(E14:E17)</f>
        <v>-780073</v>
      </c>
      <c r="F18" s="112">
        <f>IF(G18&gt;0,(E18-G18)/ABS(G18)*100+100,IF(G18&lt;0,(E18-G18)/ABS(G18)*100-100,IF(G18=0,((E18+1)/ABS(E18+1))*100,0)))</f>
        <v>-79.323837734885899</v>
      </c>
      <c r="G18" s="91">
        <f>SUM(G14:G17)</f>
        <v>-983403</v>
      </c>
      <c r="H18" s="112">
        <f>IF(G18&gt;=0,100,-100)</f>
        <v>-100</v>
      </c>
    </row>
    <row r="19" spans="1:8" ht="15" x14ac:dyDescent="0.25">
      <c r="A19" s="64"/>
      <c r="B19" s="200"/>
      <c r="C19" s="196"/>
      <c r="D19" s="197"/>
      <c r="E19" s="196"/>
      <c r="F19" s="197"/>
      <c r="G19" s="196"/>
      <c r="H19" s="203"/>
    </row>
    <row r="20" spans="1:8" ht="14.25" x14ac:dyDescent="0.2">
      <c r="A20" s="48"/>
      <c r="B20" s="198" t="s">
        <v>198</v>
      </c>
      <c r="C20" s="109"/>
      <c r="D20" s="110"/>
      <c r="E20" s="109"/>
      <c r="F20" s="110"/>
      <c r="G20" s="109"/>
      <c r="H20" s="202"/>
    </row>
    <row r="21" spans="1:8" ht="15" x14ac:dyDescent="0.25">
      <c r="A21" s="59">
        <v>631</v>
      </c>
      <c r="B21" s="62" t="s">
        <v>189</v>
      </c>
      <c r="C21" s="19">
        <f>'Dados DFC_DVA'!C21*'Dados BP'!C5</f>
        <v>0</v>
      </c>
      <c r="D21" s="113">
        <f t="shared" ref="D21:D29" si="0">IF(G21&gt;0,(C21-G21)/ABS(G21)*100+100,IF(G21&lt;0,(C21-G21)/ABS(G21)*100-100,IF(G21=0,((C21+1)/ABS(C21+1))*100,0)))</f>
        <v>100</v>
      </c>
      <c r="E21" s="19">
        <f>'Dados DFC_DVA'!E21*'Dados BP'!E5</f>
        <v>0</v>
      </c>
      <c r="F21" s="113">
        <f t="shared" ref="F21:F29" si="1">IF(G21&gt;0,(E21-G21)/ABS(G21)*100+100,IF(G21&lt;0,(E21-G21)/ABS(G21)*100-100,IF(G21=0,((E21+1)/ABS(E21+1))*100,0)))</f>
        <v>100</v>
      </c>
      <c r="G21" s="19">
        <f>'Dados DFC_DVA'!G21*'Dados BP'!G5</f>
        <v>0</v>
      </c>
      <c r="H21" s="113">
        <f t="shared" ref="H21:H27" si="2">IF(G21&gt;=0,100,-100)</f>
        <v>100</v>
      </c>
    </row>
    <row r="22" spans="1:8" ht="15" x14ac:dyDescent="0.25">
      <c r="A22" s="59">
        <v>632</v>
      </c>
      <c r="B22" s="62" t="s">
        <v>284</v>
      </c>
      <c r="C22" s="19">
        <f>'Dados DFC_DVA'!C22*'Dados BP'!C4</f>
        <v>0</v>
      </c>
      <c r="D22" s="113">
        <f>IF(G22&gt;0,(C22-G22)/ABS(G22)*100+100,IF(G22&lt;0,(C22-G22)/ABS(G22)*100-100,IF(G22=0,((C22+1)/ABS(C22+1))*100,0)))</f>
        <v>100</v>
      </c>
      <c r="E22" s="19">
        <f>'Dados DFC_DVA'!E22*'Dados BP'!E4</f>
        <v>0</v>
      </c>
      <c r="F22" s="113">
        <f>IF(G22&gt;0,(E22-G22)/ABS(G22)*100+100,IF(G22&lt;0,(E22-G22)/ABS(G22)*100-100,IF(G22=0,((E22+1)/ABS(E22+1))*100,0)))</f>
        <v>100</v>
      </c>
      <c r="G22" s="19">
        <f>'Dados DFC_DVA'!G22*'Dados BP'!G4</f>
        <v>0</v>
      </c>
      <c r="H22" s="113">
        <f>IF(G22&gt;=0,100,-100)</f>
        <v>100</v>
      </c>
    </row>
    <row r="23" spans="1:8" ht="15" x14ac:dyDescent="0.25">
      <c r="A23" s="59">
        <v>633</v>
      </c>
      <c r="B23" s="62" t="s">
        <v>292</v>
      </c>
      <c r="C23" s="19">
        <f>'Dados DFC_DVA'!C23*'Dados BP'!C5</f>
        <v>0</v>
      </c>
      <c r="D23" s="113">
        <f t="shared" si="0"/>
        <v>100</v>
      </c>
      <c r="E23" s="19">
        <f>'Dados DFC_DVA'!E23*'Dados BP'!E5</f>
        <v>0</v>
      </c>
      <c r="F23" s="113">
        <f t="shared" si="1"/>
        <v>100</v>
      </c>
      <c r="G23" s="19">
        <f>'Dados DFC_DVA'!G23*'Dados BP'!G5</f>
        <v>0</v>
      </c>
      <c r="H23" s="113">
        <f t="shared" si="2"/>
        <v>100</v>
      </c>
    </row>
    <row r="24" spans="1:8" ht="15" x14ac:dyDescent="0.25">
      <c r="A24" s="59">
        <v>634</v>
      </c>
      <c r="B24" s="62" t="s">
        <v>200</v>
      </c>
      <c r="C24" s="19">
        <f>'Dados DFC_DVA'!C24*'Dados BP'!C5</f>
        <v>-280732</v>
      </c>
      <c r="D24" s="113">
        <f t="shared" si="0"/>
        <v>-66.293557010210918</v>
      </c>
      <c r="E24" s="19">
        <f>'Dados DFC_DVA'!E24*'Dados BP'!E5</f>
        <v>0</v>
      </c>
      <c r="F24" s="113">
        <f t="shared" si="1"/>
        <v>0</v>
      </c>
      <c r="G24" s="19">
        <f>'Dados DFC_DVA'!G24*'Dados BP'!G5</f>
        <v>-423468</v>
      </c>
      <c r="H24" s="113">
        <f t="shared" si="2"/>
        <v>-100</v>
      </c>
    </row>
    <row r="25" spans="1:8" ht="15" x14ac:dyDescent="0.25">
      <c r="A25" s="59">
        <v>635</v>
      </c>
      <c r="B25" s="61" t="s">
        <v>190</v>
      </c>
      <c r="C25" s="19">
        <f>'Dados DFC_DVA'!C25*'Dados BP'!C5</f>
        <v>-2766623</v>
      </c>
      <c r="D25" s="113">
        <f t="shared" si="0"/>
        <v>-83.065807172195136</v>
      </c>
      <c r="E25" s="19">
        <f>'Dados DFC_DVA'!E25*'Dados BP'!E5</f>
        <v>-2946469</v>
      </c>
      <c r="F25" s="113">
        <f t="shared" si="1"/>
        <v>-88.465550164532942</v>
      </c>
      <c r="G25" s="19">
        <f>'Dados DFC_DVA'!G25*'Dados BP'!G5</f>
        <v>-3330640</v>
      </c>
      <c r="H25" s="113">
        <f t="shared" si="2"/>
        <v>-100</v>
      </c>
    </row>
    <row r="26" spans="1:8" ht="15" x14ac:dyDescent="0.25">
      <c r="A26" s="59">
        <v>636</v>
      </c>
      <c r="B26" s="62" t="s">
        <v>201</v>
      </c>
      <c r="C26" s="19">
        <f>'Dados DFC_DVA'!C26*'Dados BP'!C5</f>
        <v>-39</v>
      </c>
      <c r="D26" s="113">
        <f t="shared" si="0"/>
        <v>-1.214279932000295E-2</v>
      </c>
      <c r="E26" s="19">
        <f>'Dados DFC_DVA'!E26*'Dados BP'!E5</f>
        <v>0</v>
      </c>
      <c r="F26" s="113">
        <f t="shared" si="1"/>
        <v>0</v>
      </c>
      <c r="G26" s="19">
        <f>'Dados DFC_DVA'!G26*'Dados BP'!G5</f>
        <v>-321178</v>
      </c>
      <c r="H26" s="113">
        <f t="shared" si="2"/>
        <v>-100</v>
      </c>
    </row>
    <row r="27" spans="1:8" ht="14.25" x14ac:dyDescent="0.2">
      <c r="A27" s="94">
        <v>63</v>
      </c>
      <c r="B27" s="68" t="s">
        <v>202</v>
      </c>
      <c r="C27" s="91">
        <f>SUM(C21:C26)</f>
        <v>-3047394</v>
      </c>
      <c r="D27" s="112">
        <f t="shared" si="0"/>
        <v>-74.777426664042721</v>
      </c>
      <c r="E27" s="91">
        <f>SUM(E21:E26)</f>
        <v>-2946469</v>
      </c>
      <c r="F27" s="112">
        <f t="shared" si="1"/>
        <v>-72.30091335920963</v>
      </c>
      <c r="G27" s="91">
        <f>SUM(G21:G26)</f>
        <v>-4075286</v>
      </c>
      <c r="H27" s="112">
        <f t="shared" si="2"/>
        <v>-100</v>
      </c>
    </row>
    <row r="28" spans="1:8" ht="15" x14ac:dyDescent="0.25">
      <c r="A28" s="59"/>
      <c r="B28" s="61"/>
      <c r="C28" s="2"/>
      <c r="D28" s="22"/>
      <c r="E28" s="2"/>
      <c r="F28" s="22"/>
      <c r="G28" s="2"/>
      <c r="H28" s="38"/>
    </row>
    <row r="29" spans="1:8" ht="14.25" x14ac:dyDescent="0.2">
      <c r="A29" s="94">
        <v>64</v>
      </c>
      <c r="B29" s="204" t="s">
        <v>203</v>
      </c>
      <c r="C29" s="91">
        <f>C11+C18+C27</f>
        <v>-2051263</v>
      </c>
      <c r="D29" s="112">
        <f t="shared" si="0"/>
        <v>-65.368920569576787</v>
      </c>
      <c r="E29" s="91">
        <f>E11+E18+E27</f>
        <v>-3930665</v>
      </c>
      <c r="F29" s="112">
        <f t="shared" si="1"/>
        <v>-125.26103584504548</v>
      </c>
      <c r="G29" s="91">
        <f>G11+G18+G27</f>
        <v>-3137979</v>
      </c>
      <c r="H29" s="112">
        <f>IF(G29&gt;=0,100,-100)</f>
        <v>-100</v>
      </c>
    </row>
    <row r="32" spans="1:8" ht="15.75" x14ac:dyDescent="0.25">
      <c r="A32" s="185" t="s">
        <v>191</v>
      </c>
      <c r="B32" s="185"/>
      <c r="C32" s="189"/>
      <c r="D32" s="185"/>
      <c r="E32" s="189"/>
      <c r="F32" s="185"/>
      <c r="G32" s="189"/>
      <c r="H32" s="189"/>
    </row>
    <row r="33" spans="1:8" ht="15.75" x14ac:dyDescent="0.25">
      <c r="A33" s="15"/>
      <c r="B33" s="15"/>
      <c r="C33" s="33"/>
      <c r="D33" s="15"/>
      <c r="E33" s="33"/>
      <c r="F33" s="17" t="s">
        <v>1</v>
      </c>
      <c r="G33" s="33"/>
      <c r="H33" s="33"/>
    </row>
    <row r="34" spans="1:8" ht="14.25" x14ac:dyDescent="0.2">
      <c r="A34" s="48"/>
      <c r="B34" s="49" t="s">
        <v>2</v>
      </c>
      <c r="C34" s="50">
        <f>C5</f>
        <v>2010</v>
      </c>
      <c r="D34" s="51"/>
      <c r="E34" s="50">
        <f>E5</f>
        <v>2009</v>
      </c>
      <c r="F34" s="51"/>
      <c r="G34" s="50">
        <f>G5</f>
        <v>2008</v>
      </c>
      <c r="H34" s="201"/>
    </row>
    <row r="35" spans="1:8" ht="15" x14ac:dyDescent="0.25">
      <c r="A35" s="53"/>
      <c r="B35" s="54" t="s">
        <v>4</v>
      </c>
      <c r="C35" s="55" t="s">
        <v>5</v>
      </c>
      <c r="D35" s="56"/>
      <c r="E35" s="55" t="s">
        <v>5</v>
      </c>
      <c r="F35" s="56"/>
      <c r="G35" s="57" t="s">
        <v>5</v>
      </c>
      <c r="H35" s="115"/>
    </row>
    <row r="36" spans="1:8" ht="14.25" x14ac:dyDescent="0.2">
      <c r="A36" s="94">
        <v>71</v>
      </c>
      <c r="B36" s="68" t="s">
        <v>287</v>
      </c>
      <c r="C36" s="91">
        <f>'Dados DFC_DVA'!C36*'Dados BP'!C5</f>
        <v>9751499</v>
      </c>
      <c r="D36" s="112">
        <f t="shared" ref="D36:D50" si="3">IF(G36&gt;0,(C36-G36)/ABS(G36)*100+100,IF(G36&lt;0,(C36-G36)/ABS(G36)*100-100,IF(G36=0,((C36+1)/ABS(C36+1))*100,0)))</f>
        <v>79.274691977772676</v>
      </c>
      <c r="E36" s="91">
        <f>'Dados DFC_DVA'!E36*'Dados BP'!E5</f>
        <v>11324311</v>
      </c>
      <c r="F36" s="132">
        <f t="shared" ref="F36:F50" si="4">IF(G36&gt;0,(E36-G36)/ABS(G36)*100+100,IF(G36&lt;0,(E36-G36)/ABS(G36)*100-100,IF(G36=0,((E36+1)/ABS(E36+1))*100,0)))</f>
        <v>92.060847915331067</v>
      </c>
      <c r="G36" s="91">
        <f>'Dados DFC_DVA'!G36*'Dados BP'!G5</f>
        <v>12300898</v>
      </c>
      <c r="H36" s="132">
        <f t="shared" ref="H36:H42" si="5">IF(G36&gt;=0,100,-100)</f>
        <v>100</v>
      </c>
    </row>
    <row r="37" spans="1:8" ht="15" x14ac:dyDescent="0.25">
      <c r="A37" s="64">
        <v>711</v>
      </c>
      <c r="B37" s="218" t="s">
        <v>205</v>
      </c>
      <c r="C37" s="229">
        <f>'Dados DFC_DVA'!C37*'Dados BP'!C5</f>
        <v>-6907684</v>
      </c>
      <c r="D37" s="114">
        <f t="shared" si="3"/>
        <v>-74.246720843742736</v>
      </c>
      <c r="E37" s="229">
        <f>'Dados DFC_DVA'!E37*'Dados BP'!E5</f>
        <v>-8208348</v>
      </c>
      <c r="F37" s="114">
        <f t="shared" si="4"/>
        <v>-88.226809817052143</v>
      </c>
      <c r="G37" s="229">
        <f>'Dados DFC_DVA'!G37*'Dados BP'!G5</f>
        <v>-9303689</v>
      </c>
      <c r="H37" s="114">
        <f t="shared" si="5"/>
        <v>-100</v>
      </c>
    </row>
    <row r="38" spans="1:8" ht="14.25" x14ac:dyDescent="0.2">
      <c r="A38" s="94">
        <v>72</v>
      </c>
      <c r="B38" s="204" t="s">
        <v>192</v>
      </c>
      <c r="C38" s="91">
        <f>C36+C37</f>
        <v>2843815</v>
      </c>
      <c r="D38" s="112">
        <f t="shared" si="3"/>
        <v>94.882105318648115</v>
      </c>
      <c r="E38" s="91">
        <f>E36+E37</f>
        <v>3115963</v>
      </c>
      <c r="F38" s="112">
        <f t="shared" si="4"/>
        <v>103.96215278947848</v>
      </c>
      <c r="G38" s="91">
        <f>G36+G37</f>
        <v>2997209</v>
      </c>
      <c r="H38" s="112">
        <f t="shared" si="5"/>
        <v>100</v>
      </c>
    </row>
    <row r="39" spans="1:8" ht="15" x14ac:dyDescent="0.25">
      <c r="A39" s="64">
        <v>721</v>
      </c>
      <c r="B39" s="218" t="s">
        <v>206</v>
      </c>
      <c r="C39" s="229">
        <f>'Dados DFC_DVA'!C39*'Dados BP'!C5</f>
        <v>-383595</v>
      </c>
      <c r="D39" s="114">
        <f t="shared" si="3"/>
        <v>-168.55835903925754</v>
      </c>
      <c r="E39" s="229">
        <f>'Dados DFC_DVA'!E39*'Dados BP'!E5</f>
        <v>-452148</v>
      </c>
      <c r="F39" s="114">
        <f t="shared" si="4"/>
        <v>-198.68174747554642</v>
      </c>
      <c r="G39" s="229">
        <f>'Dados DFC_DVA'!G39*'Dados BP'!G5</f>
        <v>-227574</v>
      </c>
      <c r="H39" s="114">
        <f t="shared" si="5"/>
        <v>-100</v>
      </c>
    </row>
    <row r="40" spans="1:8" ht="14.25" x14ac:dyDescent="0.2">
      <c r="A40" s="94">
        <v>73</v>
      </c>
      <c r="B40" s="204" t="s">
        <v>193</v>
      </c>
      <c r="C40" s="91">
        <f>C38+C39</f>
        <v>2460220</v>
      </c>
      <c r="D40" s="112">
        <f t="shared" si="3"/>
        <v>88.828311311779345</v>
      </c>
      <c r="E40" s="91">
        <f>E38+E39</f>
        <v>2663815</v>
      </c>
      <c r="F40" s="112">
        <f t="shared" si="4"/>
        <v>96.17927994121969</v>
      </c>
      <c r="G40" s="91">
        <f>G38+G39</f>
        <v>2769635</v>
      </c>
      <c r="H40" s="112">
        <f t="shared" si="5"/>
        <v>100</v>
      </c>
    </row>
    <row r="41" spans="1:8" ht="15" x14ac:dyDescent="0.25">
      <c r="A41" s="59">
        <v>731</v>
      </c>
      <c r="B41" s="61" t="s">
        <v>293</v>
      </c>
      <c r="C41" s="19">
        <f>'Dados DFC_DVA'!C41*'Dados BP'!C5</f>
        <v>246826</v>
      </c>
      <c r="D41" s="113">
        <f t="shared" si="3"/>
        <v>130.63585650622943</v>
      </c>
      <c r="E41" s="19">
        <f>'Dados DFC_DVA'!E41*'Dados BP'!E5</f>
        <v>302771</v>
      </c>
      <c r="F41" s="113">
        <f t="shared" si="4"/>
        <v>160.24547215547628</v>
      </c>
      <c r="G41" s="19">
        <f>'Dados DFC_DVA'!G41*'Dados BP'!G5</f>
        <v>188942</v>
      </c>
      <c r="H41" s="113">
        <f t="shared" si="5"/>
        <v>100</v>
      </c>
    </row>
    <row r="42" spans="1:8" ht="14.25" x14ac:dyDescent="0.2">
      <c r="A42" s="94">
        <v>74</v>
      </c>
      <c r="B42" s="68" t="s">
        <v>207</v>
      </c>
      <c r="C42" s="91">
        <f>C40+C41</f>
        <v>2707046</v>
      </c>
      <c r="D42" s="112">
        <f t="shared" si="3"/>
        <v>91.498243919289578</v>
      </c>
      <c r="E42" s="91">
        <f>E40+E41</f>
        <v>2966586</v>
      </c>
      <c r="F42" s="112">
        <f t="shared" si="4"/>
        <v>100.27070446366615</v>
      </c>
      <c r="G42" s="91">
        <f>G40+G41</f>
        <v>2958577</v>
      </c>
      <c r="H42" s="112">
        <f t="shared" si="5"/>
        <v>100</v>
      </c>
    </row>
    <row r="43" spans="1:8" ht="15" x14ac:dyDescent="0.25">
      <c r="A43" s="64"/>
      <c r="B43" s="200"/>
      <c r="C43" s="196"/>
      <c r="D43" s="197"/>
      <c r="E43" s="196"/>
      <c r="F43" s="197"/>
      <c r="G43" s="196"/>
      <c r="H43" s="203"/>
    </row>
    <row r="44" spans="1:8" ht="14.25" x14ac:dyDescent="0.2">
      <c r="A44" s="94">
        <v>75</v>
      </c>
      <c r="B44" s="68" t="s">
        <v>214</v>
      </c>
      <c r="C44" s="91">
        <f>SUM(C45:C50)</f>
        <v>2707045</v>
      </c>
      <c r="D44" s="112">
        <f t="shared" si="3"/>
        <v>91.498210119256655</v>
      </c>
      <c r="E44" s="91">
        <f>SUM(E45:E50)</f>
        <v>2966586</v>
      </c>
      <c r="F44" s="112">
        <f t="shared" si="4"/>
        <v>100.27070446366615</v>
      </c>
      <c r="G44" s="91">
        <f>SUM(G45:G50)</f>
        <v>2958577</v>
      </c>
      <c r="H44" s="112">
        <f t="shared" ref="H44:H50" si="6">IF(G44&gt;=0,100,-100)</f>
        <v>100</v>
      </c>
    </row>
    <row r="45" spans="1:8" ht="15" x14ac:dyDescent="0.25">
      <c r="A45" s="59">
        <v>751</v>
      </c>
      <c r="B45" s="62" t="s">
        <v>208</v>
      </c>
      <c r="C45" s="19">
        <f>'Dados DFC_DVA'!C45*'Dados BP'!C5</f>
        <v>1359157</v>
      </c>
      <c r="D45" s="113">
        <f t="shared" si="3"/>
        <v>89.025224174859659</v>
      </c>
      <c r="E45" s="19">
        <f>'Dados DFC_DVA'!E45*'Dados BP'!E5</f>
        <v>1467619</v>
      </c>
      <c r="F45" s="113">
        <f t="shared" si="4"/>
        <v>96.129520341125684</v>
      </c>
      <c r="G45" s="19">
        <f>'Dados DFC_DVA'!G45*'Dados BP'!G5</f>
        <v>1526710</v>
      </c>
      <c r="H45" s="111">
        <f t="shared" si="6"/>
        <v>100</v>
      </c>
    </row>
    <row r="46" spans="1:8" ht="15" x14ac:dyDescent="0.25">
      <c r="A46" s="59">
        <v>752</v>
      </c>
      <c r="B46" s="62" t="s">
        <v>209</v>
      </c>
      <c r="C46" s="19">
        <f>'Dados DFC_DVA'!C46*'Dados BP'!$C5</f>
        <v>503716</v>
      </c>
      <c r="D46" s="113">
        <f t="shared" si="3"/>
        <v>91.676904232801348</v>
      </c>
      <c r="E46" s="19">
        <f>'Dados DFC_DVA'!E46*'Dados BP'!$C5</f>
        <v>119289</v>
      </c>
      <c r="F46" s="113">
        <f t="shared" si="4"/>
        <v>21.710738251369094</v>
      </c>
      <c r="G46" s="19">
        <f>'Dados DFC_DVA'!G46*'Dados BP'!$C5</f>
        <v>549447</v>
      </c>
      <c r="H46" s="113">
        <f t="shared" si="6"/>
        <v>100</v>
      </c>
    </row>
    <row r="47" spans="1:8" ht="15" x14ac:dyDescent="0.25">
      <c r="A47" s="59">
        <v>753</v>
      </c>
      <c r="B47" s="62" t="s">
        <v>210</v>
      </c>
      <c r="C47" s="19">
        <f>'Dados DFC_DVA'!C47*'Dados BP'!$C5</f>
        <v>243994</v>
      </c>
      <c r="D47" s="113">
        <f t="shared" si="3"/>
        <v>56.17102194637377</v>
      </c>
      <c r="E47" s="19">
        <f>'Dados DFC_DVA'!E47*'Dados BP'!$C5</f>
        <v>442408</v>
      </c>
      <c r="F47" s="113">
        <f t="shared" si="4"/>
        <v>101.84885479663978</v>
      </c>
      <c r="G47" s="19">
        <f>'Dados DFC_DVA'!G47*'Dados BP'!$C5</f>
        <v>434377</v>
      </c>
      <c r="H47" s="113">
        <f t="shared" si="6"/>
        <v>100</v>
      </c>
    </row>
    <row r="48" spans="1:8" ht="15" x14ac:dyDescent="0.25">
      <c r="A48" s="59">
        <v>754</v>
      </c>
      <c r="B48" s="62" t="s">
        <v>211</v>
      </c>
      <c r="C48" s="19">
        <f>'Dados DFC_DVA'!C48*'Dados BP'!$C5</f>
        <v>155728</v>
      </c>
      <c r="D48" s="113">
        <f t="shared" si="3"/>
        <v>69.4563132777307</v>
      </c>
      <c r="E48" s="19">
        <f>'Dados DFC_DVA'!E48*'Dados BP'!$C5</f>
        <v>228880</v>
      </c>
      <c r="F48" s="113">
        <f t="shared" si="4"/>
        <v>102.0828687391285</v>
      </c>
      <c r="G48" s="19">
        <f>'Dados DFC_DVA'!G48*'Dados BP'!$C5</f>
        <v>224210</v>
      </c>
      <c r="H48" s="113">
        <f t="shared" si="6"/>
        <v>100</v>
      </c>
    </row>
    <row r="49" spans="1:8" ht="15" x14ac:dyDescent="0.25">
      <c r="A49" s="59">
        <v>755</v>
      </c>
      <c r="B49" s="62" t="s">
        <v>212</v>
      </c>
      <c r="C49" s="19">
        <f>'Dados DFC_DVA'!C49*'Dados BP'!$C5</f>
        <v>26586</v>
      </c>
      <c r="D49" s="113">
        <f t="shared" si="3"/>
        <v>137.80127507386098</v>
      </c>
      <c r="E49" s="19">
        <f>'Dados DFC_DVA'!E49*'Dados BP'!$C5</f>
        <v>25177</v>
      </c>
      <c r="F49" s="113">
        <f t="shared" si="4"/>
        <v>130.49810812211683</v>
      </c>
      <c r="G49" s="19">
        <f>'Dados DFC_DVA'!G49*'Dados BP'!$C5</f>
        <v>19293</v>
      </c>
      <c r="H49" s="113">
        <f t="shared" si="6"/>
        <v>100</v>
      </c>
    </row>
    <row r="50" spans="1:8" ht="15" x14ac:dyDescent="0.25">
      <c r="A50" s="53">
        <v>756</v>
      </c>
      <c r="B50" s="63" t="s">
        <v>213</v>
      </c>
      <c r="C50" s="228">
        <f>'Dados DFC_DVA'!C50*'Dados BP'!$C5</f>
        <v>417864</v>
      </c>
      <c r="D50" s="113">
        <f t="shared" si="3"/>
        <v>204.29451452038722</v>
      </c>
      <c r="E50" s="228">
        <f>'Dados DFC_DVA'!E50*'Dados BP'!$C5</f>
        <v>683213</v>
      </c>
      <c r="F50" s="113">
        <f t="shared" si="4"/>
        <v>334.0241517551579</v>
      </c>
      <c r="G50" s="228">
        <f>'Dados DFC_DVA'!G50*'Dados BP'!$C5</f>
        <v>204540</v>
      </c>
      <c r="H50" s="113">
        <f t="shared" si="6"/>
        <v>100</v>
      </c>
    </row>
    <row r="51" spans="1:8" x14ac:dyDescent="0.2">
      <c r="D51" s="205"/>
      <c r="F51" s="205"/>
      <c r="H51" s="205"/>
    </row>
  </sheetData>
  <sheetProtection password="BC0E" sheet="1"/>
  <phoneticPr fontId="0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Dados BP</vt:lpstr>
      <vt:lpstr>Dados DRE</vt:lpstr>
      <vt:lpstr>Dados DFC_DVA</vt:lpstr>
      <vt:lpstr>BP_AV</vt:lpstr>
      <vt:lpstr>BP_AH</vt:lpstr>
      <vt:lpstr>DRE_AV</vt:lpstr>
      <vt:lpstr>DRE_AH</vt:lpstr>
      <vt:lpstr>DFC_DVA_AV</vt:lpstr>
      <vt:lpstr>DFC_DVA_AH</vt:lpstr>
      <vt:lpstr>Indicadores</vt:lpstr>
      <vt:lpstr>TRI</vt:lpstr>
      <vt:lpstr>TRPL</vt:lpstr>
      <vt:lpstr>Gestão Financ</vt:lpstr>
    </vt:vector>
  </TitlesOfParts>
  <Company>Unoesc SMO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Pasta de Trabalho - Análise das Demonstr. Contábeis</dc:title>
  <dc:creator>Roberto Aurélio Merlo</dc:creator>
  <cp:lastModifiedBy>Raymundo</cp:lastModifiedBy>
  <cp:lastPrinted>2011-05-10T20:12:01Z</cp:lastPrinted>
  <dcterms:created xsi:type="dcterms:W3CDTF">2001-10-02T22:06:07Z</dcterms:created>
  <dcterms:modified xsi:type="dcterms:W3CDTF">2023-04-06T11:53:05Z</dcterms:modified>
</cp:coreProperties>
</file>