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xr:revisionPtr revIDLastSave="0" documentId="10_ncr:8100000_{D30536E0-E813-4564-A029-AEEA13FC580F}" xr6:coauthVersionLast="32" xr6:coauthVersionMax="32" xr10:uidLastSave="{00000000-0000-0000-0000-000000000000}"/>
  <bookViews>
    <workbookView xWindow="0" yWindow="0" windowWidth="28800" windowHeight="12345" tabRatio="652" xr2:uid="{00000000-000D-0000-FFFF-FFFF00000000}"/>
  </bookViews>
  <sheets>
    <sheet name="총합" sheetId="2" r:id="rId1"/>
    <sheet name="두산" sheetId="1" r:id="rId2"/>
    <sheet name="SK" sheetId="3" r:id="rId3"/>
    <sheet name="한화" sheetId="4" r:id="rId4"/>
    <sheet name="키움" sheetId="5" r:id="rId5"/>
    <sheet name="KIA" sheetId="6" r:id="rId6"/>
    <sheet name="삼성" sheetId="7" r:id="rId7"/>
    <sheet name="롯데" sheetId="8" r:id="rId8"/>
    <sheet name="LG" sheetId="9" r:id="rId9"/>
    <sheet name="KT" sheetId="10" r:id="rId10"/>
    <sheet name="NC" sheetId="11" r:id="rId11"/>
    <sheet name="MILB &amp; MLB" sheetId="12" r:id="rId12"/>
    <sheet name="피타고리안" sheetId="13" r:id="rId13"/>
  </sheets>
  <definedNames>
    <definedName name="_xlnm._FilterDatabase" localSheetId="2" hidden="1">SK!$J$3:$P$28</definedName>
    <definedName name="_xlnm._FilterDatabase" localSheetId="0" hidden="1">총합!$B$2:$G$12</definedName>
    <definedName name="_xlnm._FilterDatabase" localSheetId="3" hidden="1">한화!$J$3:$P$26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5" i="11" l="1"/>
  <c r="P6" i="11"/>
  <c r="P7" i="11"/>
  <c r="P8" i="11"/>
  <c r="P9" i="11"/>
  <c r="P10" i="11"/>
  <c r="P11" i="11"/>
  <c r="P12" i="11"/>
  <c r="P13" i="11"/>
  <c r="P14" i="11"/>
  <c r="P15" i="11"/>
  <c r="P16" i="11"/>
  <c r="P17" i="11"/>
  <c r="P18" i="11"/>
  <c r="P19" i="11"/>
  <c r="P20" i="11"/>
  <c r="P21" i="11"/>
  <c r="P22" i="11"/>
  <c r="P23" i="11"/>
  <c r="P24" i="11"/>
  <c r="P4" i="11"/>
  <c r="P5" i="10"/>
  <c r="P6" i="10"/>
  <c r="P7" i="10"/>
  <c r="P8" i="10"/>
  <c r="P9" i="10"/>
  <c r="P10" i="10"/>
  <c r="P11" i="10"/>
  <c r="P12" i="10"/>
  <c r="P13" i="10"/>
  <c r="P14" i="10"/>
  <c r="P15" i="10"/>
  <c r="P16" i="10"/>
  <c r="P17" i="10"/>
  <c r="P18" i="10"/>
  <c r="P19" i="10"/>
  <c r="P20" i="10"/>
  <c r="P21" i="10"/>
  <c r="P22" i="10"/>
  <c r="P23" i="10"/>
  <c r="P24" i="10"/>
  <c r="P25" i="10"/>
  <c r="P26" i="10"/>
  <c r="P4" i="10"/>
  <c r="P5" i="9"/>
  <c r="P6" i="9"/>
  <c r="P7" i="9"/>
  <c r="P8" i="9"/>
  <c r="P9" i="9"/>
  <c r="P10" i="9"/>
  <c r="P11" i="9"/>
  <c r="P12" i="9"/>
  <c r="P13" i="9"/>
  <c r="P14" i="9"/>
  <c r="P15" i="9"/>
  <c r="P16" i="9"/>
  <c r="P17" i="9"/>
  <c r="P18" i="9"/>
  <c r="P19" i="9"/>
  <c r="P20" i="9"/>
  <c r="P21" i="9"/>
  <c r="P22" i="9"/>
  <c r="P23" i="9"/>
  <c r="P24" i="9"/>
  <c r="P25" i="9"/>
  <c r="P26" i="9"/>
  <c r="P27" i="9"/>
  <c r="P28" i="9"/>
  <c r="P29" i="9"/>
  <c r="P4" i="9"/>
  <c r="P5" i="8"/>
  <c r="P6" i="8"/>
  <c r="P7" i="8"/>
  <c r="P8" i="8"/>
  <c r="P9" i="8"/>
  <c r="P10" i="8"/>
  <c r="P11" i="8"/>
  <c r="P12" i="8"/>
  <c r="P13" i="8"/>
  <c r="P14" i="8"/>
  <c r="P15" i="8"/>
  <c r="P16" i="8"/>
  <c r="P17" i="8"/>
  <c r="P18" i="8"/>
  <c r="P19" i="8"/>
  <c r="P20" i="8"/>
  <c r="P21" i="8"/>
  <c r="P22" i="8"/>
  <c r="P23" i="8"/>
  <c r="P24" i="8"/>
  <c r="P25" i="8"/>
  <c r="P26" i="8"/>
  <c r="P27" i="8"/>
  <c r="P4" i="8"/>
  <c r="P9" i="7"/>
  <c r="P10" i="7"/>
  <c r="P11" i="7"/>
  <c r="P12" i="7"/>
  <c r="P13" i="7"/>
  <c r="P14" i="7"/>
  <c r="P15" i="7"/>
  <c r="P16" i="7"/>
  <c r="P17" i="7"/>
  <c r="P18" i="7"/>
  <c r="P19" i="7"/>
  <c r="P20" i="7"/>
  <c r="P21" i="7"/>
  <c r="P22" i="7"/>
  <c r="P23" i="7"/>
  <c r="P24" i="7"/>
  <c r="P8" i="7"/>
  <c r="P5" i="7"/>
  <c r="P6" i="7"/>
  <c r="P4" i="7"/>
  <c r="P5" i="6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4" i="6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4" i="5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4" i="4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4" i="3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4" i="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4" i="11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4" i="10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4" i="9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4" i="8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4" i="7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4" i="6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4" i="5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4" i="4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4" i="3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4" i="1"/>
  <c r="G10" i="5"/>
  <c r="F10" i="5"/>
  <c r="E10" i="5"/>
  <c r="T406" i="12" l="1"/>
  <c r="L25" i="8"/>
  <c r="M25" i="8"/>
  <c r="C25" i="13" l="1"/>
  <c r="D25" i="13" s="1"/>
  <c r="F25" i="13" s="1"/>
  <c r="C26" i="13"/>
  <c r="C27" i="13"/>
  <c r="C28" i="13"/>
  <c r="C29" i="13"/>
  <c r="D29" i="13" s="1"/>
  <c r="F29" i="13" s="1"/>
  <c r="C30" i="13"/>
  <c r="D30" i="13" s="1"/>
  <c r="F30" i="13" s="1"/>
  <c r="C31" i="13"/>
  <c r="C32" i="13"/>
  <c r="C24" i="13"/>
  <c r="D23" i="13"/>
  <c r="F23" i="13" s="1"/>
  <c r="D24" i="13"/>
  <c r="F24" i="13" s="1"/>
  <c r="D26" i="13"/>
  <c r="F26" i="13" s="1"/>
  <c r="D27" i="13"/>
  <c r="F27" i="13" s="1"/>
  <c r="D28" i="13"/>
  <c r="F28" i="13" s="1"/>
  <c r="D31" i="13"/>
  <c r="F31" i="13" s="1"/>
  <c r="D32" i="13"/>
  <c r="F32" i="13" s="1"/>
  <c r="C23" i="13"/>
  <c r="C22" i="13"/>
  <c r="D22" i="13" s="1"/>
  <c r="F22" i="13" s="1"/>
  <c r="C21" i="13"/>
  <c r="C20" i="13"/>
  <c r="C19" i="13"/>
  <c r="D19" i="13" s="1"/>
  <c r="F19" i="13" s="1"/>
  <c r="C18" i="13"/>
  <c r="C17" i="13"/>
  <c r="C16" i="13"/>
  <c r="C15" i="13"/>
  <c r="D15" i="13" s="1"/>
  <c r="F15" i="13" s="1"/>
  <c r="C14" i="13"/>
  <c r="D14" i="13" s="1"/>
  <c r="F14" i="13" s="1"/>
  <c r="D16" i="13"/>
  <c r="F16" i="13" s="1"/>
  <c r="D17" i="13"/>
  <c r="F17" i="13" s="1"/>
  <c r="D18" i="13"/>
  <c r="F18" i="13" s="1"/>
  <c r="D20" i="13"/>
  <c r="F20" i="13" s="1"/>
  <c r="D21" i="13"/>
  <c r="F21" i="13" s="1"/>
  <c r="D4" i="13"/>
  <c r="F4" i="13" s="1"/>
  <c r="D5" i="13"/>
  <c r="D6" i="13"/>
  <c r="D7" i="13"/>
  <c r="F7" i="13" s="1"/>
  <c r="D8" i="13"/>
  <c r="D9" i="13"/>
  <c r="F9" i="13" s="1"/>
  <c r="D10" i="13"/>
  <c r="D11" i="13"/>
  <c r="F11" i="13" s="1"/>
  <c r="D12" i="13"/>
  <c r="D13" i="13"/>
  <c r="F13" i="13" s="1"/>
  <c r="D3" i="13"/>
  <c r="F5" i="13"/>
  <c r="C13" i="13"/>
  <c r="C11" i="13"/>
  <c r="C10" i="13"/>
  <c r="C9" i="13"/>
  <c r="C8" i="13"/>
  <c r="F8" i="13" s="1"/>
  <c r="C12" i="13"/>
  <c r="C7" i="13"/>
  <c r="C6" i="13"/>
  <c r="C4" i="13"/>
  <c r="C5" i="13"/>
  <c r="C3" i="13"/>
  <c r="F12" i="13" l="1"/>
  <c r="F6" i="13"/>
  <c r="F10" i="13"/>
  <c r="F3" i="13"/>
  <c r="K147" i="12"/>
  <c r="D26" i="8"/>
  <c r="L27" i="8"/>
  <c r="L26" i="8"/>
  <c r="D26" i="11"/>
  <c r="D25" i="11"/>
  <c r="L24" i="11"/>
  <c r="L23" i="11"/>
  <c r="L26" i="10"/>
  <c r="L25" i="10"/>
  <c r="L24" i="10"/>
  <c r="L23" i="10"/>
  <c r="L22" i="10"/>
  <c r="G30" i="10"/>
  <c r="D30" i="10"/>
  <c r="D29" i="10"/>
  <c r="D28" i="10"/>
  <c r="D27" i="10"/>
  <c r="D26" i="10"/>
  <c r="L29" i="9" l="1"/>
  <c r="L28" i="9"/>
  <c r="L27" i="9"/>
  <c r="L26" i="9"/>
  <c r="L25" i="9"/>
  <c r="L24" i="9"/>
  <c r="D27" i="9"/>
  <c r="D26" i="9"/>
  <c r="D25" i="9"/>
  <c r="D24" i="9"/>
  <c r="D23" i="9"/>
  <c r="D27" i="7"/>
  <c r="D26" i="7"/>
  <c r="D25" i="7"/>
  <c r="D24" i="7"/>
  <c r="D23" i="7"/>
  <c r="D22" i="7"/>
  <c r="L24" i="7"/>
  <c r="L23" i="7"/>
  <c r="L25" i="6"/>
  <c r="L24" i="6"/>
  <c r="D31" i="6"/>
  <c r="D30" i="6"/>
  <c r="D29" i="6"/>
  <c r="D28" i="6"/>
  <c r="D27" i="6"/>
  <c r="D26" i="6"/>
  <c r="D25" i="6"/>
  <c r="G24" i="6"/>
  <c r="D24" i="6"/>
  <c r="D23" i="6"/>
  <c r="D22" i="6"/>
  <c r="D21" i="6"/>
  <c r="D20" i="6"/>
  <c r="D19" i="6"/>
  <c r="D18" i="6"/>
  <c r="D17" i="6"/>
  <c r="D16" i="6"/>
  <c r="D22" i="5"/>
  <c r="D21" i="5"/>
  <c r="L26" i="5"/>
  <c r="D27" i="4"/>
  <c r="D16" i="4"/>
  <c r="L21" i="4"/>
  <c r="L23" i="4"/>
  <c r="L31" i="1"/>
  <c r="D27" i="1"/>
  <c r="D26" i="1"/>
  <c r="D29" i="3" l="1"/>
  <c r="D28" i="3"/>
  <c r="D27" i="3"/>
  <c r="D26" i="3"/>
  <c r="D25" i="3"/>
  <c r="D24" i="3"/>
  <c r="D24" i="4"/>
  <c r="D23" i="4"/>
  <c r="D29" i="4"/>
  <c r="D25" i="10"/>
  <c r="D24" i="10"/>
  <c r="D23" i="10"/>
  <c r="D22" i="10"/>
  <c r="D21" i="10"/>
  <c r="D20" i="10"/>
  <c r="D19" i="10"/>
  <c r="D20" i="5"/>
  <c r="T443" i="12"/>
  <c r="I443" i="12" s="1"/>
  <c r="U443" i="12" s="1"/>
  <c r="S443" i="12"/>
  <c r="J443" i="12" s="1"/>
  <c r="V443" i="12" s="1"/>
  <c r="W443" i="12" s="1"/>
  <c r="T440" i="12"/>
  <c r="I440" i="12" s="1"/>
  <c r="U440" i="12" s="1"/>
  <c r="S440" i="12"/>
  <c r="J440" i="12" s="1"/>
  <c r="V440" i="12" s="1"/>
  <c r="W440" i="12" s="1"/>
  <c r="T441" i="12"/>
  <c r="S441" i="12"/>
  <c r="T442" i="12"/>
  <c r="S442" i="12"/>
  <c r="T444" i="12"/>
  <c r="S444" i="12"/>
  <c r="J444" i="12" s="1"/>
  <c r="V444" i="12" s="1"/>
  <c r="W444" i="12" s="1"/>
  <c r="T445" i="12"/>
  <c r="I445" i="12" s="1"/>
  <c r="U445" i="12" s="1"/>
  <c r="S445" i="12"/>
  <c r="I444" i="12"/>
  <c r="U444" i="12" s="1"/>
  <c r="I441" i="12"/>
  <c r="U441" i="12" s="1"/>
  <c r="J441" i="12"/>
  <c r="V441" i="12" s="1"/>
  <c r="W441" i="12" s="1"/>
  <c r="I442" i="12"/>
  <c r="U442" i="12" s="1"/>
  <c r="J442" i="12"/>
  <c r="V442" i="12" s="1"/>
  <c r="W442" i="12" s="1"/>
  <c r="J445" i="12"/>
  <c r="V445" i="12" s="1"/>
  <c r="W445" i="12" s="1"/>
  <c r="O21" i="10" s="1"/>
  <c r="Q442" i="12"/>
  <c r="Q443" i="12"/>
  <c r="Q444" i="12"/>
  <c r="Q445" i="12"/>
  <c r="Q440" i="12"/>
  <c r="Q441" i="12"/>
  <c r="F441" i="12"/>
  <c r="G441" i="12"/>
  <c r="H441" i="12"/>
  <c r="K441" i="12"/>
  <c r="L441" i="12"/>
  <c r="M441" i="12"/>
  <c r="N441" i="12"/>
  <c r="O441" i="12"/>
  <c r="P441" i="12"/>
  <c r="R441" i="12"/>
  <c r="F442" i="12"/>
  <c r="G442" i="12"/>
  <c r="H442" i="12"/>
  <c r="K442" i="12"/>
  <c r="L442" i="12"/>
  <c r="M442" i="12"/>
  <c r="N442" i="12"/>
  <c r="O442" i="12"/>
  <c r="P442" i="12"/>
  <c r="R442" i="12"/>
  <c r="F443" i="12"/>
  <c r="G443" i="12"/>
  <c r="H443" i="12"/>
  <c r="K443" i="12"/>
  <c r="L443" i="12"/>
  <c r="M443" i="12"/>
  <c r="N443" i="12"/>
  <c r="O443" i="12"/>
  <c r="P443" i="12"/>
  <c r="R443" i="12"/>
  <c r="F444" i="12"/>
  <c r="G444" i="12"/>
  <c r="H444" i="12"/>
  <c r="K444" i="12"/>
  <c r="L444" i="12"/>
  <c r="M444" i="12"/>
  <c r="N444" i="12"/>
  <c r="O444" i="12"/>
  <c r="P444" i="12"/>
  <c r="R444" i="12"/>
  <c r="F445" i="12"/>
  <c r="G445" i="12"/>
  <c r="H445" i="12"/>
  <c r="K445" i="12"/>
  <c r="L445" i="12"/>
  <c r="M445" i="12"/>
  <c r="N445" i="12"/>
  <c r="O445" i="12"/>
  <c r="P445" i="12"/>
  <c r="R445" i="12"/>
  <c r="G440" i="12"/>
  <c r="H440" i="12"/>
  <c r="K440" i="12"/>
  <c r="L440" i="12"/>
  <c r="M440" i="12"/>
  <c r="N440" i="12"/>
  <c r="O440" i="12"/>
  <c r="P440" i="12"/>
  <c r="R440" i="12"/>
  <c r="F440" i="12"/>
  <c r="L21" i="10"/>
  <c r="T427" i="12"/>
  <c r="S427" i="12"/>
  <c r="T426" i="12"/>
  <c r="S426" i="12"/>
  <c r="T425" i="12"/>
  <c r="S425" i="12"/>
  <c r="S423" i="12"/>
  <c r="T428" i="12"/>
  <c r="S428" i="12"/>
  <c r="T423" i="12"/>
  <c r="T424" i="12"/>
  <c r="S424" i="12"/>
  <c r="T429" i="12"/>
  <c r="S429" i="12"/>
  <c r="I423" i="12"/>
  <c r="U423" i="12" s="1"/>
  <c r="J423" i="12"/>
  <c r="V423" i="12" s="1"/>
  <c r="W423" i="12" s="1"/>
  <c r="I424" i="12"/>
  <c r="J424" i="12"/>
  <c r="V424" i="12" s="1"/>
  <c r="W424" i="12" s="1"/>
  <c r="I425" i="12"/>
  <c r="J425" i="12"/>
  <c r="V425" i="12" s="1"/>
  <c r="W425" i="12" s="1"/>
  <c r="I426" i="12"/>
  <c r="J426" i="12"/>
  <c r="V426" i="12" s="1"/>
  <c r="I427" i="12"/>
  <c r="J427" i="12"/>
  <c r="V427" i="12" s="1"/>
  <c r="W427" i="12" s="1"/>
  <c r="I428" i="12"/>
  <c r="J428" i="12"/>
  <c r="I429" i="12"/>
  <c r="J429" i="12"/>
  <c r="V429" i="12" s="1"/>
  <c r="W429" i="12" s="1"/>
  <c r="Q423" i="12"/>
  <c r="Q424" i="12"/>
  <c r="Q425" i="12"/>
  <c r="Q427" i="12"/>
  <c r="Q428" i="12"/>
  <c r="Q429" i="12"/>
  <c r="Q426" i="12"/>
  <c r="U424" i="12"/>
  <c r="U425" i="12"/>
  <c r="U426" i="12"/>
  <c r="U427" i="12"/>
  <c r="U428" i="12"/>
  <c r="V428" i="12"/>
  <c r="W428" i="12" s="1"/>
  <c r="U429" i="12"/>
  <c r="F424" i="12"/>
  <c r="G424" i="12"/>
  <c r="H424" i="12"/>
  <c r="K424" i="12"/>
  <c r="L424" i="12"/>
  <c r="M424" i="12"/>
  <c r="N424" i="12"/>
  <c r="O424" i="12"/>
  <c r="P424" i="12"/>
  <c r="R424" i="12"/>
  <c r="F425" i="12"/>
  <c r="G425" i="12"/>
  <c r="H425" i="12"/>
  <c r="K425" i="12"/>
  <c r="L425" i="12"/>
  <c r="M425" i="12"/>
  <c r="N425" i="12"/>
  <c r="O425" i="12"/>
  <c r="P425" i="12"/>
  <c r="R425" i="12"/>
  <c r="F426" i="12"/>
  <c r="G426" i="12"/>
  <c r="H426" i="12"/>
  <c r="K426" i="12"/>
  <c r="L426" i="12"/>
  <c r="M426" i="12"/>
  <c r="N426" i="12"/>
  <c r="O426" i="12"/>
  <c r="P426" i="12"/>
  <c r="R426" i="12"/>
  <c r="F427" i="12"/>
  <c r="G427" i="12"/>
  <c r="H427" i="12"/>
  <c r="K427" i="12"/>
  <c r="L427" i="12"/>
  <c r="M427" i="12"/>
  <c r="N427" i="12"/>
  <c r="O427" i="12"/>
  <c r="P427" i="12"/>
  <c r="R427" i="12"/>
  <c r="F428" i="12"/>
  <c r="G428" i="12"/>
  <c r="H428" i="12"/>
  <c r="K428" i="12"/>
  <c r="L428" i="12"/>
  <c r="M428" i="12"/>
  <c r="N428" i="12"/>
  <c r="O428" i="12"/>
  <c r="P428" i="12"/>
  <c r="R428" i="12"/>
  <c r="F429" i="12"/>
  <c r="G429" i="12"/>
  <c r="H429" i="12"/>
  <c r="K429" i="12"/>
  <c r="L429" i="12"/>
  <c r="M429" i="12"/>
  <c r="N429" i="12"/>
  <c r="O429" i="12"/>
  <c r="P429" i="12"/>
  <c r="R429" i="12"/>
  <c r="G423" i="12"/>
  <c r="H423" i="12"/>
  <c r="K423" i="12"/>
  <c r="L423" i="12"/>
  <c r="M423" i="12"/>
  <c r="N423" i="12"/>
  <c r="O423" i="12"/>
  <c r="P423" i="12"/>
  <c r="R423" i="12"/>
  <c r="F423" i="12"/>
  <c r="L20" i="10"/>
  <c r="T410" i="12"/>
  <c r="I410" i="12" s="1"/>
  <c r="U410" i="12" s="1"/>
  <c r="S410" i="12"/>
  <c r="T408" i="12"/>
  <c r="I408" i="12" s="1"/>
  <c r="U408" i="12" s="1"/>
  <c r="S408" i="12"/>
  <c r="S406" i="12"/>
  <c r="J406" i="12" s="1"/>
  <c r="V406" i="12" s="1"/>
  <c r="W406" i="12" s="1"/>
  <c r="T409" i="12"/>
  <c r="I409" i="12" s="1"/>
  <c r="U409" i="12" s="1"/>
  <c r="S409" i="12"/>
  <c r="J409" i="12" s="1"/>
  <c r="V409" i="12" s="1"/>
  <c r="W409" i="12" s="1"/>
  <c r="T407" i="12"/>
  <c r="I407" i="12" s="1"/>
  <c r="U407" i="12" s="1"/>
  <c r="S407" i="12"/>
  <c r="T405" i="12"/>
  <c r="I405" i="12" s="1"/>
  <c r="U405" i="12" s="1"/>
  <c r="S405" i="12"/>
  <c r="J405" i="12" s="1"/>
  <c r="V405" i="12" s="1"/>
  <c r="W405" i="12" s="1"/>
  <c r="T411" i="12"/>
  <c r="S411" i="12"/>
  <c r="U406" i="12"/>
  <c r="V407" i="12"/>
  <c r="W407" i="12" s="1"/>
  <c r="V408" i="12"/>
  <c r="W408" i="12" s="1"/>
  <c r="V410" i="12"/>
  <c r="W410" i="12" s="1"/>
  <c r="U411" i="12"/>
  <c r="V411" i="12"/>
  <c r="W411" i="12" s="1"/>
  <c r="I406" i="12"/>
  <c r="J407" i="12"/>
  <c r="J408" i="12"/>
  <c r="J410" i="12"/>
  <c r="I411" i="12"/>
  <c r="J411" i="12"/>
  <c r="Q405" i="12"/>
  <c r="Q406" i="12"/>
  <c r="Q407" i="12"/>
  <c r="Q409" i="12"/>
  <c r="Q410" i="12"/>
  <c r="Q411" i="12"/>
  <c r="Q408" i="12"/>
  <c r="F406" i="12"/>
  <c r="G406" i="12"/>
  <c r="H406" i="12"/>
  <c r="K406" i="12"/>
  <c r="L406" i="12"/>
  <c r="M406" i="12"/>
  <c r="N406" i="12"/>
  <c r="O406" i="12"/>
  <c r="P406" i="12"/>
  <c r="R406" i="12"/>
  <c r="F407" i="12"/>
  <c r="G407" i="12"/>
  <c r="H407" i="12"/>
  <c r="K407" i="12"/>
  <c r="L407" i="12"/>
  <c r="M407" i="12"/>
  <c r="N407" i="12"/>
  <c r="O407" i="12"/>
  <c r="P407" i="12"/>
  <c r="R407" i="12"/>
  <c r="F408" i="12"/>
  <c r="G408" i="12"/>
  <c r="H408" i="12"/>
  <c r="K408" i="12"/>
  <c r="L408" i="12"/>
  <c r="M408" i="12"/>
  <c r="N408" i="12"/>
  <c r="O408" i="12"/>
  <c r="P408" i="12"/>
  <c r="R408" i="12"/>
  <c r="F409" i="12"/>
  <c r="G409" i="12"/>
  <c r="H409" i="12"/>
  <c r="K409" i="12"/>
  <c r="L409" i="12"/>
  <c r="M409" i="12"/>
  <c r="N409" i="12"/>
  <c r="O409" i="12"/>
  <c r="P409" i="12"/>
  <c r="R409" i="12"/>
  <c r="F410" i="12"/>
  <c r="G410" i="12"/>
  <c r="H410" i="12"/>
  <c r="K410" i="12"/>
  <c r="L410" i="12"/>
  <c r="M410" i="12"/>
  <c r="N410" i="12"/>
  <c r="O410" i="12"/>
  <c r="P410" i="12"/>
  <c r="R410" i="12"/>
  <c r="F411" i="12"/>
  <c r="G411" i="12"/>
  <c r="H411" i="12"/>
  <c r="K411" i="12"/>
  <c r="L411" i="12"/>
  <c r="M411" i="12"/>
  <c r="N411" i="12"/>
  <c r="O411" i="12"/>
  <c r="P411" i="12"/>
  <c r="R411" i="12"/>
  <c r="G405" i="12"/>
  <c r="H405" i="12"/>
  <c r="K405" i="12"/>
  <c r="L405" i="12"/>
  <c r="M405" i="12"/>
  <c r="N405" i="12"/>
  <c r="O405" i="12"/>
  <c r="P405" i="12"/>
  <c r="R405" i="12"/>
  <c r="F405" i="12"/>
  <c r="T392" i="12"/>
  <c r="S392" i="12"/>
  <c r="T393" i="12"/>
  <c r="S393" i="12"/>
  <c r="T391" i="12"/>
  <c r="S391" i="12"/>
  <c r="S390" i="12"/>
  <c r="T390" i="12"/>
  <c r="T389" i="12"/>
  <c r="S389" i="12"/>
  <c r="M21" i="10" l="1"/>
  <c r="N21" i="10"/>
  <c r="M20" i="10"/>
  <c r="O20" i="10"/>
  <c r="W426" i="12"/>
  <c r="N20" i="10" s="1"/>
  <c r="O25" i="8"/>
  <c r="N25" i="8"/>
  <c r="I393" i="12" l="1"/>
  <c r="U393" i="12" s="1"/>
  <c r="I392" i="12"/>
  <c r="U392" i="12" s="1"/>
  <c r="T388" i="12"/>
  <c r="I388" i="12" s="1"/>
  <c r="U388" i="12" s="1"/>
  <c r="S388" i="12"/>
  <c r="L23" i="9"/>
  <c r="U389" i="12"/>
  <c r="U390" i="12"/>
  <c r="U391" i="12"/>
  <c r="V392" i="12"/>
  <c r="W392" i="12" s="1"/>
  <c r="I389" i="12"/>
  <c r="J389" i="12"/>
  <c r="V389" i="12" s="1"/>
  <c r="W389" i="12" s="1"/>
  <c r="I390" i="12"/>
  <c r="J390" i="12"/>
  <c r="V390" i="12" s="1"/>
  <c r="W390" i="12" s="1"/>
  <c r="I391" i="12"/>
  <c r="J391" i="12"/>
  <c r="V391" i="12" s="1"/>
  <c r="W391" i="12" s="1"/>
  <c r="J392" i="12"/>
  <c r="J393" i="12"/>
  <c r="V393" i="12" s="1"/>
  <c r="W393" i="12" s="1"/>
  <c r="J388" i="12"/>
  <c r="Q388" i="12"/>
  <c r="Q389" i="12"/>
  <c r="Q390" i="12"/>
  <c r="Q391" i="12"/>
  <c r="Q393" i="12"/>
  <c r="Q392" i="12"/>
  <c r="V388" i="12"/>
  <c r="W388" i="12" s="1"/>
  <c r="D393" i="12"/>
  <c r="D392" i="12"/>
  <c r="D391" i="12"/>
  <c r="D390" i="12"/>
  <c r="D389" i="12"/>
  <c r="D388" i="12"/>
  <c r="B389" i="12"/>
  <c r="C389" i="12"/>
  <c r="E389" i="12"/>
  <c r="F389" i="12"/>
  <c r="G389" i="12"/>
  <c r="H389" i="12"/>
  <c r="K389" i="12"/>
  <c r="L389" i="12"/>
  <c r="M389" i="12"/>
  <c r="N389" i="12"/>
  <c r="O389" i="12"/>
  <c r="P389" i="12"/>
  <c r="R389" i="12"/>
  <c r="B390" i="12"/>
  <c r="C390" i="12"/>
  <c r="E390" i="12"/>
  <c r="F390" i="12"/>
  <c r="G390" i="12"/>
  <c r="H390" i="12"/>
  <c r="K390" i="12"/>
  <c r="L390" i="12"/>
  <c r="M390" i="12"/>
  <c r="N390" i="12"/>
  <c r="O390" i="12"/>
  <c r="P390" i="12"/>
  <c r="R390" i="12"/>
  <c r="B391" i="12"/>
  <c r="C391" i="12"/>
  <c r="E391" i="12"/>
  <c r="F391" i="12"/>
  <c r="G391" i="12"/>
  <c r="H391" i="12"/>
  <c r="K391" i="12"/>
  <c r="L391" i="12"/>
  <c r="M391" i="12"/>
  <c r="N391" i="12"/>
  <c r="O391" i="12"/>
  <c r="P391" i="12"/>
  <c r="R391" i="12"/>
  <c r="B392" i="12"/>
  <c r="C392" i="12"/>
  <c r="E392" i="12"/>
  <c r="F392" i="12"/>
  <c r="G392" i="12"/>
  <c r="H392" i="12"/>
  <c r="K392" i="12"/>
  <c r="L392" i="12"/>
  <c r="M392" i="12"/>
  <c r="N392" i="12"/>
  <c r="O392" i="12"/>
  <c r="P392" i="12"/>
  <c r="R392" i="12"/>
  <c r="B393" i="12"/>
  <c r="C393" i="12"/>
  <c r="E393" i="12"/>
  <c r="F393" i="12"/>
  <c r="G393" i="12"/>
  <c r="H393" i="12"/>
  <c r="K393" i="12"/>
  <c r="L393" i="12"/>
  <c r="M393" i="12"/>
  <c r="N393" i="12"/>
  <c r="O393" i="12"/>
  <c r="P393" i="12"/>
  <c r="R393" i="12"/>
  <c r="C388" i="12"/>
  <c r="E388" i="12"/>
  <c r="F388" i="12"/>
  <c r="G388" i="12"/>
  <c r="H388" i="12"/>
  <c r="K388" i="12"/>
  <c r="L388" i="12"/>
  <c r="M388" i="12"/>
  <c r="N388" i="12"/>
  <c r="O388" i="12"/>
  <c r="P388" i="12"/>
  <c r="R388" i="12"/>
  <c r="B388" i="12"/>
  <c r="T377" i="12"/>
  <c r="I377" i="12" s="1"/>
  <c r="U377" i="12" s="1"/>
  <c r="S377" i="12"/>
  <c r="J377" i="12" s="1"/>
  <c r="V377" i="12" s="1"/>
  <c r="W377" i="12" s="1"/>
  <c r="T376" i="12"/>
  <c r="S376" i="12"/>
  <c r="T375" i="12"/>
  <c r="I375" i="12" s="1"/>
  <c r="U375" i="12" s="1"/>
  <c r="S375" i="12"/>
  <c r="J376" i="12"/>
  <c r="V376" i="12" s="1"/>
  <c r="W376" i="12" s="1"/>
  <c r="T374" i="12"/>
  <c r="I374" i="12" s="1"/>
  <c r="U374" i="12" s="1"/>
  <c r="S374" i="12"/>
  <c r="J374" i="12"/>
  <c r="V374" i="12" s="1"/>
  <c r="W374" i="12" s="1"/>
  <c r="Q375" i="12"/>
  <c r="Q376" i="12"/>
  <c r="Q377" i="12"/>
  <c r="Q374" i="12"/>
  <c r="J375" i="12"/>
  <c r="V375" i="12" s="1"/>
  <c r="W375" i="12" s="1"/>
  <c r="I376" i="12"/>
  <c r="U376" i="12"/>
  <c r="G374" i="12"/>
  <c r="H374" i="12"/>
  <c r="K374" i="12"/>
  <c r="L374" i="12"/>
  <c r="M374" i="12"/>
  <c r="N374" i="12"/>
  <c r="O374" i="12"/>
  <c r="P374" i="12"/>
  <c r="R374" i="12"/>
  <c r="G375" i="12"/>
  <c r="H375" i="12"/>
  <c r="K375" i="12"/>
  <c r="L375" i="12"/>
  <c r="M375" i="12"/>
  <c r="N375" i="12"/>
  <c r="O375" i="12"/>
  <c r="P375" i="12"/>
  <c r="R375" i="12"/>
  <c r="G376" i="12"/>
  <c r="H376" i="12"/>
  <c r="K376" i="12"/>
  <c r="L376" i="12"/>
  <c r="M376" i="12"/>
  <c r="N376" i="12"/>
  <c r="O376" i="12"/>
  <c r="P376" i="12"/>
  <c r="R376" i="12"/>
  <c r="G377" i="12"/>
  <c r="H377" i="12"/>
  <c r="K377" i="12"/>
  <c r="L377" i="12"/>
  <c r="M377" i="12"/>
  <c r="N377" i="12"/>
  <c r="O377" i="12"/>
  <c r="P377" i="12"/>
  <c r="R377" i="12"/>
  <c r="F375" i="12"/>
  <c r="F376" i="12"/>
  <c r="F377" i="12"/>
  <c r="F374" i="12"/>
  <c r="L22" i="9"/>
  <c r="T365" i="12"/>
  <c r="S365" i="12"/>
  <c r="J365" i="12" s="1"/>
  <c r="V365" i="12" s="1"/>
  <c r="W365" i="12" s="1"/>
  <c r="T364" i="12"/>
  <c r="S364" i="12"/>
  <c r="J364" i="12" s="1"/>
  <c r="V364" i="12" s="1"/>
  <c r="W364" i="12" s="1"/>
  <c r="T363" i="12"/>
  <c r="S363" i="12"/>
  <c r="T362" i="12"/>
  <c r="I362" i="12" s="1"/>
  <c r="U362" i="12" s="1"/>
  <c r="S362" i="12"/>
  <c r="J362" i="12" s="1"/>
  <c r="V362" i="12" s="1"/>
  <c r="W362" i="12" s="1"/>
  <c r="T361" i="12"/>
  <c r="S361" i="12"/>
  <c r="J361" i="12" s="1"/>
  <c r="V361" i="12" s="1"/>
  <c r="W361" i="12" s="1"/>
  <c r="T359" i="12"/>
  <c r="S359" i="12"/>
  <c r="T360" i="12"/>
  <c r="I360" i="12" s="1"/>
  <c r="U360" i="12" s="1"/>
  <c r="S360" i="12"/>
  <c r="J360" i="12" s="1"/>
  <c r="V360" i="12" s="1"/>
  <c r="W360" i="12" s="1"/>
  <c r="T357" i="12"/>
  <c r="S357" i="12"/>
  <c r="D21" i="7"/>
  <c r="T358" i="12"/>
  <c r="S358" i="12"/>
  <c r="I364" i="12"/>
  <c r="U364" i="12" s="1"/>
  <c r="Q358" i="12"/>
  <c r="Q359" i="12"/>
  <c r="Q360" i="12"/>
  <c r="Q361" i="12"/>
  <c r="Q362" i="12"/>
  <c r="Q363" i="12"/>
  <c r="Q364" i="12"/>
  <c r="Q365" i="12"/>
  <c r="Q357" i="12"/>
  <c r="U363" i="12"/>
  <c r="U359" i="12"/>
  <c r="U358" i="12"/>
  <c r="I359" i="12"/>
  <c r="J359" i="12"/>
  <c r="V359" i="12" s="1"/>
  <c r="W359" i="12" s="1"/>
  <c r="I363" i="12"/>
  <c r="J363" i="12"/>
  <c r="V363" i="12" s="1"/>
  <c r="W363" i="12" s="1"/>
  <c r="J358" i="12"/>
  <c r="V358" i="12" s="1"/>
  <c r="W358" i="12" s="1"/>
  <c r="I358" i="12"/>
  <c r="F358" i="12"/>
  <c r="G358" i="12"/>
  <c r="H358" i="12"/>
  <c r="K358" i="12"/>
  <c r="L358" i="12"/>
  <c r="M358" i="12"/>
  <c r="N358" i="12"/>
  <c r="O358" i="12"/>
  <c r="P358" i="12"/>
  <c r="R358" i="12"/>
  <c r="F359" i="12"/>
  <c r="G359" i="12"/>
  <c r="H359" i="12"/>
  <c r="K359" i="12"/>
  <c r="L359" i="12"/>
  <c r="M359" i="12"/>
  <c r="N359" i="12"/>
  <c r="O359" i="12"/>
  <c r="P359" i="12"/>
  <c r="R359" i="12"/>
  <c r="F360" i="12"/>
  <c r="G360" i="12"/>
  <c r="H360" i="12"/>
  <c r="K360" i="12"/>
  <c r="L360" i="12"/>
  <c r="M360" i="12"/>
  <c r="N360" i="12"/>
  <c r="O360" i="12"/>
  <c r="P360" i="12"/>
  <c r="R360" i="12"/>
  <c r="F361" i="12"/>
  <c r="G361" i="12"/>
  <c r="H361" i="12"/>
  <c r="K361" i="12"/>
  <c r="L361" i="12"/>
  <c r="M361" i="12"/>
  <c r="N361" i="12"/>
  <c r="O361" i="12"/>
  <c r="P361" i="12"/>
  <c r="R361" i="12"/>
  <c r="F362" i="12"/>
  <c r="G362" i="12"/>
  <c r="H362" i="12"/>
  <c r="K362" i="12"/>
  <c r="L362" i="12"/>
  <c r="M362" i="12"/>
  <c r="N362" i="12"/>
  <c r="O362" i="12"/>
  <c r="P362" i="12"/>
  <c r="R362" i="12"/>
  <c r="F363" i="12"/>
  <c r="G363" i="12"/>
  <c r="H363" i="12"/>
  <c r="K363" i="12"/>
  <c r="L363" i="12"/>
  <c r="M363" i="12"/>
  <c r="N363" i="12"/>
  <c r="O363" i="12"/>
  <c r="P363" i="12"/>
  <c r="R363" i="12"/>
  <c r="F364" i="12"/>
  <c r="G364" i="12"/>
  <c r="H364" i="12"/>
  <c r="K364" i="12"/>
  <c r="L364" i="12"/>
  <c r="M364" i="12"/>
  <c r="N364" i="12"/>
  <c r="O364" i="12"/>
  <c r="P364" i="12"/>
  <c r="R364" i="12"/>
  <c r="F365" i="12"/>
  <c r="G365" i="12"/>
  <c r="H365" i="12"/>
  <c r="K365" i="12"/>
  <c r="L365" i="12"/>
  <c r="M365" i="12"/>
  <c r="N365" i="12"/>
  <c r="O365" i="12"/>
  <c r="P365" i="12"/>
  <c r="R365" i="12"/>
  <c r="G357" i="12"/>
  <c r="H357" i="12"/>
  <c r="K357" i="12"/>
  <c r="L357" i="12"/>
  <c r="M357" i="12"/>
  <c r="N357" i="12"/>
  <c r="O357" i="12"/>
  <c r="P357" i="12"/>
  <c r="R357" i="12"/>
  <c r="F357" i="12"/>
  <c r="T342" i="12"/>
  <c r="S342" i="12"/>
  <c r="T339" i="12"/>
  <c r="S339" i="12"/>
  <c r="T340" i="12"/>
  <c r="S340" i="12"/>
  <c r="T341" i="12"/>
  <c r="S341" i="12"/>
  <c r="T338" i="12"/>
  <c r="S338" i="12"/>
  <c r="N23" i="9" l="1"/>
  <c r="O23" i="9"/>
  <c r="M23" i="9"/>
  <c r="N22" i="9"/>
  <c r="M22" i="9"/>
  <c r="I365" i="12"/>
  <c r="U365" i="12" s="1"/>
  <c r="I361" i="12"/>
  <c r="U361" i="12" s="1"/>
  <c r="J357" i="12"/>
  <c r="V357" i="12" s="1"/>
  <c r="W357" i="12" s="1"/>
  <c r="N22" i="7"/>
  <c r="M22" i="7"/>
  <c r="O22" i="7"/>
  <c r="I357" i="12"/>
  <c r="U357" i="12" s="1"/>
  <c r="L24" i="8"/>
  <c r="L22" i="7"/>
  <c r="T343" i="12"/>
  <c r="S343" i="12"/>
  <c r="J343" i="12" s="1"/>
  <c r="V343" i="12" s="1"/>
  <c r="W343" i="12" s="1"/>
  <c r="I338" i="12"/>
  <c r="U338" i="12" s="1"/>
  <c r="J338" i="12"/>
  <c r="V338" i="12" s="1"/>
  <c r="W338" i="12" s="1"/>
  <c r="I339" i="12"/>
  <c r="J339" i="12"/>
  <c r="V339" i="12" s="1"/>
  <c r="W339" i="12" s="1"/>
  <c r="I340" i="12"/>
  <c r="J340" i="12"/>
  <c r="V340" i="12" s="1"/>
  <c r="W340" i="12" s="1"/>
  <c r="I341" i="12"/>
  <c r="U341" i="12" s="1"/>
  <c r="J341" i="12"/>
  <c r="V341" i="12" s="1"/>
  <c r="W341" i="12" s="1"/>
  <c r="I342" i="12"/>
  <c r="J342" i="12"/>
  <c r="V342" i="12" s="1"/>
  <c r="W342" i="12" s="1"/>
  <c r="I343" i="12"/>
  <c r="U339" i="12"/>
  <c r="U340" i="12"/>
  <c r="U342" i="12"/>
  <c r="U343" i="12"/>
  <c r="Q339" i="12"/>
  <c r="Q340" i="12"/>
  <c r="Q341" i="12"/>
  <c r="Q342" i="12"/>
  <c r="Q343" i="12"/>
  <c r="Q338" i="12"/>
  <c r="G338" i="12"/>
  <c r="H338" i="12"/>
  <c r="K338" i="12"/>
  <c r="L338" i="12"/>
  <c r="M338" i="12"/>
  <c r="N338" i="12"/>
  <c r="O338" i="12"/>
  <c r="P338" i="12"/>
  <c r="R338" i="12"/>
  <c r="G339" i="12"/>
  <c r="H339" i="12"/>
  <c r="K339" i="12"/>
  <c r="L339" i="12"/>
  <c r="M339" i="12"/>
  <c r="N339" i="12"/>
  <c r="O339" i="12"/>
  <c r="P339" i="12"/>
  <c r="R339" i="12"/>
  <c r="G340" i="12"/>
  <c r="H340" i="12"/>
  <c r="K340" i="12"/>
  <c r="L340" i="12"/>
  <c r="M340" i="12"/>
  <c r="N340" i="12"/>
  <c r="O340" i="12"/>
  <c r="P340" i="12"/>
  <c r="R340" i="12"/>
  <c r="G341" i="12"/>
  <c r="H341" i="12"/>
  <c r="K341" i="12"/>
  <c r="L341" i="12"/>
  <c r="M341" i="12"/>
  <c r="N341" i="12"/>
  <c r="O341" i="12"/>
  <c r="P341" i="12"/>
  <c r="R341" i="12"/>
  <c r="G342" i="12"/>
  <c r="H342" i="12"/>
  <c r="K342" i="12"/>
  <c r="L342" i="12"/>
  <c r="M342" i="12"/>
  <c r="N342" i="12"/>
  <c r="O342" i="12"/>
  <c r="P342" i="12"/>
  <c r="R342" i="12"/>
  <c r="G343" i="12"/>
  <c r="H343" i="12"/>
  <c r="K343" i="12"/>
  <c r="L343" i="12"/>
  <c r="M343" i="12"/>
  <c r="N343" i="12"/>
  <c r="O343" i="12"/>
  <c r="P343" i="12"/>
  <c r="R343" i="12"/>
  <c r="F339" i="12"/>
  <c r="F340" i="12"/>
  <c r="F341" i="12"/>
  <c r="F342" i="12"/>
  <c r="F343" i="12"/>
  <c r="F338" i="12"/>
  <c r="L21" i="7"/>
  <c r="T321" i="12"/>
  <c r="S321" i="12"/>
  <c r="T322" i="12"/>
  <c r="S322" i="12"/>
  <c r="S323" i="12"/>
  <c r="T324" i="12"/>
  <c r="S324" i="12"/>
  <c r="T327" i="12"/>
  <c r="S327" i="12"/>
  <c r="L22" i="11"/>
  <c r="T325" i="12"/>
  <c r="S325" i="12"/>
  <c r="T326" i="12"/>
  <c r="S326" i="12"/>
  <c r="T323" i="12"/>
  <c r="M21" i="7" l="1"/>
  <c r="O21" i="7"/>
  <c r="N21" i="7"/>
  <c r="V323" i="12"/>
  <c r="W323" i="12" s="1"/>
  <c r="U325" i="12"/>
  <c r="V325" i="12"/>
  <c r="W325" i="12" s="1"/>
  <c r="V321" i="12"/>
  <c r="W321" i="12" s="1"/>
  <c r="Q322" i="12"/>
  <c r="Q323" i="12"/>
  <c r="Q324" i="12"/>
  <c r="Q325" i="12"/>
  <c r="Q326" i="12"/>
  <c r="J326" i="12" s="1"/>
  <c r="V326" i="12" s="1"/>
  <c r="W326" i="12" s="1"/>
  <c r="Q327" i="12"/>
  <c r="I327" i="12" s="1"/>
  <c r="U327" i="12" s="1"/>
  <c r="Q321" i="12"/>
  <c r="I322" i="12"/>
  <c r="U322" i="12" s="1"/>
  <c r="J322" i="12"/>
  <c r="V322" i="12" s="1"/>
  <c r="W322" i="12" s="1"/>
  <c r="I323" i="12"/>
  <c r="U323" i="12" s="1"/>
  <c r="J323" i="12"/>
  <c r="I324" i="12"/>
  <c r="U324" i="12" s="1"/>
  <c r="J324" i="12"/>
  <c r="V324" i="12" s="1"/>
  <c r="W324" i="12" s="1"/>
  <c r="I325" i="12"/>
  <c r="J325" i="12"/>
  <c r="I326" i="12"/>
  <c r="U326" i="12" s="1"/>
  <c r="J321" i="12"/>
  <c r="I321" i="12"/>
  <c r="U321" i="12" s="1"/>
  <c r="F322" i="12"/>
  <c r="G322" i="12"/>
  <c r="H322" i="12"/>
  <c r="K322" i="12"/>
  <c r="L322" i="12"/>
  <c r="M322" i="12"/>
  <c r="N322" i="12"/>
  <c r="O322" i="12"/>
  <c r="P322" i="12"/>
  <c r="R322" i="12"/>
  <c r="F323" i="12"/>
  <c r="G323" i="12"/>
  <c r="H323" i="12"/>
  <c r="K323" i="12"/>
  <c r="L323" i="12"/>
  <c r="M323" i="12"/>
  <c r="N323" i="12"/>
  <c r="O323" i="12"/>
  <c r="P323" i="12"/>
  <c r="R323" i="12"/>
  <c r="F324" i="12"/>
  <c r="G324" i="12"/>
  <c r="H324" i="12"/>
  <c r="K324" i="12"/>
  <c r="L324" i="12"/>
  <c r="M324" i="12"/>
  <c r="N324" i="12"/>
  <c r="O324" i="12"/>
  <c r="P324" i="12"/>
  <c r="R324" i="12"/>
  <c r="F325" i="12"/>
  <c r="G325" i="12"/>
  <c r="H325" i="12"/>
  <c r="K325" i="12"/>
  <c r="L325" i="12"/>
  <c r="M325" i="12"/>
  <c r="N325" i="12"/>
  <c r="O325" i="12"/>
  <c r="P325" i="12"/>
  <c r="R325" i="12"/>
  <c r="F326" i="12"/>
  <c r="G326" i="12"/>
  <c r="H326" i="12"/>
  <c r="K326" i="12"/>
  <c r="L326" i="12"/>
  <c r="M326" i="12"/>
  <c r="N326" i="12"/>
  <c r="O326" i="12"/>
  <c r="P326" i="12"/>
  <c r="R326" i="12"/>
  <c r="F327" i="12"/>
  <c r="G327" i="12"/>
  <c r="H327" i="12"/>
  <c r="K327" i="12"/>
  <c r="L327" i="12"/>
  <c r="M327" i="12"/>
  <c r="N327" i="12"/>
  <c r="O327" i="12"/>
  <c r="P327" i="12"/>
  <c r="R327" i="12"/>
  <c r="G321" i="12"/>
  <c r="H321" i="12"/>
  <c r="K321" i="12"/>
  <c r="L321" i="12"/>
  <c r="M321" i="12"/>
  <c r="N321" i="12"/>
  <c r="O321" i="12"/>
  <c r="P321" i="12"/>
  <c r="R321" i="12"/>
  <c r="F321" i="12"/>
  <c r="T309" i="12"/>
  <c r="I309" i="12" s="1"/>
  <c r="U309" i="12" s="1"/>
  <c r="S309" i="12"/>
  <c r="J309" i="12" s="1"/>
  <c r="V309" i="12" s="1"/>
  <c r="W309" i="12" s="1"/>
  <c r="T308" i="12"/>
  <c r="S308" i="12"/>
  <c r="T307" i="12"/>
  <c r="S307" i="12"/>
  <c r="T306" i="12"/>
  <c r="I306" i="12" s="1"/>
  <c r="U306" i="12" s="1"/>
  <c r="S306" i="12"/>
  <c r="J306" i="12" s="1"/>
  <c r="V306" i="12" s="1"/>
  <c r="W306" i="12" s="1"/>
  <c r="T305" i="12"/>
  <c r="S305" i="12"/>
  <c r="I305" i="12"/>
  <c r="U305" i="12" s="1"/>
  <c r="I307" i="12"/>
  <c r="J307" i="12"/>
  <c r="V307" i="12" s="1"/>
  <c r="W307" i="12" s="1"/>
  <c r="I308" i="12"/>
  <c r="J308" i="12"/>
  <c r="V308" i="12" s="1"/>
  <c r="W308" i="12" s="1"/>
  <c r="J305" i="12"/>
  <c r="U307" i="12"/>
  <c r="U308" i="12"/>
  <c r="V305" i="12"/>
  <c r="W305" i="12" s="1"/>
  <c r="M21" i="11" s="1"/>
  <c r="Q306" i="12"/>
  <c r="Q307" i="12"/>
  <c r="Q308" i="12"/>
  <c r="Q309" i="12"/>
  <c r="Q305" i="12"/>
  <c r="F306" i="12"/>
  <c r="G306" i="12"/>
  <c r="H306" i="12"/>
  <c r="K306" i="12"/>
  <c r="L306" i="12"/>
  <c r="M306" i="12"/>
  <c r="N306" i="12"/>
  <c r="O306" i="12"/>
  <c r="P306" i="12"/>
  <c r="R306" i="12"/>
  <c r="F307" i="12"/>
  <c r="G307" i="12"/>
  <c r="H307" i="12"/>
  <c r="K307" i="12"/>
  <c r="L307" i="12"/>
  <c r="M307" i="12"/>
  <c r="N307" i="12"/>
  <c r="O307" i="12"/>
  <c r="P307" i="12"/>
  <c r="R307" i="12"/>
  <c r="F308" i="12"/>
  <c r="G308" i="12"/>
  <c r="H308" i="12"/>
  <c r="K308" i="12"/>
  <c r="L308" i="12"/>
  <c r="M308" i="12"/>
  <c r="N308" i="12"/>
  <c r="O308" i="12"/>
  <c r="P308" i="12"/>
  <c r="R308" i="12"/>
  <c r="F309" i="12"/>
  <c r="G309" i="12"/>
  <c r="H309" i="12"/>
  <c r="K309" i="12"/>
  <c r="L309" i="12"/>
  <c r="M309" i="12"/>
  <c r="N309" i="12"/>
  <c r="O309" i="12"/>
  <c r="P309" i="12"/>
  <c r="R309" i="12"/>
  <c r="G305" i="12"/>
  <c r="H305" i="12"/>
  <c r="K305" i="12"/>
  <c r="L305" i="12"/>
  <c r="M305" i="12"/>
  <c r="N305" i="12"/>
  <c r="O305" i="12"/>
  <c r="P305" i="12"/>
  <c r="R305" i="12"/>
  <c r="F305" i="12"/>
  <c r="L21" i="11"/>
  <c r="T295" i="12"/>
  <c r="S295" i="12"/>
  <c r="T294" i="12"/>
  <c r="S294" i="12"/>
  <c r="J294" i="12" s="1"/>
  <c r="V294" i="12" s="1"/>
  <c r="W294" i="12" s="1"/>
  <c r="N23" i="6" s="1"/>
  <c r="T293" i="12"/>
  <c r="S293" i="12"/>
  <c r="T292" i="12"/>
  <c r="S292" i="12"/>
  <c r="J292" i="12" s="1"/>
  <c r="V292" i="12" s="1"/>
  <c r="W292" i="12" s="1"/>
  <c r="M23" i="6" s="1"/>
  <c r="I295" i="12"/>
  <c r="U295" i="12" s="1"/>
  <c r="J295" i="12"/>
  <c r="V295" i="12" s="1"/>
  <c r="W295" i="12" s="1"/>
  <c r="O23" i="6" s="1"/>
  <c r="I292" i="12"/>
  <c r="U292" i="12" s="1"/>
  <c r="Q293" i="12"/>
  <c r="I293" i="12" s="1"/>
  <c r="U293" i="12" s="1"/>
  <c r="Q294" i="12"/>
  <c r="Q295" i="12"/>
  <c r="Q292" i="12"/>
  <c r="J293" i="12"/>
  <c r="V293" i="12"/>
  <c r="W293" i="12" s="1"/>
  <c r="F293" i="12"/>
  <c r="G293" i="12"/>
  <c r="H293" i="12"/>
  <c r="K293" i="12"/>
  <c r="L293" i="12"/>
  <c r="M293" i="12"/>
  <c r="N293" i="12"/>
  <c r="O293" i="12"/>
  <c r="P293" i="12"/>
  <c r="R293" i="12"/>
  <c r="F294" i="12"/>
  <c r="G294" i="12"/>
  <c r="H294" i="12"/>
  <c r="K294" i="12"/>
  <c r="L294" i="12"/>
  <c r="M294" i="12"/>
  <c r="N294" i="12"/>
  <c r="O294" i="12"/>
  <c r="P294" i="12"/>
  <c r="R294" i="12"/>
  <c r="F295" i="12"/>
  <c r="G295" i="12"/>
  <c r="H295" i="12"/>
  <c r="K295" i="12"/>
  <c r="L295" i="12"/>
  <c r="M295" i="12"/>
  <c r="N295" i="12"/>
  <c r="O295" i="12"/>
  <c r="P295" i="12"/>
  <c r="R295" i="12"/>
  <c r="G292" i="12"/>
  <c r="H292" i="12"/>
  <c r="K292" i="12"/>
  <c r="L292" i="12"/>
  <c r="M292" i="12"/>
  <c r="N292" i="12"/>
  <c r="O292" i="12"/>
  <c r="P292" i="12"/>
  <c r="R292" i="12"/>
  <c r="F292" i="12"/>
  <c r="O22" i="6"/>
  <c r="T283" i="12"/>
  <c r="S283" i="12"/>
  <c r="T282" i="12"/>
  <c r="S282" i="12"/>
  <c r="T280" i="12"/>
  <c r="S280" i="12"/>
  <c r="J280" i="12" s="1"/>
  <c r="V280" i="12" s="1"/>
  <c r="W280" i="12" s="1"/>
  <c r="T279" i="12"/>
  <c r="S279" i="12"/>
  <c r="T277" i="12"/>
  <c r="S277" i="12"/>
  <c r="J277" i="12" s="1"/>
  <c r="V277" i="12" s="1"/>
  <c r="W277" i="12" s="1"/>
  <c r="T276" i="12"/>
  <c r="S276" i="12"/>
  <c r="T278" i="12"/>
  <c r="I278" i="12" s="1"/>
  <c r="U278" i="12" s="1"/>
  <c r="S278" i="12"/>
  <c r="I282" i="12"/>
  <c r="U282" i="12" s="1"/>
  <c r="T281" i="12"/>
  <c r="I281" i="12" s="1"/>
  <c r="U281" i="12" s="1"/>
  <c r="S281" i="12"/>
  <c r="J281" i="12" s="1"/>
  <c r="V281" i="12" s="1"/>
  <c r="W281" i="12" s="1"/>
  <c r="U277" i="12"/>
  <c r="V278" i="12"/>
  <c r="W278" i="12"/>
  <c r="U280" i="12"/>
  <c r="V282" i="12"/>
  <c r="W282" i="12" s="1"/>
  <c r="V283" i="12"/>
  <c r="W283" i="12" s="1"/>
  <c r="V276" i="12"/>
  <c r="W276" i="12" s="1"/>
  <c r="Q277" i="12"/>
  <c r="Q278" i="12"/>
  <c r="J278" i="12" s="1"/>
  <c r="Q279" i="12"/>
  <c r="Q280" i="12"/>
  <c r="Q281" i="12"/>
  <c r="Q282" i="12"/>
  <c r="J282" i="12" s="1"/>
  <c r="Q283" i="12"/>
  <c r="J283" i="12" s="1"/>
  <c r="Q276" i="12"/>
  <c r="J276" i="12" s="1"/>
  <c r="I277" i="12"/>
  <c r="I280" i="12"/>
  <c r="F277" i="12"/>
  <c r="G277" i="12"/>
  <c r="H277" i="12"/>
  <c r="K277" i="12"/>
  <c r="L277" i="12"/>
  <c r="M277" i="12"/>
  <c r="N277" i="12"/>
  <c r="O277" i="12"/>
  <c r="P277" i="12"/>
  <c r="R277" i="12"/>
  <c r="F278" i="12"/>
  <c r="G278" i="12"/>
  <c r="H278" i="12"/>
  <c r="K278" i="12"/>
  <c r="L278" i="12"/>
  <c r="M278" i="12"/>
  <c r="N278" i="12"/>
  <c r="O278" i="12"/>
  <c r="P278" i="12"/>
  <c r="R278" i="12"/>
  <c r="F279" i="12"/>
  <c r="G279" i="12"/>
  <c r="H279" i="12"/>
  <c r="K279" i="12"/>
  <c r="L279" i="12"/>
  <c r="M279" i="12"/>
  <c r="N279" i="12"/>
  <c r="O279" i="12"/>
  <c r="P279" i="12"/>
  <c r="R279" i="12"/>
  <c r="F280" i="12"/>
  <c r="G280" i="12"/>
  <c r="H280" i="12"/>
  <c r="K280" i="12"/>
  <c r="L280" i="12"/>
  <c r="M280" i="12"/>
  <c r="N280" i="12"/>
  <c r="O280" i="12"/>
  <c r="P280" i="12"/>
  <c r="R280" i="12"/>
  <c r="F281" i="12"/>
  <c r="G281" i="12"/>
  <c r="H281" i="12"/>
  <c r="K281" i="12"/>
  <c r="L281" i="12"/>
  <c r="M281" i="12"/>
  <c r="N281" i="12"/>
  <c r="O281" i="12"/>
  <c r="P281" i="12"/>
  <c r="R281" i="12"/>
  <c r="F282" i="12"/>
  <c r="G282" i="12"/>
  <c r="H282" i="12"/>
  <c r="K282" i="12"/>
  <c r="L282" i="12"/>
  <c r="M282" i="12"/>
  <c r="N282" i="12"/>
  <c r="O282" i="12"/>
  <c r="P282" i="12"/>
  <c r="R282" i="12"/>
  <c r="F283" i="12"/>
  <c r="G283" i="12"/>
  <c r="H283" i="12"/>
  <c r="K283" i="12"/>
  <c r="L283" i="12"/>
  <c r="M283" i="12"/>
  <c r="N283" i="12"/>
  <c r="O283" i="12"/>
  <c r="P283" i="12"/>
  <c r="R283" i="12"/>
  <c r="G276" i="12"/>
  <c r="H276" i="12"/>
  <c r="K276" i="12"/>
  <c r="L276" i="12"/>
  <c r="M276" i="12"/>
  <c r="N276" i="12"/>
  <c r="O276" i="12"/>
  <c r="P276" i="12"/>
  <c r="R276" i="12"/>
  <c r="F276" i="12"/>
  <c r="L23" i="6"/>
  <c r="L22" i="6"/>
  <c r="T263" i="12"/>
  <c r="S263" i="12"/>
  <c r="T262" i="12"/>
  <c r="I262" i="12" s="1"/>
  <c r="U262" i="12" s="1"/>
  <c r="S262" i="12"/>
  <c r="T261" i="12"/>
  <c r="S261" i="12"/>
  <c r="T260" i="12"/>
  <c r="S260" i="12"/>
  <c r="T259" i="12"/>
  <c r="S259" i="12"/>
  <c r="J259" i="12" s="1"/>
  <c r="V259" i="12" s="1"/>
  <c r="W259" i="12" s="1"/>
  <c r="T258" i="12"/>
  <c r="S258" i="12"/>
  <c r="J263" i="12"/>
  <c r="V263" i="12" s="1"/>
  <c r="W263" i="12" s="1"/>
  <c r="O25" i="5" s="1"/>
  <c r="D8" i="2"/>
  <c r="D9" i="2"/>
  <c r="Q259" i="12"/>
  <c r="Q260" i="12"/>
  <c r="J260" i="12" s="1"/>
  <c r="V260" i="12" s="1"/>
  <c r="W260" i="12" s="1"/>
  <c r="Q261" i="12"/>
  <c r="Q262" i="12"/>
  <c r="Q263" i="12"/>
  <c r="Q258" i="12"/>
  <c r="F259" i="12"/>
  <c r="G259" i="12"/>
  <c r="H259" i="12"/>
  <c r="K259" i="12"/>
  <c r="L259" i="12"/>
  <c r="M259" i="12"/>
  <c r="N259" i="12"/>
  <c r="O259" i="12"/>
  <c r="P259" i="12"/>
  <c r="R259" i="12"/>
  <c r="F260" i="12"/>
  <c r="G260" i="12"/>
  <c r="H260" i="12"/>
  <c r="K260" i="12"/>
  <c r="L260" i="12"/>
  <c r="M260" i="12"/>
  <c r="N260" i="12"/>
  <c r="O260" i="12"/>
  <c r="P260" i="12"/>
  <c r="R260" i="12"/>
  <c r="F261" i="12"/>
  <c r="G261" i="12"/>
  <c r="H261" i="12"/>
  <c r="K261" i="12"/>
  <c r="L261" i="12"/>
  <c r="M261" i="12"/>
  <c r="N261" i="12"/>
  <c r="O261" i="12"/>
  <c r="P261" i="12"/>
  <c r="R261" i="12"/>
  <c r="F262" i="12"/>
  <c r="G262" i="12"/>
  <c r="H262" i="12"/>
  <c r="K262" i="12"/>
  <c r="L262" i="12"/>
  <c r="M262" i="12"/>
  <c r="N262" i="12"/>
  <c r="O262" i="12"/>
  <c r="P262" i="12"/>
  <c r="R262" i="12"/>
  <c r="F263" i="12"/>
  <c r="G263" i="12"/>
  <c r="H263" i="12"/>
  <c r="K263" i="12"/>
  <c r="L263" i="12"/>
  <c r="M263" i="12"/>
  <c r="N263" i="12"/>
  <c r="O263" i="12"/>
  <c r="P263" i="12"/>
  <c r="R263" i="12"/>
  <c r="G258" i="12"/>
  <c r="H258" i="12"/>
  <c r="K258" i="12"/>
  <c r="L258" i="12"/>
  <c r="M258" i="12"/>
  <c r="N258" i="12"/>
  <c r="O258" i="12"/>
  <c r="P258" i="12"/>
  <c r="R258" i="12"/>
  <c r="F258" i="12"/>
  <c r="Q247" i="12"/>
  <c r="J247" i="12" s="1"/>
  <c r="T247" i="12"/>
  <c r="S247" i="12"/>
  <c r="D247" i="12"/>
  <c r="F247" i="12"/>
  <c r="G247" i="12"/>
  <c r="H247" i="12"/>
  <c r="K247" i="12"/>
  <c r="L247" i="12"/>
  <c r="M247" i="12"/>
  <c r="N247" i="12"/>
  <c r="O247" i="12"/>
  <c r="P247" i="12"/>
  <c r="R247" i="12"/>
  <c r="C247" i="12"/>
  <c r="D7" i="2" l="1"/>
  <c r="N22" i="11"/>
  <c r="M22" i="11"/>
  <c r="J327" i="12"/>
  <c r="V327" i="12" s="1"/>
  <c r="W327" i="12" s="1"/>
  <c r="O22" i="11" s="1"/>
  <c r="O21" i="11"/>
  <c r="N21" i="11"/>
  <c r="I294" i="12"/>
  <c r="U294" i="12" s="1"/>
  <c r="J279" i="12"/>
  <c r="V279" i="12" s="1"/>
  <c r="W279" i="12" s="1"/>
  <c r="N22" i="6" s="1"/>
  <c r="M22" i="6"/>
  <c r="I283" i="12"/>
  <c r="U283" i="12" s="1"/>
  <c r="I279" i="12"/>
  <c r="U279" i="12" s="1"/>
  <c r="I276" i="12"/>
  <c r="U276" i="12" s="1"/>
  <c r="I261" i="12"/>
  <c r="U261" i="12" s="1"/>
  <c r="J261" i="12"/>
  <c r="V261" i="12" s="1"/>
  <c r="W261" i="12" s="1"/>
  <c r="I259" i="12"/>
  <c r="U259" i="12" s="1"/>
  <c r="I258" i="12"/>
  <c r="U258" i="12" s="1"/>
  <c r="J262" i="12"/>
  <c r="V262" i="12" s="1"/>
  <c r="W262" i="12" s="1"/>
  <c r="I263" i="12"/>
  <c r="U263" i="12" s="1"/>
  <c r="I260" i="12"/>
  <c r="U260" i="12" s="1"/>
  <c r="J258" i="12"/>
  <c r="V258" i="12" s="1"/>
  <c r="W258" i="12" s="1"/>
  <c r="M25" i="5" s="1"/>
  <c r="D5" i="2" l="1"/>
  <c r="N25" i="5"/>
  <c r="N4" i="5"/>
  <c r="L25" i="5"/>
  <c r="T238" i="12"/>
  <c r="S238" i="12"/>
  <c r="T236" i="12"/>
  <c r="S236" i="12"/>
  <c r="T241" i="12"/>
  <c r="S241" i="12"/>
  <c r="T239" i="12"/>
  <c r="S239" i="12"/>
  <c r="T237" i="12"/>
  <c r="S237" i="12"/>
  <c r="T240" i="12"/>
  <c r="I240" i="12" s="1"/>
  <c r="U240" i="12" s="1"/>
  <c r="S240" i="12"/>
  <c r="J240" i="12" s="1"/>
  <c r="V240" i="12" s="1"/>
  <c r="Q237" i="12"/>
  <c r="J237" i="12" s="1"/>
  <c r="V237" i="12" s="1"/>
  <c r="Q238" i="12"/>
  <c r="I238" i="12" s="1"/>
  <c r="U238" i="12" s="1"/>
  <c r="Q239" i="12"/>
  <c r="Q240" i="12"/>
  <c r="Q241" i="12"/>
  <c r="J241" i="12" s="1"/>
  <c r="V241" i="12" s="1"/>
  <c r="Q236" i="12"/>
  <c r="F237" i="12"/>
  <c r="G237" i="12"/>
  <c r="H237" i="12"/>
  <c r="K237" i="12"/>
  <c r="L237" i="12"/>
  <c r="M237" i="12"/>
  <c r="N237" i="12"/>
  <c r="O237" i="12"/>
  <c r="P237" i="12"/>
  <c r="R237" i="12"/>
  <c r="F238" i="12"/>
  <c r="G238" i="12"/>
  <c r="H238" i="12"/>
  <c r="K238" i="12"/>
  <c r="L238" i="12"/>
  <c r="M238" i="12"/>
  <c r="N238" i="12"/>
  <c r="O238" i="12"/>
  <c r="P238" i="12"/>
  <c r="R238" i="12"/>
  <c r="F239" i="12"/>
  <c r="G239" i="12"/>
  <c r="H239" i="12"/>
  <c r="K239" i="12"/>
  <c r="L239" i="12"/>
  <c r="M239" i="12"/>
  <c r="N239" i="12"/>
  <c r="O239" i="12"/>
  <c r="P239" i="12"/>
  <c r="R239" i="12"/>
  <c r="F240" i="12"/>
  <c r="G240" i="12"/>
  <c r="H240" i="12"/>
  <c r="K240" i="12"/>
  <c r="L240" i="12"/>
  <c r="M240" i="12"/>
  <c r="N240" i="12"/>
  <c r="O240" i="12"/>
  <c r="P240" i="12"/>
  <c r="R240" i="12"/>
  <c r="F241" i="12"/>
  <c r="G241" i="12"/>
  <c r="H241" i="12"/>
  <c r="K241" i="12"/>
  <c r="L241" i="12"/>
  <c r="M241" i="12"/>
  <c r="N241" i="12"/>
  <c r="O241" i="12"/>
  <c r="P241" i="12"/>
  <c r="R241" i="12"/>
  <c r="G236" i="12"/>
  <c r="H236" i="12"/>
  <c r="K236" i="12"/>
  <c r="L236" i="12"/>
  <c r="M236" i="12"/>
  <c r="N236" i="12"/>
  <c r="O236" i="12"/>
  <c r="P236" i="12"/>
  <c r="R236" i="12"/>
  <c r="F236" i="12"/>
  <c r="T225" i="12"/>
  <c r="S225" i="12"/>
  <c r="T221" i="12"/>
  <c r="S221" i="12"/>
  <c r="T224" i="12"/>
  <c r="S224" i="12"/>
  <c r="T222" i="12"/>
  <c r="S222" i="12"/>
  <c r="T219" i="12"/>
  <c r="S219" i="12"/>
  <c r="I237" i="12" l="1"/>
  <c r="U237" i="12" s="1"/>
  <c r="I241" i="12"/>
  <c r="U241" i="12" s="1"/>
  <c r="J236" i="12"/>
  <c r="V236" i="12" s="1"/>
  <c r="W236" i="12" s="1"/>
  <c r="I236" i="12"/>
  <c r="U236" i="12" s="1"/>
  <c r="J238" i="12"/>
  <c r="V238" i="12" s="1"/>
  <c r="W238" i="12" s="1"/>
  <c r="J239" i="12"/>
  <c r="V239" i="12" s="1"/>
  <c r="W239" i="12" s="1"/>
  <c r="I239" i="12"/>
  <c r="U239" i="12" s="1"/>
  <c r="W240" i="12"/>
  <c r="W241" i="12"/>
  <c r="W237" i="12"/>
  <c r="T223" i="12"/>
  <c r="S223" i="12"/>
  <c r="T220" i="12"/>
  <c r="S220" i="12"/>
  <c r="J220" i="12" s="1"/>
  <c r="V220" i="12" s="1"/>
  <c r="W220" i="12" s="1"/>
  <c r="R223" i="12"/>
  <c r="R224" i="12"/>
  <c r="R221" i="12"/>
  <c r="J222" i="12"/>
  <c r="V222" i="12" s="1"/>
  <c r="W222" i="12" s="1"/>
  <c r="Q220" i="12"/>
  <c r="Q221" i="12"/>
  <c r="Q222" i="12"/>
  <c r="Q223" i="12"/>
  <c r="Q224" i="12"/>
  <c r="J224" i="12" s="1"/>
  <c r="V224" i="12" s="1"/>
  <c r="W224" i="12" s="1"/>
  <c r="Q225" i="12"/>
  <c r="Q219" i="12"/>
  <c r="I219" i="12" s="1"/>
  <c r="U219" i="12" s="1"/>
  <c r="F220" i="12"/>
  <c r="G220" i="12"/>
  <c r="H220" i="12"/>
  <c r="K220" i="12"/>
  <c r="L220" i="12"/>
  <c r="M220" i="12"/>
  <c r="N220" i="12"/>
  <c r="O220" i="12"/>
  <c r="P220" i="12"/>
  <c r="R220" i="12"/>
  <c r="F221" i="12"/>
  <c r="G221" i="12"/>
  <c r="H221" i="12"/>
  <c r="K221" i="12"/>
  <c r="L221" i="12"/>
  <c r="M221" i="12"/>
  <c r="N221" i="12"/>
  <c r="O221" i="12"/>
  <c r="P221" i="12"/>
  <c r="F222" i="12"/>
  <c r="G222" i="12"/>
  <c r="H222" i="12"/>
  <c r="K222" i="12"/>
  <c r="L222" i="12"/>
  <c r="M222" i="12"/>
  <c r="N222" i="12"/>
  <c r="O222" i="12"/>
  <c r="P222" i="12"/>
  <c r="R222" i="12"/>
  <c r="F223" i="12"/>
  <c r="G223" i="12"/>
  <c r="H223" i="12"/>
  <c r="K223" i="12"/>
  <c r="L223" i="12"/>
  <c r="M223" i="12"/>
  <c r="N223" i="12"/>
  <c r="O223" i="12"/>
  <c r="P223" i="12"/>
  <c r="F224" i="12"/>
  <c r="G224" i="12"/>
  <c r="H224" i="12"/>
  <c r="K224" i="12"/>
  <c r="L224" i="12"/>
  <c r="M224" i="12"/>
  <c r="N224" i="12"/>
  <c r="O224" i="12"/>
  <c r="P224" i="12"/>
  <c r="F225" i="12"/>
  <c r="G225" i="12"/>
  <c r="H225" i="12"/>
  <c r="K225" i="12"/>
  <c r="L225" i="12"/>
  <c r="M225" i="12"/>
  <c r="N225" i="12"/>
  <c r="O225" i="12"/>
  <c r="P225" i="12"/>
  <c r="R225" i="12"/>
  <c r="G219" i="12"/>
  <c r="H219" i="12"/>
  <c r="K219" i="12"/>
  <c r="L219" i="12"/>
  <c r="M219" i="12"/>
  <c r="N219" i="12"/>
  <c r="O219" i="12"/>
  <c r="P219" i="12"/>
  <c r="R219" i="12"/>
  <c r="F219" i="12"/>
  <c r="L4" i="4"/>
  <c r="L5" i="4"/>
  <c r="I220" i="12" l="1"/>
  <c r="U220" i="12" s="1"/>
  <c r="N4" i="4"/>
  <c r="J223" i="12"/>
  <c r="V223" i="12" s="1"/>
  <c r="W223" i="12" s="1"/>
  <c r="M4" i="4"/>
  <c r="O4" i="4"/>
  <c r="I222" i="12"/>
  <c r="U222" i="12" s="1"/>
  <c r="I221" i="12"/>
  <c r="U221" i="12" s="1"/>
  <c r="I225" i="12"/>
  <c r="U225" i="12" s="1"/>
  <c r="I224" i="12"/>
  <c r="U224" i="12" s="1"/>
  <c r="J221" i="12"/>
  <c r="V221" i="12" s="1"/>
  <c r="W221" i="12" s="1"/>
  <c r="N5" i="4" s="1"/>
  <c r="I223" i="12"/>
  <c r="U223" i="12" s="1"/>
  <c r="J225" i="12"/>
  <c r="V225" i="12" s="1"/>
  <c r="W225" i="12" s="1"/>
  <c r="J219" i="12"/>
  <c r="V219" i="12" s="1"/>
  <c r="W219" i="12" s="1"/>
  <c r="M5" i="4" s="1"/>
  <c r="T207" i="12"/>
  <c r="S207" i="12"/>
  <c r="T204" i="12"/>
  <c r="S204" i="12"/>
  <c r="T205" i="12"/>
  <c r="S205" i="12"/>
  <c r="T206" i="12"/>
  <c r="S206" i="12"/>
  <c r="R205" i="12"/>
  <c r="R206" i="12"/>
  <c r="R207" i="12"/>
  <c r="R204" i="12"/>
  <c r="K205" i="12"/>
  <c r="L205" i="12"/>
  <c r="M205" i="12"/>
  <c r="N205" i="12"/>
  <c r="O205" i="12"/>
  <c r="P205" i="12"/>
  <c r="K206" i="12"/>
  <c r="L206" i="12"/>
  <c r="M206" i="12"/>
  <c r="N206" i="12"/>
  <c r="O206" i="12"/>
  <c r="P206" i="12"/>
  <c r="K207" i="12"/>
  <c r="L207" i="12"/>
  <c r="M207" i="12"/>
  <c r="N207" i="12"/>
  <c r="O207" i="12"/>
  <c r="P207" i="12"/>
  <c r="L204" i="12"/>
  <c r="M204" i="12"/>
  <c r="N204" i="12"/>
  <c r="O204" i="12"/>
  <c r="P204" i="12"/>
  <c r="K204" i="12"/>
  <c r="F205" i="12"/>
  <c r="G205" i="12"/>
  <c r="H205" i="12"/>
  <c r="F206" i="12"/>
  <c r="G206" i="12"/>
  <c r="H206" i="12"/>
  <c r="F207" i="12"/>
  <c r="G207" i="12"/>
  <c r="H207" i="12"/>
  <c r="G204" i="12"/>
  <c r="H204" i="12"/>
  <c r="F204" i="12"/>
  <c r="Q205" i="12"/>
  <c r="Q206" i="12"/>
  <c r="Q207" i="12"/>
  <c r="Q204" i="12"/>
  <c r="T195" i="12"/>
  <c r="S195" i="12"/>
  <c r="T194" i="12"/>
  <c r="S194" i="12"/>
  <c r="J205" i="12" l="1"/>
  <c r="V205" i="12" s="1"/>
  <c r="W205" i="12" s="1"/>
  <c r="I205" i="12"/>
  <c r="U205" i="12" s="1"/>
  <c r="I206" i="12"/>
  <c r="U206" i="12" s="1"/>
  <c r="O5" i="4"/>
  <c r="J207" i="12"/>
  <c r="V207" i="12" s="1"/>
  <c r="W207" i="12" s="1"/>
  <c r="J204" i="12"/>
  <c r="V204" i="12" s="1"/>
  <c r="W204" i="12" s="1"/>
  <c r="M5" i="1" s="1"/>
  <c r="I204" i="12"/>
  <c r="U204" i="12" s="1"/>
  <c r="J206" i="12"/>
  <c r="V206" i="12" s="1"/>
  <c r="W206" i="12" s="1"/>
  <c r="I207" i="12"/>
  <c r="U207" i="12" s="1"/>
  <c r="R195" i="12"/>
  <c r="K195" i="12"/>
  <c r="L195" i="12"/>
  <c r="M195" i="12"/>
  <c r="N195" i="12"/>
  <c r="O195" i="12"/>
  <c r="P195" i="12"/>
  <c r="L194" i="12"/>
  <c r="M194" i="12"/>
  <c r="N194" i="12"/>
  <c r="O194" i="12"/>
  <c r="P194" i="12"/>
  <c r="K194" i="12"/>
  <c r="F195" i="12"/>
  <c r="G195" i="12"/>
  <c r="H195" i="12"/>
  <c r="Q195" i="12"/>
  <c r="I195" i="12" s="1"/>
  <c r="U195" i="12" s="1"/>
  <c r="R194" i="12"/>
  <c r="Q194" i="12"/>
  <c r="I194" i="12" s="1"/>
  <c r="U194" i="12" s="1"/>
  <c r="H194" i="12"/>
  <c r="G194" i="12"/>
  <c r="F194" i="12"/>
  <c r="N5" i="1" l="1"/>
  <c r="J195" i="12"/>
  <c r="V195" i="12" s="1"/>
  <c r="W195" i="12" s="1"/>
  <c r="J194" i="12"/>
  <c r="V194" i="12" s="1"/>
  <c r="W194" i="12" s="1"/>
  <c r="N4" i="1" s="1"/>
  <c r="T186" i="12"/>
  <c r="S186" i="12"/>
  <c r="T187" i="12"/>
  <c r="S187" i="12"/>
  <c r="T185" i="12"/>
  <c r="S185" i="12"/>
  <c r="T184" i="12"/>
  <c r="S184" i="12"/>
  <c r="Q175" i="12"/>
  <c r="Q185" i="12"/>
  <c r="Q186" i="12"/>
  <c r="Q187" i="12"/>
  <c r="Q184" i="12"/>
  <c r="F185" i="12"/>
  <c r="G185" i="12"/>
  <c r="H185" i="12"/>
  <c r="K185" i="12"/>
  <c r="L185" i="12"/>
  <c r="M185" i="12"/>
  <c r="N185" i="12"/>
  <c r="O185" i="12"/>
  <c r="P185" i="12"/>
  <c r="R185" i="12"/>
  <c r="F186" i="12"/>
  <c r="G186" i="12"/>
  <c r="H186" i="12"/>
  <c r="K186" i="12"/>
  <c r="L186" i="12"/>
  <c r="M186" i="12"/>
  <c r="N186" i="12"/>
  <c r="O186" i="12"/>
  <c r="P186" i="12"/>
  <c r="R186" i="12"/>
  <c r="F187" i="12"/>
  <c r="G187" i="12"/>
  <c r="H187" i="12"/>
  <c r="K187" i="12"/>
  <c r="L187" i="12"/>
  <c r="M187" i="12"/>
  <c r="N187" i="12"/>
  <c r="O187" i="12"/>
  <c r="P187" i="12"/>
  <c r="R187" i="12"/>
  <c r="G184" i="12"/>
  <c r="H184" i="12"/>
  <c r="K184" i="12"/>
  <c r="L184" i="12"/>
  <c r="M184" i="12"/>
  <c r="N184" i="12"/>
  <c r="O184" i="12"/>
  <c r="P184" i="12"/>
  <c r="R184" i="12"/>
  <c r="F184" i="12"/>
  <c r="S175" i="12"/>
  <c r="T175" i="12"/>
  <c r="T174" i="12"/>
  <c r="S174" i="12"/>
  <c r="R175" i="12"/>
  <c r="R174" i="12"/>
  <c r="J185" i="12" l="1"/>
  <c r="V185" i="12" s="1"/>
  <c r="J187" i="12"/>
  <c r="V187" i="12" s="1"/>
  <c r="I186" i="12"/>
  <c r="U186" i="12" s="1"/>
  <c r="J186" i="12"/>
  <c r="V186" i="12" s="1"/>
  <c r="I187" i="12"/>
  <c r="U187" i="12" s="1"/>
  <c r="I185" i="12"/>
  <c r="Q174" i="12"/>
  <c r="J174" i="12" s="1"/>
  <c r="F175" i="12"/>
  <c r="G175" i="12"/>
  <c r="H175" i="12"/>
  <c r="K175" i="12"/>
  <c r="L175" i="12"/>
  <c r="M175" i="12"/>
  <c r="N175" i="12"/>
  <c r="O175" i="12"/>
  <c r="P175" i="12"/>
  <c r="F174" i="12"/>
  <c r="G174" i="12"/>
  <c r="H174" i="12"/>
  <c r="K174" i="12"/>
  <c r="L174" i="12"/>
  <c r="M174" i="12"/>
  <c r="N174" i="12"/>
  <c r="O174" i="12"/>
  <c r="P174" i="12"/>
  <c r="L30" i="3"/>
  <c r="L29" i="3"/>
  <c r="V174" i="12" l="1"/>
  <c r="W174" i="12" s="1"/>
  <c r="W185" i="12"/>
  <c r="N30" i="3" s="1"/>
  <c r="U185" i="12"/>
  <c r="W186" i="12"/>
  <c r="W187" i="12"/>
  <c r="I174" i="12"/>
  <c r="U174" i="12" s="1"/>
  <c r="N167" i="12"/>
  <c r="L167" i="12"/>
  <c r="N166" i="12"/>
  <c r="L166" i="12"/>
  <c r="R167" i="12"/>
  <c r="R166" i="12"/>
  <c r="AL167" i="12"/>
  <c r="AL166" i="12"/>
  <c r="Y167" i="12"/>
  <c r="Z167" i="12"/>
  <c r="AA167" i="12"/>
  <c r="AB167" i="12"/>
  <c r="AC167" i="12"/>
  <c r="Z166" i="12"/>
  <c r="AA166" i="12"/>
  <c r="AB166" i="12"/>
  <c r="AC166" i="12"/>
  <c r="Y166" i="12"/>
  <c r="G166" i="12"/>
  <c r="AJ166" i="12" s="1"/>
  <c r="H166" i="12"/>
  <c r="I166" i="12"/>
  <c r="M166" i="12"/>
  <c r="O166" i="12"/>
  <c r="P166" i="12"/>
  <c r="Q166" i="12"/>
  <c r="S166" i="12"/>
  <c r="G167" i="12"/>
  <c r="AG167" i="12" s="1"/>
  <c r="H167" i="12"/>
  <c r="I167" i="12"/>
  <c r="M167" i="12"/>
  <c r="O167" i="12"/>
  <c r="P167" i="12"/>
  <c r="Q167" i="12"/>
  <c r="S167" i="12"/>
  <c r="F167" i="12"/>
  <c r="F166" i="12"/>
  <c r="K163" i="12"/>
  <c r="K167" i="12" s="1"/>
  <c r="K162" i="12"/>
  <c r="K166" i="12" s="1"/>
  <c r="O30" i="3" l="1"/>
  <c r="AJ167" i="12"/>
  <c r="AG166" i="12"/>
  <c r="X167" i="12"/>
  <c r="V167" i="12" s="1"/>
  <c r="AI167" i="12"/>
  <c r="AI166" i="12"/>
  <c r="AD167" i="12"/>
  <c r="AE167" i="12" s="1"/>
  <c r="J167" i="12"/>
  <c r="U167" i="12" s="1"/>
  <c r="X166" i="12"/>
  <c r="V166" i="12" s="1"/>
  <c r="J166" i="12"/>
  <c r="AD166" i="12"/>
  <c r="AE166" i="12" s="1"/>
  <c r="G114" i="12"/>
  <c r="N115" i="12"/>
  <c r="M115" i="12"/>
  <c r="L115" i="12"/>
  <c r="N114" i="12"/>
  <c r="L114" i="12"/>
  <c r="N112" i="12"/>
  <c r="L112" i="12"/>
  <c r="N111" i="12"/>
  <c r="L111" i="12"/>
  <c r="N113" i="12"/>
  <c r="M113" i="12"/>
  <c r="L113" i="12"/>
  <c r="M99" i="12"/>
  <c r="M97" i="12"/>
  <c r="N100" i="12"/>
  <c r="M100" i="12"/>
  <c r="L100" i="12"/>
  <c r="N101" i="12"/>
  <c r="M101" i="12"/>
  <c r="L101" i="12"/>
  <c r="N99" i="12"/>
  <c r="L99" i="12"/>
  <c r="N98" i="12"/>
  <c r="M98" i="12"/>
  <c r="L98" i="12"/>
  <c r="N97" i="12"/>
  <c r="L97" i="12"/>
  <c r="L96" i="12"/>
  <c r="R85" i="12"/>
  <c r="N85" i="12"/>
  <c r="M85" i="12"/>
  <c r="L85" i="12"/>
  <c r="R84" i="12"/>
  <c r="N84" i="12"/>
  <c r="L84" i="12"/>
  <c r="G77" i="12"/>
  <c r="R77" i="12"/>
  <c r="N77" i="12"/>
  <c r="M77" i="12"/>
  <c r="L77" i="12"/>
  <c r="R74" i="12"/>
  <c r="N74" i="12"/>
  <c r="M74" i="12"/>
  <c r="L74" i="12"/>
  <c r="R75" i="12"/>
  <c r="M75" i="12"/>
  <c r="L75" i="12"/>
  <c r="R73" i="12"/>
  <c r="N73" i="12"/>
  <c r="L73" i="12"/>
  <c r="R72" i="12"/>
  <c r="N72" i="12"/>
  <c r="M72" i="12"/>
  <c r="L72" i="12"/>
  <c r="R60" i="12"/>
  <c r="N60" i="12"/>
  <c r="L60" i="12"/>
  <c r="R61" i="12"/>
  <c r="N61" i="12"/>
  <c r="L61" i="12"/>
  <c r="N59" i="12"/>
  <c r="M59" i="12"/>
  <c r="L59" i="12"/>
  <c r="R58" i="12"/>
  <c r="N58" i="12"/>
  <c r="M58" i="12"/>
  <c r="L58" i="12"/>
  <c r="R57" i="12"/>
  <c r="N57" i="12"/>
  <c r="R159" i="12"/>
  <c r="M159" i="12"/>
  <c r="L159" i="12"/>
  <c r="R157" i="12"/>
  <c r="N157" i="12"/>
  <c r="M157" i="12"/>
  <c r="L157" i="12"/>
  <c r="R158" i="12"/>
  <c r="N158" i="12"/>
  <c r="M158" i="12"/>
  <c r="L158" i="12"/>
  <c r="S159" i="12"/>
  <c r="S158" i="12"/>
  <c r="S157" i="12"/>
  <c r="Q157" i="12"/>
  <c r="P157" i="12"/>
  <c r="AL159" i="12"/>
  <c r="AL158" i="12"/>
  <c r="U18" i="12"/>
  <c r="U19" i="12"/>
  <c r="U26" i="12"/>
  <c r="U27" i="12"/>
  <c r="U28" i="12"/>
  <c r="U29" i="12"/>
  <c r="U38" i="12"/>
  <c r="U39" i="12"/>
  <c r="U40" i="12"/>
  <c r="U41" i="12"/>
  <c r="U50" i="12"/>
  <c r="U51" i="12"/>
  <c r="U52" i="12"/>
  <c r="U53" i="12"/>
  <c r="U54" i="12"/>
  <c r="U64" i="12"/>
  <c r="U65" i="12"/>
  <c r="U66" i="12"/>
  <c r="U67" i="12"/>
  <c r="U68" i="12"/>
  <c r="U69" i="12"/>
  <c r="U80" i="12"/>
  <c r="U81" i="12"/>
  <c r="U88" i="12"/>
  <c r="U89" i="12"/>
  <c r="U90" i="12"/>
  <c r="U91" i="12"/>
  <c r="U92" i="12"/>
  <c r="U93" i="12"/>
  <c r="U104" i="12"/>
  <c r="U105" i="12"/>
  <c r="U106" i="12"/>
  <c r="U107" i="12"/>
  <c r="U108" i="12"/>
  <c r="U118" i="12"/>
  <c r="U119" i="12"/>
  <c r="U120" i="12"/>
  <c r="U121" i="12"/>
  <c r="U130" i="12"/>
  <c r="U131" i="12"/>
  <c r="U132" i="12"/>
  <c r="U133" i="12"/>
  <c r="U142" i="12"/>
  <c r="U143" i="12"/>
  <c r="U144" i="12"/>
  <c r="U152" i="12"/>
  <c r="U153" i="12"/>
  <c r="U154" i="12"/>
  <c r="AC159" i="12"/>
  <c r="AC158" i="12"/>
  <c r="AC157" i="12"/>
  <c r="Z157" i="12"/>
  <c r="AA157" i="12"/>
  <c r="AB157" i="12"/>
  <c r="Z158" i="12"/>
  <c r="AA158" i="12"/>
  <c r="AB158" i="12"/>
  <c r="Z159" i="12"/>
  <c r="AA159" i="12"/>
  <c r="AB159" i="12"/>
  <c r="Y158" i="12"/>
  <c r="Y159" i="12"/>
  <c r="Y157" i="12"/>
  <c r="G158" i="12"/>
  <c r="AJ158" i="12" s="1"/>
  <c r="H158" i="12"/>
  <c r="I158" i="12"/>
  <c r="O158" i="12"/>
  <c r="P158" i="12"/>
  <c r="Q158" i="12"/>
  <c r="G159" i="12"/>
  <c r="AG159" i="12" s="1"/>
  <c r="H159" i="12"/>
  <c r="I159" i="12"/>
  <c r="N159" i="12"/>
  <c r="O159" i="12"/>
  <c r="P159" i="12"/>
  <c r="Q159" i="12"/>
  <c r="H157" i="12"/>
  <c r="I157" i="12"/>
  <c r="O157" i="12"/>
  <c r="K153" i="12"/>
  <c r="K158" i="12" s="1"/>
  <c r="K154" i="12"/>
  <c r="K159" i="12" s="1"/>
  <c r="K152" i="12"/>
  <c r="K157" i="12" s="1"/>
  <c r="F159" i="12"/>
  <c r="F158" i="12"/>
  <c r="J159" i="12" l="1"/>
  <c r="T159" i="12" s="1"/>
  <c r="AF166" i="12"/>
  <c r="AK166" i="12" s="1"/>
  <c r="AM166" i="12" s="1"/>
  <c r="AJ159" i="12"/>
  <c r="J158" i="12"/>
  <c r="T158" i="12" s="1"/>
  <c r="J157" i="12"/>
  <c r="U157" i="12" s="1"/>
  <c r="X159" i="12"/>
  <c r="V159" i="12" s="1"/>
  <c r="U158" i="12"/>
  <c r="AG158" i="12"/>
  <c r="W167" i="12"/>
  <c r="AF167" i="12"/>
  <c r="AK167" i="12" s="1"/>
  <c r="AM167" i="12" s="1"/>
  <c r="T167" i="12"/>
  <c r="U166" i="12"/>
  <c r="W166" i="12" s="1"/>
  <c r="T166" i="12"/>
  <c r="AI158" i="12"/>
  <c r="AI159" i="12"/>
  <c r="AD159" i="12"/>
  <c r="AE159" i="12" s="1"/>
  <c r="X158" i="12"/>
  <c r="V158" i="12" s="1"/>
  <c r="AD158" i="12"/>
  <c r="AE158" i="12" s="1"/>
  <c r="G157" i="12"/>
  <c r="AJ157" i="12" s="1"/>
  <c r="F157" i="12"/>
  <c r="AL157" i="12"/>
  <c r="R149" i="12"/>
  <c r="N149" i="12"/>
  <c r="M149" i="12"/>
  <c r="L149" i="12"/>
  <c r="N148" i="12"/>
  <c r="L148" i="12"/>
  <c r="R147" i="12"/>
  <c r="N147" i="12"/>
  <c r="M147" i="12"/>
  <c r="L147" i="12"/>
  <c r="S149" i="12"/>
  <c r="S148" i="12"/>
  <c r="R148" i="12"/>
  <c r="M148" i="12"/>
  <c r="S147" i="12"/>
  <c r="P147" i="12"/>
  <c r="AL149" i="12"/>
  <c r="AL148" i="12"/>
  <c r="AL147" i="12"/>
  <c r="Y148" i="12"/>
  <c r="Z148" i="12"/>
  <c r="AA148" i="12"/>
  <c r="AB148" i="12"/>
  <c r="AC148" i="12"/>
  <c r="Y149" i="12"/>
  <c r="Z149" i="12"/>
  <c r="AA149" i="12"/>
  <c r="AB149" i="12"/>
  <c r="AC149" i="12"/>
  <c r="Z147" i="12"/>
  <c r="AA147" i="12"/>
  <c r="AB147" i="12"/>
  <c r="AC147" i="12"/>
  <c r="Y147" i="12"/>
  <c r="G147" i="12"/>
  <c r="AG147" i="12" s="1"/>
  <c r="H147" i="12"/>
  <c r="I147" i="12"/>
  <c r="O147" i="12"/>
  <c r="Q147" i="12"/>
  <c r="G148" i="12"/>
  <c r="AG148" i="12" s="1"/>
  <c r="H148" i="12"/>
  <c r="I148" i="12"/>
  <c r="O148" i="12"/>
  <c r="P148" i="12"/>
  <c r="Q148" i="12"/>
  <c r="G149" i="12"/>
  <c r="AJ149" i="12" s="1"/>
  <c r="H149" i="12"/>
  <c r="I149" i="12"/>
  <c r="O149" i="12"/>
  <c r="P149" i="12"/>
  <c r="Q149" i="12"/>
  <c r="F148" i="12"/>
  <c r="F149" i="12"/>
  <c r="F147" i="12"/>
  <c r="K143" i="12"/>
  <c r="K148" i="12" s="1"/>
  <c r="K144" i="12"/>
  <c r="K149" i="12" s="1"/>
  <c r="K142" i="12"/>
  <c r="U159" i="12" l="1"/>
  <c r="E6" i="8"/>
  <c r="W159" i="12"/>
  <c r="AJ148" i="12"/>
  <c r="AF158" i="12"/>
  <c r="AK158" i="12" s="1"/>
  <c r="AM158" i="12" s="1"/>
  <c r="AI149" i="12"/>
  <c r="W158" i="12"/>
  <c r="AG157" i="12"/>
  <c r="AG149" i="12"/>
  <c r="AI148" i="12"/>
  <c r="AF159" i="12"/>
  <c r="AK159" i="12" s="1"/>
  <c r="AM159" i="12" s="1"/>
  <c r="X157" i="12"/>
  <c r="V157" i="12" s="1"/>
  <c r="T157" i="12"/>
  <c r="AJ147" i="12"/>
  <c r="J147" i="12"/>
  <c r="U147" i="12" s="1"/>
  <c r="AI157" i="12"/>
  <c r="AD157" i="12"/>
  <c r="AE157" i="12" s="1"/>
  <c r="J148" i="12"/>
  <c r="X147" i="12"/>
  <c r="V147" i="12" s="1"/>
  <c r="AD149" i="12"/>
  <c r="AE149" i="12" s="1"/>
  <c r="X149" i="12"/>
  <c r="V149" i="12" s="1"/>
  <c r="AD148" i="12"/>
  <c r="AE148" i="12" s="1"/>
  <c r="J149" i="12"/>
  <c r="X148" i="12"/>
  <c r="V148" i="12" s="1"/>
  <c r="AI147" i="12"/>
  <c r="AD147" i="12"/>
  <c r="AE147" i="12" s="1"/>
  <c r="R32" i="12"/>
  <c r="L32" i="12"/>
  <c r="R33" i="12"/>
  <c r="N33" i="12"/>
  <c r="L33" i="12"/>
  <c r="N35" i="12"/>
  <c r="M35" i="12"/>
  <c r="L35" i="12"/>
  <c r="N34" i="12"/>
  <c r="L34" i="12"/>
  <c r="G138" i="12"/>
  <c r="R136" i="12"/>
  <c r="N136" i="12"/>
  <c r="L136" i="12"/>
  <c r="N138" i="12"/>
  <c r="L138" i="12"/>
  <c r="F4" i="9" l="1"/>
  <c r="T147" i="12"/>
  <c r="AF148" i="12"/>
  <c r="AK148" i="12" s="1"/>
  <c r="AM148" i="12" s="1"/>
  <c r="AF149" i="12"/>
  <c r="AK149" i="12" s="1"/>
  <c r="AM149" i="12" s="1"/>
  <c r="F4" i="5" s="1"/>
  <c r="AF147" i="12"/>
  <c r="AK147" i="12" s="1"/>
  <c r="AM147" i="12" s="1"/>
  <c r="T148" i="12"/>
  <c r="U148" i="12"/>
  <c r="W148" i="12" s="1"/>
  <c r="T149" i="12"/>
  <c r="U149" i="12"/>
  <c r="W149" i="12" s="1"/>
  <c r="W157" i="12"/>
  <c r="AF157" i="12"/>
  <c r="AK157" i="12" s="1"/>
  <c r="AM157" i="12" s="1"/>
  <c r="E4" i="9" s="1"/>
  <c r="W147" i="12"/>
  <c r="R47" i="12"/>
  <c r="N47" i="12"/>
  <c r="M47" i="12"/>
  <c r="L47" i="12"/>
  <c r="R45" i="12"/>
  <c r="N45" i="12"/>
  <c r="M45" i="12"/>
  <c r="L45" i="12"/>
  <c r="R46" i="12"/>
  <c r="N46" i="12"/>
  <c r="L46" i="12"/>
  <c r="R44" i="12"/>
  <c r="L44" i="12"/>
  <c r="N23" i="12"/>
  <c r="M23" i="12"/>
  <c r="L23" i="12"/>
  <c r="R22" i="12"/>
  <c r="L22" i="12"/>
  <c r="N139" i="12"/>
  <c r="L139" i="12"/>
  <c r="E4" i="5" l="1"/>
  <c r="S139" i="12"/>
  <c r="Q139" i="12"/>
  <c r="R139" i="12"/>
  <c r="P139" i="12"/>
  <c r="S138" i="12"/>
  <c r="S137" i="12"/>
  <c r="S136" i="12"/>
  <c r="Q136" i="12"/>
  <c r="P136" i="12"/>
  <c r="N137" i="12"/>
  <c r="L137" i="12"/>
  <c r="AL139" i="12"/>
  <c r="AL138" i="12"/>
  <c r="AL137" i="12"/>
  <c r="AL136" i="12"/>
  <c r="Z136" i="12"/>
  <c r="AA136" i="12"/>
  <c r="AB136" i="12"/>
  <c r="AC136" i="12"/>
  <c r="Z137" i="12"/>
  <c r="AA137" i="12"/>
  <c r="AB137" i="12"/>
  <c r="AC137" i="12"/>
  <c r="Z138" i="12"/>
  <c r="AA138" i="12"/>
  <c r="AB138" i="12"/>
  <c r="AC138" i="12"/>
  <c r="Z139" i="12"/>
  <c r="AA139" i="12"/>
  <c r="AB139" i="12"/>
  <c r="AC139" i="12"/>
  <c r="Y139" i="12"/>
  <c r="Y138" i="12"/>
  <c r="Y137" i="12"/>
  <c r="Y136" i="12"/>
  <c r="G136" i="12"/>
  <c r="AJ136" i="12" s="1"/>
  <c r="H136" i="12"/>
  <c r="I136" i="12"/>
  <c r="M136" i="12"/>
  <c r="O136" i="12"/>
  <c r="G137" i="12"/>
  <c r="AJ137" i="12" s="1"/>
  <c r="H137" i="12"/>
  <c r="I137" i="12"/>
  <c r="M137" i="12"/>
  <c r="O137" i="12"/>
  <c r="P137" i="12"/>
  <c r="Q137" i="12"/>
  <c r="R137" i="12"/>
  <c r="AJ138" i="12"/>
  <c r="H138" i="12"/>
  <c r="I138" i="12"/>
  <c r="M138" i="12"/>
  <c r="O138" i="12"/>
  <c r="P138" i="12"/>
  <c r="Q138" i="12"/>
  <c r="R138" i="12"/>
  <c r="G139" i="12"/>
  <c r="AJ139" i="12" s="1"/>
  <c r="H139" i="12"/>
  <c r="I139" i="12"/>
  <c r="M139" i="12"/>
  <c r="O139" i="12"/>
  <c r="F137" i="12"/>
  <c r="F138" i="12"/>
  <c r="F139" i="12"/>
  <c r="F136" i="12"/>
  <c r="K131" i="12"/>
  <c r="K137" i="12" s="1"/>
  <c r="K132" i="12"/>
  <c r="K138" i="12" s="1"/>
  <c r="K133" i="12"/>
  <c r="K139" i="12" s="1"/>
  <c r="K130" i="12"/>
  <c r="D24" i="11"/>
  <c r="S126" i="12"/>
  <c r="Q126" i="12"/>
  <c r="R126" i="12"/>
  <c r="P126" i="12"/>
  <c r="N126" i="12"/>
  <c r="M126" i="12"/>
  <c r="L126" i="12"/>
  <c r="S124" i="12"/>
  <c r="S125" i="12"/>
  <c r="S127" i="12"/>
  <c r="Q127" i="12"/>
  <c r="Q125" i="12"/>
  <c r="Q124" i="12"/>
  <c r="P127" i="12"/>
  <c r="P125" i="12"/>
  <c r="R127" i="12"/>
  <c r="R125" i="12"/>
  <c r="R124" i="12"/>
  <c r="N125" i="12"/>
  <c r="N124" i="12"/>
  <c r="N127" i="12"/>
  <c r="L127" i="12"/>
  <c r="M125" i="12"/>
  <c r="L125" i="12"/>
  <c r="M124" i="12"/>
  <c r="L124" i="12"/>
  <c r="AL127" i="12"/>
  <c r="AL126" i="12"/>
  <c r="AL125" i="12"/>
  <c r="Y125" i="12"/>
  <c r="Z125" i="12"/>
  <c r="AA125" i="12"/>
  <c r="AB125" i="12"/>
  <c r="AC125" i="12"/>
  <c r="Y126" i="12"/>
  <c r="Z126" i="12"/>
  <c r="AA126" i="12"/>
  <c r="AB126" i="12"/>
  <c r="AC126" i="12"/>
  <c r="Y127" i="12"/>
  <c r="Z127" i="12"/>
  <c r="AA127" i="12"/>
  <c r="AB127" i="12"/>
  <c r="AC127" i="12"/>
  <c r="Z124" i="12"/>
  <c r="AA124" i="12"/>
  <c r="AB124" i="12"/>
  <c r="AC124" i="12"/>
  <c r="Y124" i="12"/>
  <c r="F125" i="12"/>
  <c r="G125" i="12"/>
  <c r="AJ125" i="12" s="1"/>
  <c r="H125" i="12"/>
  <c r="I125" i="12"/>
  <c r="O125" i="12"/>
  <c r="F126" i="12"/>
  <c r="G126" i="12"/>
  <c r="AJ126" i="12" s="1"/>
  <c r="H126" i="12"/>
  <c r="I126" i="12"/>
  <c r="O126" i="12"/>
  <c r="F127" i="12"/>
  <c r="G127" i="12"/>
  <c r="AJ127" i="12" s="1"/>
  <c r="H127" i="12"/>
  <c r="I127" i="12"/>
  <c r="M127" i="12"/>
  <c r="O127" i="12"/>
  <c r="G124" i="12"/>
  <c r="AJ124" i="12" s="1"/>
  <c r="H124" i="12"/>
  <c r="I124" i="12"/>
  <c r="O124" i="12"/>
  <c r="P124" i="12"/>
  <c r="F124" i="12"/>
  <c r="AL124" i="12"/>
  <c r="K119" i="12"/>
  <c r="K125" i="12" s="1"/>
  <c r="K120" i="12"/>
  <c r="K126" i="12" s="1"/>
  <c r="K121" i="12"/>
  <c r="K127" i="12" s="1"/>
  <c r="K118" i="12"/>
  <c r="K124" i="12" s="1"/>
  <c r="D18" i="10"/>
  <c r="D22" i="9"/>
  <c r="AL22" i="12"/>
  <c r="X138" i="12" l="1"/>
  <c r="V138" i="12" s="1"/>
  <c r="AG125" i="12"/>
  <c r="J124" i="12"/>
  <c r="T124" i="12" s="1"/>
  <c r="AD127" i="12"/>
  <c r="AE127" i="12" s="1"/>
  <c r="K136" i="12"/>
  <c r="AD136" i="12" s="1"/>
  <c r="AE136" i="12" s="1"/>
  <c r="J125" i="12"/>
  <c r="U125" i="12" s="1"/>
  <c r="AG124" i="12"/>
  <c r="AD138" i="12"/>
  <c r="AE138" i="12" s="1"/>
  <c r="AI138" i="12"/>
  <c r="X139" i="12"/>
  <c r="V139" i="12" s="1"/>
  <c r="J139" i="12"/>
  <c r="U139" i="12" s="1"/>
  <c r="AI137" i="12"/>
  <c r="X137" i="12"/>
  <c r="V137" i="12" s="1"/>
  <c r="AD137" i="12"/>
  <c r="AE137" i="12" s="1"/>
  <c r="AF137" i="12" s="1"/>
  <c r="AG127" i="12"/>
  <c r="AD126" i="12"/>
  <c r="AE126" i="12" s="1"/>
  <c r="AG136" i="12"/>
  <c r="AG138" i="12"/>
  <c r="AI125" i="12"/>
  <c r="AG126" i="12"/>
  <c r="AG137" i="12"/>
  <c r="AG139" i="12"/>
  <c r="AI139" i="12"/>
  <c r="AD139" i="12"/>
  <c r="AE139" i="12" s="1"/>
  <c r="J138" i="12"/>
  <c r="J137" i="12"/>
  <c r="U137" i="12" s="1"/>
  <c r="AI126" i="12"/>
  <c r="AD125" i="12"/>
  <c r="AE125" i="12" s="1"/>
  <c r="X125" i="12"/>
  <c r="V125" i="12" s="1"/>
  <c r="X127" i="12"/>
  <c r="V127" i="12" s="1"/>
  <c r="J127" i="12"/>
  <c r="X126" i="12"/>
  <c r="V126" i="12" s="1"/>
  <c r="AI127" i="12"/>
  <c r="J126" i="12"/>
  <c r="U126" i="12" s="1"/>
  <c r="X124" i="12"/>
  <c r="V124" i="12" s="1"/>
  <c r="AI124" i="12"/>
  <c r="AD124" i="12"/>
  <c r="G23" i="12"/>
  <c r="AG23" i="12" s="1"/>
  <c r="AL112" i="12"/>
  <c r="AL113" i="12"/>
  <c r="AL114" i="12"/>
  <c r="AL115" i="12"/>
  <c r="AL97" i="12"/>
  <c r="AL98" i="12"/>
  <c r="AL99" i="12"/>
  <c r="AL100" i="12"/>
  <c r="AL101" i="12"/>
  <c r="AL85" i="12"/>
  <c r="AL73" i="12"/>
  <c r="AL74" i="12"/>
  <c r="AL75" i="12"/>
  <c r="AL76" i="12"/>
  <c r="AL77" i="12"/>
  <c r="AL58" i="12"/>
  <c r="AL59" i="12"/>
  <c r="AL60" i="12"/>
  <c r="AL61" i="12"/>
  <c r="AL45" i="12"/>
  <c r="AL46" i="12"/>
  <c r="AL47" i="12"/>
  <c r="AL33" i="12"/>
  <c r="AL34" i="12"/>
  <c r="AL35" i="12"/>
  <c r="AL23" i="12"/>
  <c r="AL111" i="12"/>
  <c r="AL96" i="12"/>
  <c r="AL84" i="12"/>
  <c r="AL72" i="12"/>
  <c r="AL57" i="12"/>
  <c r="AL44" i="12"/>
  <c r="AL32" i="12"/>
  <c r="G22" i="12"/>
  <c r="AG22" i="12" s="1"/>
  <c r="G115" i="12"/>
  <c r="AJ115" i="12" s="1"/>
  <c r="S114" i="12"/>
  <c r="R114" i="12"/>
  <c r="M114" i="12"/>
  <c r="S115" i="12"/>
  <c r="S112" i="12"/>
  <c r="R115" i="12"/>
  <c r="R112" i="12"/>
  <c r="Q112" i="12"/>
  <c r="M112" i="12"/>
  <c r="S113" i="12"/>
  <c r="S111" i="12"/>
  <c r="R113" i="12"/>
  <c r="R111" i="12"/>
  <c r="Q113" i="12"/>
  <c r="Q111" i="12"/>
  <c r="P113" i="12"/>
  <c r="P111" i="12"/>
  <c r="M111" i="12"/>
  <c r="Y112" i="12"/>
  <c r="Z112" i="12"/>
  <c r="AA112" i="12"/>
  <c r="AB112" i="12"/>
  <c r="AC112" i="12"/>
  <c r="Y113" i="12"/>
  <c r="Z113" i="12"/>
  <c r="AA113" i="12"/>
  <c r="AB113" i="12"/>
  <c r="AC113" i="12"/>
  <c r="Y114" i="12"/>
  <c r="Z114" i="12"/>
  <c r="AA114" i="12"/>
  <c r="AB114" i="12"/>
  <c r="AC114" i="12"/>
  <c r="Y115" i="12"/>
  <c r="Z115" i="12"/>
  <c r="AA115" i="12"/>
  <c r="AB115" i="12"/>
  <c r="AC115" i="12"/>
  <c r="F112" i="12"/>
  <c r="G112" i="12"/>
  <c r="AG112" i="12" s="1"/>
  <c r="H112" i="12"/>
  <c r="I112" i="12"/>
  <c r="O112" i="12"/>
  <c r="P112" i="12"/>
  <c r="F113" i="12"/>
  <c r="G113" i="12"/>
  <c r="AG113" i="12" s="1"/>
  <c r="H113" i="12"/>
  <c r="I113" i="12"/>
  <c r="O113" i="12"/>
  <c r="F114" i="12"/>
  <c r="AG114" i="12"/>
  <c r="H114" i="12"/>
  <c r="I114" i="12"/>
  <c r="O114" i="12"/>
  <c r="P114" i="12"/>
  <c r="Q114" i="12"/>
  <c r="F115" i="12"/>
  <c r="H115" i="12"/>
  <c r="I115" i="12"/>
  <c r="O115" i="12"/>
  <c r="P115" i="12"/>
  <c r="Q115" i="12"/>
  <c r="O111" i="12"/>
  <c r="Y111" i="12"/>
  <c r="Z111" i="12"/>
  <c r="AA111" i="12"/>
  <c r="AB111" i="12"/>
  <c r="AC111" i="12"/>
  <c r="G111" i="12"/>
  <c r="AG111" i="12" s="1"/>
  <c r="H111" i="12"/>
  <c r="I111" i="12"/>
  <c r="F111" i="12"/>
  <c r="K105" i="12"/>
  <c r="K112" i="12" s="1"/>
  <c r="K106" i="12"/>
  <c r="K113" i="12" s="1"/>
  <c r="K107" i="12"/>
  <c r="K114" i="12" s="1"/>
  <c r="K108" i="12"/>
  <c r="K115" i="12" s="1"/>
  <c r="K104" i="12"/>
  <c r="K111" i="12" s="1"/>
  <c r="S101" i="12"/>
  <c r="R101" i="12"/>
  <c r="Q101" i="12"/>
  <c r="S100" i="12"/>
  <c r="R100" i="12"/>
  <c r="Q100" i="12"/>
  <c r="P100" i="12"/>
  <c r="S99" i="12"/>
  <c r="R99" i="12"/>
  <c r="Q99" i="12"/>
  <c r="P99" i="12"/>
  <c r="S98" i="12"/>
  <c r="R98" i="12"/>
  <c r="Q98" i="12"/>
  <c r="S97" i="12"/>
  <c r="R97" i="12"/>
  <c r="Q97" i="12"/>
  <c r="P97" i="12"/>
  <c r="S96" i="12"/>
  <c r="R96" i="12"/>
  <c r="M96" i="12"/>
  <c r="Z96" i="12"/>
  <c r="AA96" i="12"/>
  <c r="AB96" i="12"/>
  <c r="AC96" i="12"/>
  <c r="Z97" i="12"/>
  <c r="AA97" i="12"/>
  <c r="AB97" i="12"/>
  <c r="AC97" i="12"/>
  <c r="Z98" i="12"/>
  <c r="AA98" i="12"/>
  <c r="AB98" i="12"/>
  <c r="AC98" i="12"/>
  <c r="Z99" i="12"/>
  <c r="AA99" i="12"/>
  <c r="AB99" i="12"/>
  <c r="AC99" i="12"/>
  <c r="Z100" i="12"/>
  <c r="AA100" i="12"/>
  <c r="AB100" i="12"/>
  <c r="AC100" i="12"/>
  <c r="Z101" i="12"/>
  <c r="AA101" i="12"/>
  <c r="AB101" i="12"/>
  <c r="AC101" i="12"/>
  <c r="Y97" i="12"/>
  <c r="Y98" i="12"/>
  <c r="Y99" i="12"/>
  <c r="Y100" i="12"/>
  <c r="Y101" i="12"/>
  <c r="Y96" i="12"/>
  <c r="G96" i="12"/>
  <c r="AG96" i="12" s="1"/>
  <c r="H96" i="12"/>
  <c r="I96" i="12"/>
  <c r="N96" i="12"/>
  <c r="O96" i="12"/>
  <c r="P96" i="12"/>
  <c r="Q96" i="12"/>
  <c r="G97" i="12"/>
  <c r="AG97" i="12" s="1"/>
  <c r="H97" i="12"/>
  <c r="I97" i="12"/>
  <c r="O97" i="12"/>
  <c r="G98" i="12"/>
  <c r="AG98" i="12" s="1"/>
  <c r="H98" i="12"/>
  <c r="I98" i="12"/>
  <c r="O98" i="12"/>
  <c r="P98" i="12"/>
  <c r="G99" i="12"/>
  <c r="AG99" i="12" s="1"/>
  <c r="H99" i="12"/>
  <c r="I99" i="12"/>
  <c r="O99" i="12"/>
  <c r="G100" i="12"/>
  <c r="AG100" i="12" s="1"/>
  <c r="H100" i="12"/>
  <c r="I100" i="12"/>
  <c r="O100" i="12"/>
  <c r="G101" i="12"/>
  <c r="H101" i="12"/>
  <c r="I101" i="12"/>
  <c r="O101" i="12"/>
  <c r="P101" i="12"/>
  <c r="F97" i="12"/>
  <c r="F98" i="12"/>
  <c r="F99" i="12"/>
  <c r="F100" i="12"/>
  <c r="F101" i="12"/>
  <c r="F96" i="12"/>
  <c r="K89" i="12"/>
  <c r="K97" i="12" s="1"/>
  <c r="K90" i="12"/>
  <c r="K98" i="12" s="1"/>
  <c r="K91" i="12"/>
  <c r="K99" i="12" s="1"/>
  <c r="K92" i="12"/>
  <c r="K100" i="12" s="1"/>
  <c r="K93" i="12"/>
  <c r="K101" i="12" s="1"/>
  <c r="K88" i="12"/>
  <c r="K96" i="12" s="1"/>
  <c r="D25" i="8"/>
  <c r="M61" i="12"/>
  <c r="M57" i="12"/>
  <c r="L57" i="12"/>
  <c r="M44" i="12"/>
  <c r="M34" i="12"/>
  <c r="M33" i="12"/>
  <c r="S32" i="12"/>
  <c r="N32" i="12"/>
  <c r="M32" i="12"/>
  <c r="K26" i="12"/>
  <c r="K32" i="12" s="1"/>
  <c r="M22" i="12"/>
  <c r="M84" i="12"/>
  <c r="S85" i="12"/>
  <c r="Q85" i="12"/>
  <c r="S84" i="12"/>
  <c r="Q84" i="12"/>
  <c r="Y85" i="12"/>
  <c r="Z85" i="12"/>
  <c r="AA85" i="12"/>
  <c r="AB85" i="12"/>
  <c r="AC85" i="12"/>
  <c r="Z84" i="12"/>
  <c r="AA84" i="12"/>
  <c r="AB84" i="12"/>
  <c r="AC84" i="12"/>
  <c r="Y84" i="12"/>
  <c r="G84" i="12"/>
  <c r="AG84" i="12" s="1"/>
  <c r="H84" i="12"/>
  <c r="I84" i="12"/>
  <c r="O84" i="12"/>
  <c r="P84" i="12"/>
  <c r="G85" i="12"/>
  <c r="AG85" i="12" s="1"/>
  <c r="H85" i="12"/>
  <c r="I85" i="12"/>
  <c r="O85" i="12"/>
  <c r="P85" i="12"/>
  <c r="F85" i="12"/>
  <c r="F84" i="12"/>
  <c r="K81" i="12"/>
  <c r="K85" i="12" s="1"/>
  <c r="K80" i="12"/>
  <c r="K84" i="12" s="1"/>
  <c r="D20" i="7"/>
  <c r="S77" i="12"/>
  <c r="P77" i="12"/>
  <c r="S75" i="12"/>
  <c r="P75" i="12"/>
  <c r="N75" i="12"/>
  <c r="S74" i="12"/>
  <c r="P74" i="12"/>
  <c r="D15" i="6"/>
  <c r="S73" i="12"/>
  <c r="Q73" i="12"/>
  <c r="P73" i="12"/>
  <c r="M73" i="12"/>
  <c r="S72" i="12"/>
  <c r="Q72" i="12"/>
  <c r="P72" i="12"/>
  <c r="G72" i="12"/>
  <c r="AG72" i="12" s="1"/>
  <c r="H72" i="12"/>
  <c r="I72" i="12"/>
  <c r="O72" i="12"/>
  <c r="Y72" i="12"/>
  <c r="Z72" i="12"/>
  <c r="AA72" i="12"/>
  <c r="AB72" i="12"/>
  <c r="AC72" i="12"/>
  <c r="G73" i="12"/>
  <c r="AG73" i="12" s="1"/>
  <c r="H73" i="12"/>
  <c r="I73" i="12"/>
  <c r="O73" i="12"/>
  <c r="Y73" i="12"/>
  <c r="Z73" i="12"/>
  <c r="AA73" i="12"/>
  <c r="AB73" i="12"/>
  <c r="AC73" i="12"/>
  <c r="G74" i="12"/>
  <c r="AG74" i="12" s="1"/>
  <c r="H74" i="12"/>
  <c r="I74" i="12"/>
  <c r="O74" i="12"/>
  <c r="Q74" i="12"/>
  <c r="Y74" i="12"/>
  <c r="Z74" i="12"/>
  <c r="AA74" i="12"/>
  <c r="AB74" i="12"/>
  <c r="AC74" i="12"/>
  <c r="G75" i="12"/>
  <c r="AG75" i="12" s="1"/>
  <c r="H75" i="12"/>
  <c r="I75" i="12"/>
  <c r="O75" i="12"/>
  <c r="Q75" i="12"/>
  <c r="Y75" i="12"/>
  <c r="Z75" i="12"/>
  <c r="AA75" i="12"/>
  <c r="AB75" i="12"/>
  <c r="AC75" i="12"/>
  <c r="G76" i="12"/>
  <c r="AG76" i="12" s="1"/>
  <c r="H76" i="12"/>
  <c r="I76" i="12"/>
  <c r="L76" i="12"/>
  <c r="M76" i="12"/>
  <c r="N76" i="12"/>
  <c r="O76" i="12"/>
  <c r="P76" i="12"/>
  <c r="Q76" i="12"/>
  <c r="R76" i="12"/>
  <c r="S76" i="12"/>
  <c r="Y76" i="12"/>
  <c r="Z76" i="12"/>
  <c r="AA76" i="12"/>
  <c r="AB76" i="12"/>
  <c r="AC76" i="12"/>
  <c r="AG77" i="12"/>
  <c r="H77" i="12"/>
  <c r="I77" i="12"/>
  <c r="O77" i="12"/>
  <c r="Q77" i="12"/>
  <c r="Y77" i="12"/>
  <c r="Z77" i="12"/>
  <c r="AA77" i="12"/>
  <c r="AB77" i="12"/>
  <c r="AC77" i="12"/>
  <c r="F73" i="12"/>
  <c r="F74" i="12"/>
  <c r="F75" i="12"/>
  <c r="F76" i="12"/>
  <c r="F77" i="12"/>
  <c r="F72" i="12"/>
  <c r="K65" i="12"/>
  <c r="K73" i="12" s="1"/>
  <c r="K66" i="12"/>
  <c r="K74" i="12" s="1"/>
  <c r="K67" i="12"/>
  <c r="K68" i="12"/>
  <c r="K76" i="12" s="1"/>
  <c r="K69" i="12"/>
  <c r="K77" i="12" s="1"/>
  <c r="K64" i="12"/>
  <c r="X69" i="12"/>
  <c r="V69" i="12" s="1"/>
  <c r="T69" i="12"/>
  <c r="P60" i="12"/>
  <c r="S61" i="12"/>
  <c r="P61" i="12"/>
  <c r="Q59" i="12"/>
  <c r="P59" i="12"/>
  <c r="S60" i="12"/>
  <c r="M60" i="12"/>
  <c r="Q58" i="12"/>
  <c r="S58" i="12"/>
  <c r="S57" i="12"/>
  <c r="Y58" i="12"/>
  <c r="Z58" i="12"/>
  <c r="AA58" i="12"/>
  <c r="AB58" i="12"/>
  <c r="AC58" i="12"/>
  <c r="Y59" i="12"/>
  <c r="Z59" i="12"/>
  <c r="AA59" i="12"/>
  <c r="AB59" i="12"/>
  <c r="AC59" i="12"/>
  <c r="Y60" i="12"/>
  <c r="Z60" i="12"/>
  <c r="AA60" i="12"/>
  <c r="AB60" i="12"/>
  <c r="AC60" i="12"/>
  <c r="Y61" i="12"/>
  <c r="Z61" i="12"/>
  <c r="AA61" i="12"/>
  <c r="AB61" i="12"/>
  <c r="AC61" i="12"/>
  <c r="Z57" i="12"/>
  <c r="AA57" i="12"/>
  <c r="AB57" i="12"/>
  <c r="AC57" i="12"/>
  <c r="Y57" i="12"/>
  <c r="G57" i="12"/>
  <c r="AG57" i="12" s="1"/>
  <c r="H57" i="12"/>
  <c r="I57" i="12"/>
  <c r="O57" i="12"/>
  <c r="P57" i="12"/>
  <c r="Q57" i="12"/>
  <c r="G58" i="12"/>
  <c r="AG58" i="12" s="1"/>
  <c r="H58" i="12"/>
  <c r="I58" i="12"/>
  <c r="O58" i="12"/>
  <c r="P58" i="12"/>
  <c r="G59" i="12"/>
  <c r="AG59" i="12" s="1"/>
  <c r="H59" i="12"/>
  <c r="I59" i="12"/>
  <c r="O59" i="12"/>
  <c r="R59" i="12"/>
  <c r="S59" i="12"/>
  <c r="G60" i="12"/>
  <c r="AG60" i="12" s="1"/>
  <c r="H60" i="12"/>
  <c r="I60" i="12"/>
  <c r="O60" i="12"/>
  <c r="Q60" i="12"/>
  <c r="G61" i="12"/>
  <c r="AG61" i="12" s="1"/>
  <c r="H61" i="12"/>
  <c r="I61" i="12"/>
  <c r="O61" i="12"/>
  <c r="Q61" i="12"/>
  <c r="F58" i="12"/>
  <c r="F59" i="12"/>
  <c r="F60" i="12"/>
  <c r="F61" i="12"/>
  <c r="F57" i="12"/>
  <c r="K51" i="12"/>
  <c r="K58" i="12" s="1"/>
  <c r="K52" i="12"/>
  <c r="K59" i="12" s="1"/>
  <c r="K53" i="12"/>
  <c r="K60" i="12" s="1"/>
  <c r="K54" i="12"/>
  <c r="K61" i="12" s="1"/>
  <c r="K50" i="12"/>
  <c r="K57" i="12" s="1"/>
  <c r="W5" i="12"/>
  <c r="T5" i="12" s="1"/>
  <c r="U124" i="12" l="1"/>
  <c r="W139" i="12"/>
  <c r="AF138" i="12"/>
  <c r="AK138" i="12" s="1"/>
  <c r="AM138" i="12" s="1"/>
  <c r="AF127" i="12"/>
  <c r="AI136" i="12"/>
  <c r="AF136" i="12" s="1"/>
  <c r="AK136" i="12" s="1"/>
  <c r="AM136" i="12" s="1"/>
  <c r="E24" i="11" s="1"/>
  <c r="K75" i="12"/>
  <c r="X75" i="12" s="1"/>
  <c r="V75" i="12" s="1"/>
  <c r="T127" i="12"/>
  <c r="U127" i="12"/>
  <c r="W127" i="12" s="1"/>
  <c r="J136" i="12"/>
  <c r="AF125" i="12"/>
  <c r="AK125" i="12" s="1"/>
  <c r="AM125" i="12" s="1"/>
  <c r="U138" i="12"/>
  <c r="W138" i="12" s="1"/>
  <c r="T125" i="12"/>
  <c r="T139" i="12"/>
  <c r="X136" i="12"/>
  <c r="V136" i="12" s="1"/>
  <c r="X64" i="12"/>
  <c r="K72" i="12"/>
  <c r="X72" i="12" s="1"/>
  <c r="V72" i="12" s="1"/>
  <c r="AF139" i="12"/>
  <c r="AK139" i="12" s="1"/>
  <c r="AM139" i="12" s="1"/>
  <c r="G24" i="11" s="1"/>
  <c r="AF126" i="12"/>
  <c r="AK126" i="12" s="1"/>
  <c r="AM126" i="12" s="1"/>
  <c r="T138" i="12"/>
  <c r="AK127" i="12"/>
  <c r="AM127" i="12" s="1"/>
  <c r="F18" i="10" s="1"/>
  <c r="AJ101" i="12"/>
  <c r="AG101" i="12"/>
  <c r="AG115" i="12"/>
  <c r="W124" i="12"/>
  <c r="AK137" i="12"/>
  <c r="AM137" i="12" s="1"/>
  <c r="T137" i="12"/>
  <c r="W137" i="12"/>
  <c r="W125" i="12"/>
  <c r="W126" i="12"/>
  <c r="T126" i="12"/>
  <c r="AE124" i="12"/>
  <c r="AF124" i="12" s="1"/>
  <c r="AK124" i="12" s="1"/>
  <c r="AM124" i="12" s="1"/>
  <c r="AJ58" i="12"/>
  <c r="AJ100" i="12"/>
  <c r="AJ85" i="12"/>
  <c r="AJ57" i="12"/>
  <c r="AJ59" i="12"/>
  <c r="AJ77" i="12"/>
  <c r="AJ76" i="12"/>
  <c r="AJ74" i="12"/>
  <c r="AJ99" i="12"/>
  <c r="AJ96" i="12"/>
  <c r="AJ111" i="12"/>
  <c r="AJ61" i="12"/>
  <c r="AJ113" i="12"/>
  <c r="AJ73" i="12"/>
  <c r="AJ98" i="12"/>
  <c r="AJ97" i="12"/>
  <c r="AJ72" i="12"/>
  <c r="AJ112" i="12"/>
  <c r="AJ84" i="12"/>
  <c r="AJ60" i="12"/>
  <c r="AJ22" i="12"/>
  <c r="AJ75" i="12"/>
  <c r="AJ114" i="12"/>
  <c r="AJ23" i="12"/>
  <c r="J57" i="12"/>
  <c r="AI60" i="12"/>
  <c r="X114" i="12"/>
  <c r="V114" i="12" s="1"/>
  <c r="X98" i="12"/>
  <c r="V98" i="12" s="1"/>
  <c r="AD114" i="12"/>
  <c r="AE114" i="12" s="1"/>
  <c r="AD98" i="12"/>
  <c r="AE98" i="12" s="1"/>
  <c r="AD115" i="12"/>
  <c r="AE115" i="12" s="1"/>
  <c r="AD112" i="12"/>
  <c r="AE112" i="12" s="1"/>
  <c r="J74" i="12"/>
  <c r="J113" i="12"/>
  <c r="AI98" i="12"/>
  <c r="J114" i="12"/>
  <c r="U114" i="12" s="1"/>
  <c r="AD84" i="12"/>
  <c r="AE84" i="12" s="1"/>
  <c r="J96" i="12"/>
  <c r="U96" i="12" s="1"/>
  <c r="X112" i="12"/>
  <c r="V112" i="12" s="1"/>
  <c r="AI114" i="12"/>
  <c r="X100" i="12"/>
  <c r="V100" i="12" s="1"/>
  <c r="J100" i="12"/>
  <c r="U100" i="12" s="1"/>
  <c r="AI113" i="12"/>
  <c r="X84" i="12"/>
  <c r="V84" i="12" s="1"/>
  <c r="J84" i="12"/>
  <c r="U84" i="12" s="1"/>
  <c r="AI84" i="12"/>
  <c r="X99" i="12"/>
  <c r="V99" i="12" s="1"/>
  <c r="J99" i="12"/>
  <c r="AI96" i="12"/>
  <c r="AI100" i="12"/>
  <c r="X97" i="12"/>
  <c r="V97" i="12" s="1"/>
  <c r="J97" i="12"/>
  <c r="AI111" i="12"/>
  <c r="J111" i="12"/>
  <c r="U111" i="12" s="1"/>
  <c r="AD111" i="12"/>
  <c r="AE111" i="12" s="1"/>
  <c r="J101" i="12"/>
  <c r="AI101" i="12"/>
  <c r="AD101" i="12"/>
  <c r="X101" i="12"/>
  <c r="V101" i="12" s="1"/>
  <c r="J85" i="12"/>
  <c r="U85" i="12" s="1"/>
  <c r="AI85" i="12"/>
  <c r="X85" i="12"/>
  <c r="V85" i="12" s="1"/>
  <c r="AD113" i="12"/>
  <c r="AD85" i="12"/>
  <c r="AE85" i="12" s="1"/>
  <c r="AD96" i="12"/>
  <c r="X115" i="12"/>
  <c r="V115" i="12" s="1"/>
  <c r="AI115" i="12"/>
  <c r="AI112" i="12"/>
  <c r="AI77" i="12"/>
  <c r="AI97" i="12"/>
  <c r="AD100" i="12"/>
  <c r="AE100" i="12" s="1"/>
  <c r="J115" i="12"/>
  <c r="X111" i="12"/>
  <c r="V111" i="12" s="1"/>
  <c r="AD74" i="12"/>
  <c r="AI73" i="12"/>
  <c r="AI57" i="12"/>
  <c r="J98" i="12"/>
  <c r="U98" i="12" s="1"/>
  <c r="AD99" i="12"/>
  <c r="AE99" i="12" s="1"/>
  <c r="X96" i="12"/>
  <c r="V96" i="12" s="1"/>
  <c r="J58" i="12"/>
  <c r="J59" i="12"/>
  <c r="U59" i="12" s="1"/>
  <c r="J112" i="12"/>
  <c r="X113" i="12"/>
  <c r="V113" i="12" s="1"/>
  <c r="AI99" i="12"/>
  <c r="AD97" i="12"/>
  <c r="AE97" i="12" s="1"/>
  <c r="J61" i="12"/>
  <c r="U61" i="12" s="1"/>
  <c r="X61" i="12"/>
  <c r="V61" i="12" s="1"/>
  <c r="AI61" i="12"/>
  <c r="X73" i="12"/>
  <c r="V73" i="12" s="1"/>
  <c r="J73" i="12"/>
  <c r="U73" i="12" s="1"/>
  <c r="AI76" i="12"/>
  <c r="AD61" i="12"/>
  <c r="X76" i="12"/>
  <c r="V76" i="12" s="1"/>
  <c r="J76" i="12"/>
  <c r="AD73" i="12"/>
  <c r="AD77" i="12"/>
  <c r="X74" i="12"/>
  <c r="V74" i="12" s="1"/>
  <c r="AI74" i="12"/>
  <c r="J60" i="12"/>
  <c r="X77" i="12"/>
  <c r="V77" i="12" s="1"/>
  <c r="J77" i="12"/>
  <c r="U77" i="12" s="1"/>
  <c r="AD76" i="12"/>
  <c r="W69" i="12"/>
  <c r="X60" i="12"/>
  <c r="V60" i="12" s="1"/>
  <c r="AD60" i="12"/>
  <c r="X58" i="12"/>
  <c r="V58" i="12" s="1"/>
  <c r="AD58" i="12"/>
  <c r="AI58" i="12"/>
  <c r="AD57" i="12"/>
  <c r="X57" i="12"/>
  <c r="V57" i="12" s="1"/>
  <c r="D19" i="5"/>
  <c r="K39" i="12"/>
  <c r="K45" i="12" s="1"/>
  <c r="K40" i="12"/>
  <c r="K46" i="12" s="1"/>
  <c r="K41" i="12"/>
  <c r="K47" i="12" s="1"/>
  <c r="K38" i="12"/>
  <c r="K44" i="12" s="1"/>
  <c r="S47" i="12"/>
  <c r="Q47" i="12"/>
  <c r="P47" i="12"/>
  <c r="S45" i="12"/>
  <c r="Q45" i="12"/>
  <c r="P45" i="12"/>
  <c r="S46" i="12"/>
  <c r="P46" i="12"/>
  <c r="M46" i="12"/>
  <c r="S44" i="12"/>
  <c r="P44" i="12"/>
  <c r="N44" i="12"/>
  <c r="Z44" i="12"/>
  <c r="AA44" i="12"/>
  <c r="AB44" i="12"/>
  <c r="AC44" i="12"/>
  <c r="Z45" i="12"/>
  <c r="AA45" i="12"/>
  <c r="AB45" i="12"/>
  <c r="AC45" i="12"/>
  <c r="Z46" i="12"/>
  <c r="AA46" i="12"/>
  <c r="AB46" i="12"/>
  <c r="AC46" i="12"/>
  <c r="Z47" i="12"/>
  <c r="AA47" i="12"/>
  <c r="AB47" i="12"/>
  <c r="AC47" i="12"/>
  <c r="Y45" i="12"/>
  <c r="Y46" i="12"/>
  <c r="Y47" i="12"/>
  <c r="Y44" i="12"/>
  <c r="G44" i="12"/>
  <c r="AG44" i="12" s="1"/>
  <c r="H44" i="12"/>
  <c r="I44" i="12"/>
  <c r="O44" i="12"/>
  <c r="Q44" i="12"/>
  <c r="G45" i="12"/>
  <c r="AG45" i="12" s="1"/>
  <c r="H45" i="12"/>
  <c r="I45" i="12"/>
  <c r="O45" i="12"/>
  <c r="G46" i="12"/>
  <c r="AG46" i="12" s="1"/>
  <c r="H46" i="12"/>
  <c r="I46" i="12"/>
  <c r="O46" i="12"/>
  <c r="Q46" i="12"/>
  <c r="G47" i="12"/>
  <c r="AG47" i="12" s="1"/>
  <c r="H47" i="12"/>
  <c r="I47" i="12"/>
  <c r="O47" i="12"/>
  <c r="F45" i="12"/>
  <c r="F46" i="12"/>
  <c r="F47" i="12"/>
  <c r="F44" i="12"/>
  <c r="D4" i="4"/>
  <c r="AD75" i="12" l="1"/>
  <c r="AF99" i="12"/>
  <c r="AF98" i="12"/>
  <c r="F24" i="11"/>
  <c r="E18" i="10"/>
  <c r="AF100" i="12"/>
  <c r="AI75" i="12"/>
  <c r="AF75" i="12" s="1"/>
  <c r="AK75" i="12" s="1"/>
  <c r="AM75" i="12" s="1"/>
  <c r="AF84" i="12"/>
  <c r="AK84" i="12" s="1"/>
  <c r="AM84" i="12" s="1"/>
  <c r="J75" i="12"/>
  <c r="AF114" i="12"/>
  <c r="AK114" i="12" s="1"/>
  <c r="AM114" i="12" s="1"/>
  <c r="AE76" i="12"/>
  <c r="AF76" i="12"/>
  <c r="AK76" i="12" s="1"/>
  <c r="AM76" i="12" s="1"/>
  <c r="AF112" i="12"/>
  <c r="AK112" i="12" s="1"/>
  <c r="AM112" i="12" s="1"/>
  <c r="T136" i="12"/>
  <c r="U136" i="12"/>
  <c r="W136" i="12" s="1"/>
  <c r="T76" i="12"/>
  <c r="U76" i="12"/>
  <c r="W76" i="12" s="1"/>
  <c r="U115" i="12"/>
  <c r="W115" i="12" s="1"/>
  <c r="AF115" i="12"/>
  <c r="AK115" i="12" s="1"/>
  <c r="AM115" i="12" s="1"/>
  <c r="T112" i="12"/>
  <c r="U112" i="12"/>
  <c r="W112" i="12" s="1"/>
  <c r="AF111" i="12"/>
  <c r="AK111" i="12" s="1"/>
  <c r="AM111" i="12" s="1"/>
  <c r="T113" i="12"/>
  <c r="U113" i="12"/>
  <c r="W113" i="12" s="1"/>
  <c r="T101" i="12"/>
  <c r="U101" i="12"/>
  <c r="W101" i="12" s="1"/>
  <c r="T99" i="12"/>
  <c r="U99" i="12"/>
  <c r="W99" i="12" s="1"/>
  <c r="AF97" i="12"/>
  <c r="AK97" i="12" s="1"/>
  <c r="AM97" i="12" s="1"/>
  <c r="T97" i="12"/>
  <c r="U97" i="12"/>
  <c r="W97" i="12" s="1"/>
  <c r="AF85" i="12"/>
  <c r="AK85" i="12" s="1"/>
  <c r="AM85" i="12" s="1"/>
  <c r="AE77" i="12"/>
  <c r="AF77" i="12"/>
  <c r="AK77" i="12" s="1"/>
  <c r="AE74" i="12"/>
  <c r="AF74" i="12"/>
  <c r="AK74" i="12" s="1"/>
  <c r="AM74" i="12" s="1"/>
  <c r="T74" i="12"/>
  <c r="U74" i="12"/>
  <c r="W74" i="12" s="1"/>
  <c r="AE75" i="12"/>
  <c r="AE73" i="12"/>
  <c r="AF73" i="12"/>
  <c r="AK73" i="12" s="1"/>
  <c r="AM73" i="12" s="1"/>
  <c r="T60" i="12"/>
  <c r="U60" i="12"/>
  <c r="W60" i="12" s="1"/>
  <c r="AE60" i="12"/>
  <c r="AF60" i="12"/>
  <c r="AK60" i="12" s="1"/>
  <c r="AM60" i="12" s="1"/>
  <c r="AE61" i="12"/>
  <c r="AF61" i="12"/>
  <c r="AK61" i="12" s="1"/>
  <c r="AM61" i="12" s="1"/>
  <c r="AF58" i="12"/>
  <c r="AK58" i="12" s="1"/>
  <c r="AM58" i="12" s="1"/>
  <c r="T58" i="12"/>
  <c r="U58" i="12"/>
  <c r="W58" i="12" s="1"/>
  <c r="AE57" i="12"/>
  <c r="AF57" i="12"/>
  <c r="AK57" i="12" s="1"/>
  <c r="AM57" i="12" s="1"/>
  <c r="T57" i="12"/>
  <c r="U57" i="12"/>
  <c r="W57" i="12" s="1"/>
  <c r="AE58" i="12"/>
  <c r="AE101" i="12"/>
  <c r="AF101" i="12" s="1"/>
  <c r="AK101" i="12" s="1"/>
  <c r="AM101" i="12" s="1"/>
  <c r="AE96" i="12"/>
  <c r="AF96" i="12" s="1"/>
  <c r="AK96" i="12" s="1"/>
  <c r="AM96" i="12" s="1"/>
  <c r="T85" i="12"/>
  <c r="W98" i="12"/>
  <c r="AE113" i="12"/>
  <c r="AF113" i="12" s="1"/>
  <c r="AK113" i="12" s="1"/>
  <c r="AM113" i="12" s="1"/>
  <c r="F22" i="9" s="1"/>
  <c r="W85" i="12"/>
  <c r="AK100" i="12"/>
  <c r="AM100" i="12" s="1"/>
  <c r="AJ47" i="12"/>
  <c r="AJ46" i="12"/>
  <c r="AJ45" i="12"/>
  <c r="AK99" i="12"/>
  <c r="AM99" i="12" s="1"/>
  <c r="W84" i="12"/>
  <c r="AK98" i="12"/>
  <c r="AM98" i="12" s="1"/>
  <c r="AJ44" i="12"/>
  <c r="AD72" i="12"/>
  <c r="W100" i="12"/>
  <c r="W96" i="12"/>
  <c r="AD59" i="12"/>
  <c r="T96" i="12"/>
  <c r="AI59" i="12"/>
  <c r="AI72" i="12"/>
  <c r="J72" i="12"/>
  <c r="T114" i="12"/>
  <c r="W114" i="12"/>
  <c r="T100" i="12"/>
  <c r="T84" i="12"/>
  <c r="X59" i="12"/>
  <c r="V59" i="12" s="1"/>
  <c r="W111" i="12"/>
  <c r="W61" i="12"/>
  <c r="T59" i="12"/>
  <c r="T111" i="12"/>
  <c r="T115" i="12"/>
  <c r="T98" i="12"/>
  <c r="T61" i="12"/>
  <c r="AI45" i="12"/>
  <c r="T73" i="12"/>
  <c r="W73" i="12"/>
  <c r="AI46" i="12"/>
  <c r="AD47" i="12"/>
  <c r="AD46" i="12"/>
  <c r="AD45" i="12"/>
  <c r="AI47" i="12"/>
  <c r="T77" i="12"/>
  <c r="W77" i="12"/>
  <c r="J47" i="12"/>
  <c r="U47" i="12" s="1"/>
  <c r="J46" i="12"/>
  <c r="X47" i="12"/>
  <c r="V47" i="12" s="1"/>
  <c r="J45" i="12"/>
  <c r="X45" i="12"/>
  <c r="V45" i="12" s="1"/>
  <c r="X46" i="12"/>
  <c r="V46" i="12" s="1"/>
  <c r="D25" i="1"/>
  <c r="S35" i="12"/>
  <c r="R35" i="12"/>
  <c r="P35" i="12"/>
  <c r="S34" i="12"/>
  <c r="R34" i="12"/>
  <c r="G34" i="12"/>
  <c r="AG34" i="12" s="1"/>
  <c r="Y33" i="12"/>
  <c r="Z33" i="12"/>
  <c r="AA33" i="12"/>
  <c r="AB33" i="12"/>
  <c r="AC33" i="12"/>
  <c r="Y34" i="12"/>
  <c r="Z34" i="12"/>
  <c r="AA34" i="12"/>
  <c r="AB34" i="12"/>
  <c r="AC34" i="12"/>
  <c r="Y35" i="12"/>
  <c r="Z35" i="12"/>
  <c r="AA35" i="12"/>
  <c r="AB35" i="12"/>
  <c r="AC35" i="12"/>
  <c r="Y32" i="12"/>
  <c r="Z32" i="12"/>
  <c r="AA32" i="12"/>
  <c r="AB32" i="12"/>
  <c r="AC32" i="12"/>
  <c r="G32" i="12"/>
  <c r="AG32" i="12" s="1"/>
  <c r="H32" i="12"/>
  <c r="I32" i="12"/>
  <c r="O32" i="12"/>
  <c r="P32" i="12"/>
  <c r="Q32" i="12"/>
  <c r="G33" i="12"/>
  <c r="AG33" i="12" s="1"/>
  <c r="H33" i="12"/>
  <c r="I33" i="12"/>
  <c r="O33" i="12"/>
  <c r="P33" i="12"/>
  <c r="Q33" i="12"/>
  <c r="S33" i="12"/>
  <c r="H34" i="12"/>
  <c r="I34" i="12"/>
  <c r="O34" i="12"/>
  <c r="P34" i="12"/>
  <c r="Q34" i="12"/>
  <c r="G35" i="12"/>
  <c r="AG35" i="12" s="1"/>
  <c r="H35" i="12"/>
  <c r="I35" i="12"/>
  <c r="O35" i="12"/>
  <c r="Q35" i="12"/>
  <c r="F33" i="12"/>
  <c r="F34" i="12"/>
  <c r="F35" i="12"/>
  <c r="F32" i="12"/>
  <c r="K29" i="12"/>
  <c r="K35" i="12" s="1"/>
  <c r="K28" i="12"/>
  <c r="K34" i="12" s="1"/>
  <c r="K27" i="12"/>
  <c r="K33" i="12" s="1"/>
  <c r="I22" i="12"/>
  <c r="W4" i="12"/>
  <c r="T4" i="12" s="1"/>
  <c r="W3" i="12"/>
  <c r="T3" i="12" s="1"/>
  <c r="Z22" i="12"/>
  <c r="K18" i="12"/>
  <c r="K22" i="12" s="1"/>
  <c r="U75" i="12" l="1"/>
  <c r="W75" i="12" s="1"/>
  <c r="T75" i="12"/>
  <c r="T46" i="12"/>
  <c r="U46" i="12"/>
  <c r="W46" i="12" s="1"/>
  <c r="G22" i="9"/>
  <c r="T45" i="12"/>
  <c r="U45" i="12"/>
  <c r="W45" i="12" s="1"/>
  <c r="E22" i="9"/>
  <c r="G25" i="8"/>
  <c r="F25" i="8"/>
  <c r="E25" i="8"/>
  <c r="E20" i="7"/>
  <c r="AM77" i="12"/>
  <c r="G15" i="6" s="1"/>
  <c r="F15" i="6"/>
  <c r="T72" i="12"/>
  <c r="U72" i="12"/>
  <c r="W72" i="12" s="1"/>
  <c r="G19" i="5"/>
  <c r="AE59" i="12"/>
  <c r="AF59" i="12"/>
  <c r="AK59" i="12" s="1"/>
  <c r="AM59" i="12" s="1"/>
  <c r="F19" i="5" s="1"/>
  <c r="E19" i="5"/>
  <c r="AF47" i="12"/>
  <c r="AK47" i="12" s="1"/>
  <c r="AM47" i="12" s="1"/>
  <c r="AE45" i="12"/>
  <c r="AF45" i="12"/>
  <c r="AK45" i="12" s="1"/>
  <c r="AM45" i="12" s="1"/>
  <c r="AE46" i="12"/>
  <c r="AF46" i="12"/>
  <c r="AK46" i="12" s="1"/>
  <c r="AM46" i="12" s="1"/>
  <c r="AE47" i="12"/>
  <c r="AF72" i="12"/>
  <c r="AK72" i="12" s="1"/>
  <c r="AM72" i="12" s="1"/>
  <c r="E15" i="6" s="1"/>
  <c r="AE72" i="12"/>
  <c r="AJ32" i="12"/>
  <c r="AJ34" i="12"/>
  <c r="AJ35" i="12"/>
  <c r="AJ33" i="12"/>
  <c r="W59" i="12"/>
  <c r="AD32" i="12"/>
  <c r="AD33" i="12"/>
  <c r="AI32" i="12"/>
  <c r="AI33" i="12"/>
  <c r="W47" i="12"/>
  <c r="X32" i="12"/>
  <c r="V32" i="12" s="1"/>
  <c r="T47" i="12"/>
  <c r="AD34" i="12"/>
  <c r="AD35" i="12"/>
  <c r="AI35" i="12"/>
  <c r="AI34" i="12"/>
  <c r="J34" i="12"/>
  <c r="J35" i="12"/>
  <c r="U35" i="12" s="1"/>
  <c r="X34" i="12"/>
  <c r="V34" i="12" s="1"/>
  <c r="X33" i="12"/>
  <c r="V33" i="12" s="1"/>
  <c r="X35" i="12"/>
  <c r="V35" i="12" s="1"/>
  <c r="J33" i="12"/>
  <c r="J32" i="12"/>
  <c r="U32" i="12" s="1"/>
  <c r="L19" i="10"/>
  <c r="F10" i="10"/>
  <c r="F9" i="10"/>
  <c r="L5" i="10"/>
  <c r="L6" i="10"/>
  <c r="D12" i="2" s="1"/>
  <c r="L7" i="10"/>
  <c r="L8" i="10"/>
  <c r="L9" i="10"/>
  <c r="L10" i="10"/>
  <c r="L11" i="10"/>
  <c r="L12" i="10"/>
  <c r="L13" i="10"/>
  <c r="L14" i="10"/>
  <c r="L15" i="10"/>
  <c r="L16" i="10"/>
  <c r="L17" i="10"/>
  <c r="L18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L5" i="9"/>
  <c r="L6" i="9"/>
  <c r="L7" i="9"/>
  <c r="L8" i="9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L18" i="11"/>
  <c r="G21" i="11"/>
  <c r="D12" i="11"/>
  <c r="L5" i="11"/>
  <c r="L6" i="11"/>
  <c r="L7" i="11"/>
  <c r="L8" i="11"/>
  <c r="L9" i="11"/>
  <c r="L10" i="11"/>
  <c r="L11" i="11"/>
  <c r="L12" i="11"/>
  <c r="L13" i="11"/>
  <c r="L14" i="11"/>
  <c r="L15" i="11"/>
  <c r="L16" i="11"/>
  <c r="L17" i="11"/>
  <c r="L19" i="11"/>
  <c r="L20" i="11"/>
  <c r="D5" i="11"/>
  <c r="D6" i="11"/>
  <c r="D7" i="11"/>
  <c r="D8" i="11"/>
  <c r="D9" i="11"/>
  <c r="D10" i="11"/>
  <c r="D11" i="11"/>
  <c r="D13" i="11"/>
  <c r="D14" i="11"/>
  <c r="D15" i="11"/>
  <c r="D16" i="11"/>
  <c r="D17" i="11"/>
  <c r="D18" i="11"/>
  <c r="D19" i="11"/>
  <c r="D20" i="11"/>
  <c r="D21" i="11"/>
  <c r="D22" i="11"/>
  <c r="D23" i="11"/>
  <c r="L22" i="8"/>
  <c r="N9" i="8"/>
  <c r="E21" i="8"/>
  <c r="L5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3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5" i="8"/>
  <c r="D6" i="8"/>
  <c r="D7" i="8"/>
  <c r="D8" i="8"/>
  <c r="D9" i="8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D10" i="7"/>
  <c r="D11" i="7"/>
  <c r="D12" i="7"/>
  <c r="D13" i="7"/>
  <c r="D14" i="7"/>
  <c r="D15" i="7"/>
  <c r="D16" i="7"/>
  <c r="D17" i="7"/>
  <c r="D18" i="7"/>
  <c r="D19" i="7"/>
  <c r="D5" i="7"/>
  <c r="D6" i="7"/>
  <c r="D7" i="7"/>
  <c r="D8" i="7"/>
  <c r="D9" i="7"/>
  <c r="T34" i="12" l="1"/>
  <c r="U34" i="12"/>
  <c r="W34" i="12" s="1"/>
  <c r="T33" i="12"/>
  <c r="U33" i="12"/>
  <c r="W33" i="12" s="1"/>
  <c r="AF34" i="12"/>
  <c r="AK34" i="12" s="1"/>
  <c r="AM34" i="12" s="1"/>
  <c r="AE32" i="12"/>
  <c r="AF32" i="12"/>
  <c r="AK32" i="12" s="1"/>
  <c r="AM32" i="12" s="1"/>
  <c r="AE33" i="12"/>
  <c r="AF33" i="12"/>
  <c r="AK33" i="12" s="1"/>
  <c r="AM33" i="12" s="1"/>
  <c r="AE35" i="12"/>
  <c r="AF35" i="12"/>
  <c r="AK35" i="12" s="1"/>
  <c r="AM35" i="12" s="1"/>
  <c r="F4" i="4"/>
  <c r="AE34" i="12"/>
  <c r="W32" i="12"/>
  <c r="W35" i="12"/>
  <c r="T35" i="12"/>
  <c r="T32" i="12"/>
  <c r="L21" i="6"/>
  <c r="N19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5" i="6"/>
  <c r="D7" i="6"/>
  <c r="D8" i="6"/>
  <c r="D9" i="6"/>
  <c r="D10" i="6"/>
  <c r="D11" i="6"/>
  <c r="D12" i="6"/>
  <c r="D13" i="6"/>
  <c r="D14" i="6"/>
  <c r="D5" i="6"/>
  <c r="D6" i="6"/>
  <c r="L8" i="4"/>
  <c r="L7" i="4"/>
  <c r="L6" i="4"/>
  <c r="L12" i="4"/>
  <c r="L10" i="4"/>
  <c r="L11" i="4"/>
  <c r="L20" i="4"/>
  <c r="L15" i="4"/>
  <c r="L18" i="4"/>
  <c r="L26" i="4"/>
  <c r="L16" i="4"/>
  <c r="L17" i="4"/>
  <c r="L13" i="4"/>
  <c r="L22" i="4"/>
  <c r="L25" i="4"/>
  <c r="L19" i="4"/>
  <c r="L24" i="4"/>
  <c r="L14" i="4"/>
  <c r="L9" i="4"/>
  <c r="F14" i="4"/>
  <c r="D10" i="4"/>
  <c r="D15" i="4"/>
  <c r="D22" i="4"/>
  <c r="D12" i="4"/>
  <c r="D26" i="4"/>
  <c r="D17" i="4"/>
  <c r="D18" i="4"/>
  <c r="D19" i="4"/>
  <c r="D20" i="4"/>
  <c r="D28" i="4"/>
  <c r="D25" i="4"/>
  <c r="D11" i="4"/>
  <c r="D5" i="4"/>
  <c r="D8" i="4"/>
  <c r="D6" i="4"/>
  <c r="D14" i="4"/>
  <c r="D9" i="4"/>
  <c r="D13" i="4"/>
  <c r="D21" i="4"/>
  <c r="F25" i="1" l="1"/>
  <c r="G25" i="1"/>
  <c r="Z23" i="12"/>
  <c r="Y23" i="12"/>
  <c r="S23" i="12"/>
  <c r="O23" i="12"/>
  <c r="P23" i="12"/>
  <c r="Q23" i="12"/>
  <c r="R23" i="12"/>
  <c r="I23" i="12"/>
  <c r="Y22" i="12"/>
  <c r="S22" i="12"/>
  <c r="N22" i="12"/>
  <c r="O22" i="12"/>
  <c r="P22" i="12"/>
  <c r="Q22" i="12"/>
  <c r="K19" i="12"/>
  <c r="K23" i="12" s="1"/>
  <c r="H22" i="12"/>
  <c r="AA22" i="12"/>
  <c r="AB22" i="12"/>
  <c r="AC22" i="12"/>
  <c r="H23" i="12"/>
  <c r="AA23" i="12"/>
  <c r="AB23" i="12"/>
  <c r="AC23" i="12"/>
  <c r="F23" i="12"/>
  <c r="F22" i="12"/>
  <c r="L24" i="5"/>
  <c r="L23" i="5"/>
  <c r="L22" i="5"/>
  <c r="L21" i="5"/>
  <c r="L20" i="5"/>
  <c r="L19" i="5"/>
  <c r="N17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D12" i="5"/>
  <c r="D13" i="5"/>
  <c r="D14" i="5"/>
  <c r="D15" i="5"/>
  <c r="D16" i="5"/>
  <c r="D17" i="5"/>
  <c r="D18" i="5"/>
  <c r="D6" i="5"/>
  <c r="D7" i="5"/>
  <c r="D8" i="5"/>
  <c r="D9" i="5"/>
  <c r="D10" i="5"/>
  <c r="D11" i="5"/>
  <c r="D5" i="5"/>
  <c r="L4" i="11"/>
  <c r="D10" i="2" s="1"/>
  <c r="D4" i="11"/>
  <c r="L4" i="10"/>
  <c r="D4" i="10"/>
  <c r="C12" i="2" s="1"/>
  <c r="L4" i="9"/>
  <c r="D4" i="9"/>
  <c r="C8" i="2" s="1"/>
  <c r="L4" i="8"/>
  <c r="D4" i="8"/>
  <c r="C9" i="2" s="1"/>
  <c r="L4" i="7"/>
  <c r="D4" i="7"/>
  <c r="C7" i="2" s="1"/>
  <c r="L4" i="6"/>
  <c r="D4" i="6"/>
  <c r="C5" i="2" s="1"/>
  <c r="L4" i="5"/>
  <c r="D4" i="5"/>
  <c r="D7" i="4"/>
  <c r="D11" i="2"/>
  <c r="C10" i="2" l="1"/>
  <c r="E10" i="2" s="1"/>
  <c r="G10" i="2" s="1"/>
  <c r="AD22" i="12"/>
  <c r="AD23" i="12"/>
  <c r="AI23" i="12"/>
  <c r="AI22" i="12"/>
  <c r="C4" i="2"/>
  <c r="X22" i="12"/>
  <c r="V22" i="12" s="1"/>
  <c r="J23" i="12"/>
  <c r="U23" i="12" s="1"/>
  <c r="X23" i="12"/>
  <c r="V23" i="12" s="1"/>
  <c r="J22" i="12"/>
  <c r="U22" i="12" s="1"/>
  <c r="D24" i="1"/>
  <c r="O25" i="3"/>
  <c r="M23" i="3"/>
  <c r="L28" i="1"/>
  <c r="L29" i="1"/>
  <c r="L30" i="1"/>
  <c r="L27" i="1"/>
  <c r="L13" i="3"/>
  <c r="L10" i="3"/>
  <c r="L7" i="3"/>
  <c r="L17" i="3"/>
  <c r="L19" i="3"/>
  <c r="L14" i="3"/>
  <c r="L20" i="3"/>
  <c r="L21" i="3"/>
  <c r="L27" i="3"/>
  <c r="L12" i="3"/>
  <c r="L9" i="3"/>
  <c r="L18" i="3"/>
  <c r="L23" i="3"/>
  <c r="L16" i="3"/>
  <c r="L24" i="3"/>
  <c r="L26" i="3"/>
  <c r="L11" i="3"/>
  <c r="L8" i="3"/>
  <c r="L28" i="3"/>
  <c r="L4" i="3"/>
  <c r="L6" i="3"/>
  <c r="L25" i="3"/>
  <c r="L15" i="3"/>
  <c r="L22" i="3"/>
  <c r="L5" i="3"/>
  <c r="E5" i="2"/>
  <c r="G5" i="2" s="1"/>
  <c r="E7" i="2"/>
  <c r="G7" i="2" s="1"/>
  <c r="E9" i="2"/>
  <c r="G9" i="2" s="1"/>
  <c r="E8" i="2"/>
  <c r="G8" i="2" s="1"/>
  <c r="E12" i="2"/>
  <c r="G12" i="2" s="1"/>
  <c r="G13" i="3"/>
  <c r="F8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4" i="3"/>
  <c r="O25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4" i="1"/>
  <c r="F23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4" i="1"/>
  <c r="AF23" i="12" l="1"/>
  <c r="AK23" i="12" s="1"/>
  <c r="AM23" i="12" s="1"/>
  <c r="F4" i="3" s="1"/>
  <c r="AF22" i="12"/>
  <c r="AK22" i="12" s="1"/>
  <c r="AM22" i="12" s="1"/>
  <c r="E4" i="3" s="1"/>
  <c r="AE22" i="12"/>
  <c r="AE23" i="12"/>
  <c r="T23" i="12"/>
  <c r="W23" i="12"/>
  <c r="T22" i="12"/>
  <c r="W22" i="12"/>
  <c r="D3" i="2"/>
  <c r="C6" i="2" l="1"/>
  <c r="AI44" i="12" l="1"/>
  <c r="AD44" i="12"/>
  <c r="X44" i="12"/>
  <c r="V44" i="12" s="1"/>
  <c r="J44" i="12"/>
  <c r="T44" i="12" l="1"/>
  <c r="U44" i="12"/>
  <c r="W44" i="12" s="1"/>
  <c r="AF44" i="12"/>
  <c r="AK44" i="12" s="1"/>
  <c r="AM44" i="12" s="1"/>
  <c r="E4" i="4" s="1"/>
  <c r="AE44" i="12"/>
  <c r="C11" i="2" l="1"/>
  <c r="E11" i="2" s="1"/>
  <c r="G11" i="2" s="1"/>
  <c r="I175" i="12"/>
  <c r="U175" i="12" s="1"/>
  <c r="J175" i="12"/>
  <c r="V175" i="12" l="1"/>
  <c r="W175" i="12" s="1"/>
  <c r="N17" i="3" s="1"/>
  <c r="I184" i="12"/>
  <c r="U184" i="12" s="1"/>
  <c r="J184" i="12"/>
  <c r="V184" i="12" s="1"/>
  <c r="W184" i="12" l="1"/>
  <c r="M30" i="3" s="1"/>
  <c r="D6" i="2" l="1"/>
  <c r="E6" i="2" s="1"/>
  <c r="G6" i="2" s="1"/>
  <c r="V247" i="12"/>
  <c r="W247" i="12" s="1"/>
  <c r="M4" i="5" s="1"/>
  <c r="I247" i="12"/>
  <c r="U247" i="12" s="1"/>
  <c r="D4" i="2" l="1"/>
  <c r="D14" i="2" s="1"/>
  <c r="D17" i="2" s="1"/>
  <c r="D16" i="2" l="1"/>
  <c r="E4" i="2"/>
  <c r="G4" i="2" s="1"/>
  <c r="C3" i="2" l="1"/>
  <c r="E3" i="2" s="1"/>
  <c r="G3" i="2" s="1"/>
  <c r="F8" i="2" l="1"/>
  <c r="F3" i="2"/>
  <c r="F12" i="2"/>
  <c r="F4" i="2"/>
  <c r="F9" i="2"/>
  <c r="F10" i="2"/>
  <c r="F7" i="2"/>
  <c r="F6" i="2"/>
  <c r="F11" i="2"/>
  <c r="F5" i="2"/>
  <c r="C14" i="2"/>
  <c r="F14" i="2" l="1"/>
  <c r="G14" i="2" s="1"/>
  <c r="C17" i="2"/>
  <c r="C16" i="2"/>
</calcChain>
</file>

<file path=xl/sharedStrings.xml><?xml version="1.0" encoding="utf-8"?>
<sst xmlns="http://schemas.openxmlformats.org/spreadsheetml/2006/main" count="3000" uniqueCount="773">
  <si>
    <t>김재환</t>
  </si>
  <si>
    <t>최주환</t>
  </si>
  <si>
    <t>허경민</t>
  </si>
  <si>
    <t>김재호</t>
  </si>
  <si>
    <t>박건우</t>
  </si>
  <si>
    <t>오재원</t>
  </si>
  <si>
    <t>오재일</t>
  </si>
  <si>
    <t>정수빈</t>
  </si>
  <si>
    <t>박세혁</t>
  </si>
  <si>
    <t>류지혁</t>
  </si>
  <si>
    <t>정진호</t>
  </si>
  <si>
    <t>국해성</t>
  </si>
  <si>
    <t>장승현</t>
  </si>
  <si>
    <t>전민재</t>
  </si>
  <si>
    <t>백동훈</t>
  </si>
  <si>
    <t>김인태</t>
  </si>
  <si>
    <t>함덕주</t>
  </si>
  <si>
    <t>이현승</t>
  </si>
  <si>
    <t>유재유</t>
  </si>
  <si>
    <t>이영하</t>
  </si>
  <si>
    <t>변진수</t>
  </si>
  <si>
    <t>이병휘</t>
  </si>
  <si>
    <t>이흥련</t>
  </si>
  <si>
    <t>황경태</t>
  </si>
  <si>
    <t>신성현</t>
  </si>
  <si>
    <t>생년월일</t>
    <phoneticPr fontId="1" type="noConversion"/>
  </si>
  <si>
    <t>선수</t>
    <phoneticPr fontId="1" type="noConversion"/>
  </si>
  <si>
    <t>만 나이</t>
    <phoneticPr fontId="1" type="noConversion"/>
  </si>
  <si>
    <t>두산</t>
    <phoneticPr fontId="1" type="noConversion"/>
  </si>
  <si>
    <t>팀</t>
    <phoneticPr fontId="1" type="noConversion"/>
  </si>
  <si>
    <t>타자</t>
    <phoneticPr fontId="1" type="noConversion"/>
  </si>
  <si>
    <t>투수</t>
    <phoneticPr fontId="1" type="noConversion"/>
  </si>
  <si>
    <t>총합</t>
    <phoneticPr fontId="1" type="noConversion"/>
  </si>
  <si>
    <t>SK</t>
    <phoneticPr fontId="1" type="noConversion"/>
  </si>
  <si>
    <t>한화</t>
    <phoneticPr fontId="1" type="noConversion"/>
  </si>
  <si>
    <t>나이 기준</t>
    <phoneticPr fontId="1" type="noConversion"/>
  </si>
  <si>
    <t>린드블럼</t>
  </si>
  <si>
    <t>후랭코프</t>
  </si>
  <si>
    <t>이용찬</t>
  </si>
  <si>
    <t>박치국</t>
  </si>
  <si>
    <t>김승회</t>
  </si>
  <si>
    <t>김강률</t>
  </si>
  <si>
    <t>박신지</t>
  </si>
  <si>
    <t>이현호</t>
  </si>
  <si>
    <t>홍상삼</t>
  </si>
  <si>
    <t>강동연</t>
  </si>
  <si>
    <t>한주성</t>
  </si>
  <si>
    <t>김민규</t>
  </si>
  <si>
    <t>허준혁</t>
  </si>
  <si>
    <t>최대성</t>
  </si>
  <si>
    <t>유희관</t>
  </si>
  <si>
    <t>윤수호</t>
  </si>
  <si>
    <t>장원준</t>
  </si>
  <si>
    <t>KIA</t>
    <phoneticPr fontId="1" type="noConversion"/>
  </si>
  <si>
    <t>삼성</t>
    <phoneticPr fontId="1" type="noConversion"/>
  </si>
  <si>
    <t>롯데</t>
    <phoneticPr fontId="1" type="noConversion"/>
  </si>
  <si>
    <t>LG</t>
    <phoneticPr fontId="1" type="noConversion"/>
  </si>
  <si>
    <t>KT</t>
    <phoneticPr fontId="1" type="noConversion"/>
  </si>
  <si>
    <t>NC</t>
    <phoneticPr fontId="1" type="noConversion"/>
  </si>
  <si>
    <t>최원준</t>
    <phoneticPr fontId="1" type="noConversion"/>
  </si>
  <si>
    <t>로맥</t>
  </si>
  <si>
    <t>한동민</t>
  </si>
  <si>
    <t>이재원</t>
  </si>
  <si>
    <t>최정</t>
  </si>
  <si>
    <t>노수광</t>
  </si>
  <si>
    <t>김강민</t>
  </si>
  <si>
    <t>최항</t>
  </si>
  <si>
    <t>나주환</t>
  </si>
  <si>
    <t>김성현</t>
  </si>
  <si>
    <t>강승호</t>
  </si>
  <si>
    <t>박승욱</t>
  </si>
  <si>
    <t>김재현</t>
  </si>
  <si>
    <t>정의윤</t>
  </si>
  <si>
    <t>허도환</t>
  </si>
  <si>
    <t>윤정우</t>
  </si>
  <si>
    <t>최승준</t>
  </si>
  <si>
    <t>안상현</t>
  </si>
  <si>
    <t>박정배</t>
  </si>
  <si>
    <t>윤희상</t>
  </si>
  <si>
    <t>신재웅</t>
  </si>
  <si>
    <t>박희수</t>
  </si>
  <si>
    <t>강지광</t>
  </si>
  <si>
    <t>이윤재</t>
  </si>
  <si>
    <t>박정권</t>
  </si>
  <si>
    <t>정진기</t>
  </si>
  <si>
    <t>김광현</t>
  </si>
  <si>
    <t>박종훈</t>
  </si>
  <si>
    <t>문승원</t>
  </si>
  <si>
    <t>김태훈</t>
  </si>
  <si>
    <t>산체스</t>
  </si>
  <si>
    <t>이승진</t>
  </si>
  <si>
    <t>채병용</t>
  </si>
  <si>
    <t>남윤성</t>
  </si>
  <si>
    <t>서진용</t>
  </si>
  <si>
    <t>임준혁</t>
  </si>
  <si>
    <t>봉민호</t>
  </si>
  <si>
    <t>정영일</t>
  </si>
  <si>
    <t>조성훈</t>
  </si>
  <si>
    <t>박민호</t>
  </si>
  <si>
    <t>김택형</t>
  </si>
  <si>
    <t>최민준</t>
  </si>
  <si>
    <t>김주한</t>
  </si>
  <si>
    <t>정재원</t>
  </si>
  <si>
    <t>백인식</t>
  </si>
  <si>
    <t>이원준</t>
  </si>
  <si>
    <t>권혁</t>
    <phoneticPr fontId="1" type="noConversion"/>
  </si>
  <si>
    <t>배영수</t>
    <phoneticPr fontId="1" type="noConversion"/>
  </si>
  <si>
    <t>이정담</t>
    <phoneticPr fontId="1" type="noConversion"/>
  </si>
  <si>
    <t>이형범</t>
    <phoneticPr fontId="1" type="noConversion"/>
  </si>
  <si>
    <t>정병곤</t>
    <phoneticPr fontId="1" type="noConversion"/>
  </si>
  <si>
    <t>박병호</t>
    <phoneticPr fontId="1" type="noConversion"/>
  </si>
  <si>
    <t>김하성</t>
    <phoneticPr fontId="1" type="noConversion"/>
  </si>
  <si>
    <t>이정후</t>
    <phoneticPr fontId="1" type="noConversion"/>
  </si>
  <si>
    <t>임병욱</t>
    <phoneticPr fontId="1" type="noConversion"/>
  </si>
  <si>
    <t>송성문</t>
    <phoneticPr fontId="1" type="noConversion"/>
  </si>
  <si>
    <t>김혜성</t>
    <phoneticPr fontId="1" type="noConversion"/>
  </si>
  <si>
    <t>샌즈</t>
    <phoneticPr fontId="1" type="noConversion"/>
  </si>
  <si>
    <t>이택근</t>
    <phoneticPr fontId="1" type="noConversion"/>
  </si>
  <si>
    <t>김규민</t>
    <phoneticPr fontId="1" type="noConversion"/>
  </si>
  <si>
    <t>서건창</t>
    <phoneticPr fontId="1" type="noConversion"/>
  </si>
  <si>
    <t>장영석</t>
    <phoneticPr fontId="1" type="noConversion"/>
  </si>
  <si>
    <t>주효상</t>
    <phoneticPr fontId="1" type="noConversion"/>
  </si>
  <si>
    <t>예진원</t>
    <phoneticPr fontId="1" type="noConversion"/>
  </si>
  <si>
    <t>박정음</t>
    <phoneticPr fontId="1" type="noConversion"/>
  </si>
  <si>
    <t>키움</t>
    <phoneticPr fontId="1" type="noConversion"/>
  </si>
  <si>
    <t>브리검</t>
    <phoneticPr fontId="1" type="noConversion"/>
  </si>
  <si>
    <t>최원태</t>
    <phoneticPr fontId="1" type="noConversion"/>
  </si>
  <si>
    <t>한현희</t>
    <phoneticPr fontId="1" type="noConversion"/>
  </si>
  <si>
    <t>양현</t>
    <phoneticPr fontId="1" type="noConversion"/>
  </si>
  <si>
    <t>김상수</t>
    <phoneticPr fontId="1" type="noConversion"/>
  </si>
  <si>
    <t>이보근</t>
    <phoneticPr fontId="1" type="noConversion"/>
  </si>
  <si>
    <t>이승호</t>
    <phoneticPr fontId="1" type="noConversion"/>
  </si>
  <si>
    <t>윤영삼</t>
    <phoneticPr fontId="1" type="noConversion"/>
  </si>
  <si>
    <t>김동준</t>
    <phoneticPr fontId="1" type="noConversion"/>
  </si>
  <si>
    <t>조상우</t>
    <phoneticPr fontId="1" type="noConversion"/>
  </si>
  <si>
    <t>이상민</t>
    <phoneticPr fontId="1" type="noConversion"/>
  </si>
  <si>
    <t>오주원</t>
    <phoneticPr fontId="1" type="noConversion"/>
  </si>
  <si>
    <t>문성현</t>
    <phoneticPr fontId="1" type="noConversion"/>
  </si>
  <si>
    <t>김성민</t>
    <phoneticPr fontId="1" type="noConversion"/>
  </si>
  <si>
    <t>조덕길</t>
    <phoneticPr fontId="1" type="noConversion"/>
  </si>
  <si>
    <t>서의태</t>
    <phoneticPr fontId="1" type="noConversion"/>
  </si>
  <si>
    <t>이영준</t>
    <phoneticPr fontId="1" type="noConversion"/>
  </si>
  <si>
    <t>하영민</t>
    <phoneticPr fontId="1" type="noConversion"/>
  </si>
  <si>
    <t>안우진</t>
    <phoneticPr fontId="1" type="noConversion"/>
  </si>
  <si>
    <t>김선기</t>
    <phoneticPr fontId="1" type="noConversion"/>
  </si>
  <si>
    <t>신재영</t>
    <phoneticPr fontId="1" type="noConversion"/>
  </si>
  <si>
    <t>Name</t>
    <phoneticPr fontId="1" type="noConversion"/>
  </si>
  <si>
    <t>Jamie Romak</t>
    <phoneticPr fontId="1" type="noConversion"/>
  </si>
  <si>
    <t>G</t>
  </si>
  <si>
    <t>PA</t>
  </si>
  <si>
    <t>AB</t>
  </si>
  <si>
    <t>R</t>
  </si>
  <si>
    <t>H</t>
  </si>
  <si>
    <t>2B</t>
  </si>
  <si>
    <t>3B</t>
  </si>
  <si>
    <t>HR</t>
  </si>
  <si>
    <t>RBI</t>
  </si>
  <si>
    <t>SB</t>
  </si>
  <si>
    <t>CS</t>
  </si>
  <si>
    <t>BB</t>
  </si>
  <si>
    <t>SO</t>
  </si>
  <si>
    <t>BA</t>
  </si>
  <si>
    <t>OBP</t>
  </si>
  <si>
    <t>SLG</t>
  </si>
  <si>
    <t>OPS</t>
  </si>
  <si>
    <t>TB</t>
  </si>
  <si>
    <t>GDP</t>
  </si>
  <si>
    <t>HBP</t>
  </si>
  <si>
    <t>SH</t>
  </si>
  <si>
    <t>SF</t>
  </si>
  <si>
    <t>IBB</t>
  </si>
  <si>
    <t>lg</t>
    <phoneticPr fontId="1" type="noConversion"/>
  </si>
  <si>
    <t>NPB</t>
    <phoneticPr fontId="1" type="noConversion"/>
  </si>
  <si>
    <t>Year</t>
    <phoneticPr fontId="1" type="noConversion"/>
  </si>
  <si>
    <t>PCL</t>
    <phoneticPr fontId="1" type="noConversion"/>
  </si>
  <si>
    <t>KBO</t>
    <phoneticPr fontId="1" type="noConversion"/>
  </si>
  <si>
    <t>Age</t>
    <phoneticPr fontId="1" type="noConversion"/>
  </si>
  <si>
    <t>EQA</t>
    <phoneticPr fontId="1" type="noConversion"/>
  </si>
  <si>
    <t>MLB (AL)</t>
    <phoneticPr fontId="1" type="noConversion"/>
  </si>
  <si>
    <t>MLB (NL)</t>
    <phoneticPr fontId="1" type="noConversion"/>
  </si>
  <si>
    <t>AAA (PCL)</t>
    <phoneticPr fontId="1" type="noConversion"/>
  </si>
  <si>
    <t>AAA (IL)</t>
    <phoneticPr fontId="1" type="noConversion"/>
  </si>
  <si>
    <t>NPB (Central)</t>
    <phoneticPr fontId="1" type="noConversion"/>
  </si>
  <si>
    <t>NPB (Pacific)</t>
    <phoneticPr fontId="1" type="noConversion"/>
  </si>
  <si>
    <t>1B</t>
    <phoneticPr fontId="1" type="noConversion"/>
  </si>
  <si>
    <t>wOBA</t>
    <phoneticPr fontId="1" type="noConversion"/>
  </si>
  <si>
    <t>이용규</t>
    <phoneticPr fontId="1" type="noConversion"/>
  </si>
  <si>
    <t>강경학</t>
    <phoneticPr fontId="1" type="noConversion"/>
  </si>
  <si>
    <t>송광민</t>
    <phoneticPr fontId="1" type="noConversion"/>
  </si>
  <si>
    <t>이성열</t>
    <phoneticPr fontId="1" type="noConversion"/>
  </si>
  <si>
    <t>정근우</t>
    <phoneticPr fontId="1" type="noConversion"/>
  </si>
  <si>
    <t>최재훈</t>
    <phoneticPr fontId="1" type="noConversion"/>
  </si>
  <si>
    <t>하주석</t>
    <phoneticPr fontId="1" type="noConversion"/>
  </si>
  <si>
    <t>지성준</t>
    <phoneticPr fontId="1" type="noConversion"/>
  </si>
  <si>
    <t>김회성</t>
    <phoneticPr fontId="1" type="noConversion"/>
  </si>
  <si>
    <t>김태균</t>
    <phoneticPr fontId="1" type="noConversion"/>
  </si>
  <si>
    <t>양성우</t>
    <phoneticPr fontId="1" type="noConversion"/>
  </si>
  <si>
    <t>박준혁</t>
    <phoneticPr fontId="1" type="noConversion"/>
  </si>
  <si>
    <t>정은원</t>
    <phoneticPr fontId="1" type="noConversion"/>
  </si>
  <si>
    <t>백창수</t>
    <phoneticPr fontId="1" type="noConversion"/>
  </si>
  <si>
    <t>최진행</t>
    <phoneticPr fontId="1" type="noConversion"/>
  </si>
  <si>
    <t>이동훈</t>
    <phoneticPr fontId="1" type="noConversion"/>
  </si>
  <si>
    <t>장진혁</t>
    <phoneticPr fontId="1" type="noConversion"/>
  </si>
  <si>
    <t>김태연</t>
    <phoneticPr fontId="1" type="noConversion"/>
  </si>
  <si>
    <t>김민하</t>
    <phoneticPr fontId="1" type="noConversion"/>
  </si>
  <si>
    <t>홍성갑</t>
    <phoneticPr fontId="1" type="noConversion"/>
  </si>
  <si>
    <t>송은범</t>
    <phoneticPr fontId="1" type="noConversion"/>
  </si>
  <si>
    <t>이태양</t>
    <phoneticPr fontId="1" type="noConversion"/>
  </si>
  <si>
    <t>박상원</t>
    <phoneticPr fontId="1" type="noConversion"/>
  </si>
  <si>
    <t>정우람</t>
    <phoneticPr fontId="1" type="noConversion"/>
  </si>
  <si>
    <t>장민재</t>
    <phoneticPr fontId="1" type="noConversion"/>
  </si>
  <si>
    <t>김재영</t>
    <phoneticPr fontId="1" type="noConversion"/>
  </si>
  <si>
    <t>김성훈</t>
    <phoneticPr fontId="1" type="noConversion"/>
  </si>
  <si>
    <t>안영명</t>
    <phoneticPr fontId="1" type="noConversion"/>
  </si>
  <si>
    <t>김범수</t>
    <phoneticPr fontId="1" type="noConversion"/>
  </si>
  <si>
    <t>서균</t>
    <phoneticPr fontId="1" type="noConversion"/>
  </si>
  <si>
    <t>송창식</t>
    <phoneticPr fontId="1" type="noConversion"/>
  </si>
  <si>
    <t>윤규진</t>
    <phoneticPr fontId="1" type="noConversion"/>
  </si>
  <si>
    <t>김종수</t>
    <phoneticPr fontId="1" type="noConversion"/>
  </si>
  <si>
    <t>김진욱</t>
    <phoneticPr fontId="1" type="noConversion"/>
  </si>
  <si>
    <t>임준섭</t>
    <phoneticPr fontId="1" type="noConversion"/>
  </si>
  <si>
    <t>김민우</t>
    <phoneticPr fontId="1" type="noConversion"/>
  </si>
  <si>
    <t>김경태</t>
    <phoneticPr fontId="1" type="noConversion"/>
  </si>
  <si>
    <t>김진영</t>
    <phoneticPr fontId="1" type="noConversion"/>
  </si>
  <si>
    <t>박주홍</t>
    <phoneticPr fontId="1" type="noConversion"/>
  </si>
  <si>
    <t>안치홍</t>
    <phoneticPr fontId="1" type="noConversion"/>
  </si>
  <si>
    <t>최형우</t>
    <phoneticPr fontId="1" type="noConversion"/>
  </si>
  <si>
    <t>이범호</t>
    <phoneticPr fontId="1" type="noConversion"/>
  </si>
  <si>
    <t>나지완</t>
    <phoneticPr fontId="1" type="noConversion"/>
  </si>
  <si>
    <t>이명기</t>
    <phoneticPr fontId="1" type="noConversion"/>
  </si>
  <si>
    <t>김주찬</t>
    <phoneticPr fontId="1" type="noConversion"/>
  </si>
  <si>
    <t>김선빈</t>
    <phoneticPr fontId="1" type="noConversion"/>
  </si>
  <si>
    <t>김민식</t>
    <phoneticPr fontId="1" type="noConversion"/>
  </si>
  <si>
    <t>유재신</t>
    <phoneticPr fontId="1" type="noConversion"/>
  </si>
  <si>
    <t>백용환</t>
    <phoneticPr fontId="1" type="noConversion"/>
  </si>
  <si>
    <t>박준태</t>
    <phoneticPr fontId="1" type="noConversion"/>
  </si>
  <si>
    <t>양현종</t>
    <phoneticPr fontId="1" type="noConversion"/>
  </si>
  <si>
    <t>김윤동</t>
    <phoneticPr fontId="1" type="noConversion"/>
  </si>
  <si>
    <t>임기준</t>
    <phoneticPr fontId="1" type="noConversion"/>
  </si>
  <si>
    <t>문경찬</t>
    <phoneticPr fontId="1" type="noConversion"/>
  </si>
  <si>
    <t>유승철</t>
    <phoneticPr fontId="1" type="noConversion"/>
  </si>
  <si>
    <t>황인준</t>
    <phoneticPr fontId="1" type="noConversion"/>
  </si>
  <si>
    <t>한승혁</t>
    <phoneticPr fontId="1" type="noConversion"/>
  </si>
  <si>
    <t>임기영</t>
    <phoneticPr fontId="1" type="noConversion"/>
  </si>
  <si>
    <t>박준표</t>
    <phoneticPr fontId="1" type="noConversion"/>
  </si>
  <si>
    <t>전상현</t>
    <phoneticPr fontId="1" type="noConversion"/>
  </si>
  <si>
    <t>윤석민</t>
    <phoneticPr fontId="1" type="noConversion"/>
  </si>
  <si>
    <t>박경태</t>
    <phoneticPr fontId="1" type="noConversion"/>
  </si>
  <si>
    <t>고영창</t>
    <phoneticPr fontId="1" type="noConversion"/>
  </si>
  <si>
    <t>하준영</t>
    <phoneticPr fontId="1" type="noConversion"/>
  </si>
  <si>
    <t>홍건희</t>
    <phoneticPr fontId="1" type="noConversion"/>
  </si>
  <si>
    <t>김세현</t>
    <phoneticPr fontId="1" type="noConversion"/>
  </si>
  <si>
    <t>이민우</t>
    <phoneticPr fontId="1" type="noConversion"/>
  </si>
  <si>
    <t>박정수</t>
    <phoneticPr fontId="1" type="noConversion"/>
  </si>
  <si>
    <t>구자욱</t>
    <phoneticPr fontId="1" type="noConversion"/>
  </si>
  <si>
    <t>박해민</t>
    <phoneticPr fontId="1" type="noConversion"/>
  </si>
  <si>
    <t>이원석</t>
    <phoneticPr fontId="1" type="noConversion"/>
  </si>
  <si>
    <t>강민호</t>
    <phoneticPr fontId="1" type="noConversion"/>
  </si>
  <si>
    <t>김헌곤</t>
    <phoneticPr fontId="1" type="noConversion"/>
  </si>
  <si>
    <t>김상수</t>
    <phoneticPr fontId="1" type="noConversion"/>
  </si>
  <si>
    <t>박한이</t>
    <phoneticPr fontId="1" type="noConversion"/>
  </si>
  <si>
    <t>최영진</t>
    <phoneticPr fontId="1" type="noConversion"/>
  </si>
  <si>
    <t>김성훈</t>
    <phoneticPr fontId="1" type="noConversion"/>
  </si>
  <si>
    <t>김호재</t>
    <phoneticPr fontId="1" type="noConversion"/>
  </si>
  <si>
    <t>박찬도</t>
    <phoneticPr fontId="1" type="noConversion"/>
  </si>
  <si>
    <t>송준석</t>
    <phoneticPr fontId="1" type="noConversion"/>
  </si>
  <si>
    <t>김재현</t>
    <phoneticPr fontId="1" type="noConversion"/>
  </si>
  <si>
    <t>김민수</t>
    <phoneticPr fontId="1" type="noConversion"/>
  </si>
  <si>
    <t>김응민</t>
    <phoneticPr fontId="1" type="noConversion"/>
  </si>
  <si>
    <t>이성곤</t>
    <phoneticPr fontId="1" type="noConversion"/>
  </si>
  <si>
    <t>최충연</t>
    <phoneticPr fontId="1" type="noConversion"/>
  </si>
  <si>
    <t>백정현</t>
    <phoneticPr fontId="1" type="noConversion"/>
  </si>
  <si>
    <t>장필준</t>
    <phoneticPr fontId="1" type="noConversion"/>
  </si>
  <si>
    <t>양창섭</t>
    <phoneticPr fontId="1" type="noConversion"/>
  </si>
  <si>
    <t>우규민</t>
    <phoneticPr fontId="1" type="noConversion"/>
  </si>
  <si>
    <t>권오준</t>
    <phoneticPr fontId="1" type="noConversion"/>
  </si>
  <si>
    <t>최채흥</t>
    <phoneticPr fontId="1" type="noConversion"/>
  </si>
  <si>
    <t>임현준</t>
    <phoneticPr fontId="1" type="noConversion"/>
  </si>
  <si>
    <t>김승현</t>
    <phoneticPr fontId="1" type="noConversion"/>
  </si>
  <si>
    <t>정인욱</t>
    <phoneticPr fontId="1" type="noConversion"/>
  </si>
  <si>
    <t>장지훈</t>
    <phoneticPr fontId="1" type="noConversion"/>
  </si>
  <si>
    <t>한기주</t>
    <phoneticPr fontId="1" type="noConversion"/>
  </si>
  <si>
    <t>김용하</t>
    <phoneticPr fontId="1" type="noConversion"/>
  </si>
  <si>
    <t>이승현</t>
    <phoneticPr fontId="1" type="noConversion"/>
  </si>
  <si>
    <t>김시현</t>
    <phoneticPr fontId="1" type="noConversion"/>
  </si>
  <si>
    <t>최지광</t>
    <phoneticPr fontId="1" type="noConversion"/>
  </si>
  <si>
    <t>윤성환</t>
    <phoneticPr fontId="1" type="noConversion"/>
  </si>
  <si>
    <t>손아섭</t>
    <phoneticPr fontId="1" type="noConversion"/>
  </si>
  <si>
    <t>전준우</t>
    <phoneticPr fontId="1" type="noConversion"/>
  </si>
  <si>
    <t>이대호</t>
    <phoneticPr fontId="1" type="noConversion"/>
  </si>
  <si>
    <t>민병헌</t>
    <phoneticPr fontId="1" type="noConversion"/>
  </si>
  <si>
    <t>이병규</t>
    <phoneticPr fontId="1" type="noConversion"/>
  </si>
  <si>
    <t>신본기</t>
    <phoneticPr fontId="1" type="noConversion"/>
  </si>
  <si>
    <t>전병우</t>
    <phoneticPr fontId="1" type="noConversion"/>
  </si>
  <si>
    <t>정훈</t>
    <phoneticPr fontId="1" type="noConversion"/>
  </si>
  <si>
    <t>안중열</t>
    <phoneticPr fontId="1" type="noConversion"/>
  </si>
  <si>
    <t>채태인</t>
    <phoneticPr fontId="1" type="noConversion"/>
  </si>
  <si>
    <t>문규현</t>
    <phoneticPr fontId="1" type="noConversion"/>
  </si>
  <si>
    <t>나경민</t>
    <phoneticPr fontId="1" type="noConversion"/>
  </si>
  <si>
    <t>조홍석</t>
    <phoneticPr fontId="1" type="noConversion"/>
  </si>
  <si>
    <t>허일</t>
    <phoneticPr fontId="1" type="noConversion"/>
  </si>
  <si>
    <t>오윤석</t>
    <phoneticPr fontId="1" type="noConversion"/>
  </si>
  <si>
    <t>황진수</t>
    <phoneticPr fontId="1" type="noConversion"/>
  </si>
  <si>
    <t>김문호</t>
    <phoneticPr fontId="1" type="noConversion"/>
  </si>
  <si>
    <t>김동한</t>
    <phoneticPr fontId="1" type="noConversion"/>
  </si>
  <si>
    <t>김사훈</t>
    <phoneticPr fontId="1" type="noConversion"/>
  </si>
  <si>
    <t>나종덕</t>
    <phoneticPr fontId="1" type="noConversion"/>
  </si>
  <si>
    <t>김준태</t>
    <phoneticPr fontId="1" type="noConversion"/>
  </si>
  <si>
    <t>손승락</t>
    <phoneticPr fontId="1" type="noConversion"/>
  </si>
  <si>
    <t>구승민</t>
    <phoneticPr fontId="1" type="noConversion"/>
  </si>
  <si>
    <t>오현택</t>
    <phoneticPr fontId="1" type="noConversion"/>
  </si>
  <si>
    <t>진명호</t>
    <phoneticPr fontId="1" type="noConversion"/>
  </si>
  <si>
    <t>윤길현</t>
    <phoneticPr fontId="1" type="noConversion"/>
  </si>
  <si>
    <t>장시환</t>
    <phoneticPr fontId="1" type="noConversion"/>
  </si>
  <si>
    <t>김건국</t>
    <phoneticPr fontId="1" type="noConversion"/>
  </si>
  <si>
    <t>윤성빈</t>
    <phoneticPr fontId="1" type="noConversion"/>
  </si>
  <si>
    <t>송승준</t>
    <phoneticPr fontId="1" type="noConversion"/>
  </si>
  <si>
    <t>정성종</t>
    <phoneticPr fontId="1" type="noConversion"/>
  </si>
  <si>
    <t>배장호</t>
    <phoneticPr fontId="1" type="noConversion"/>
  </si>
  <si>
    <t>김원중</t>
    <phoneticPr fontId="1" type="noConversion"/>
  </si>
  <si>
    <t>조무근</t>
    <phoneticPr fontId="1" type="noConversion"/>
  </si>
  <si>
    <t>정태승</t>
    <phoneticPr fontId="1" type="noConversion"/>
  </si>
  <si>
    <t>홍성민</t>
    <phoneticPr fontId="1" type="noConversion"/>
  </si>
  <si>
    <t>김대우</t>
    <phoneticPr fontId="1" type="noConversion"/>
  </si>
  <si>
    <t>고효준</t>
    <phoneticPr fontId="1" type="noConversion"/>
  </si>
  <si>
    <t>박진형</t>
    <phoneticPr fontId="1" type="noConversion"/>
  </si>
  <si>
    <t>박시영</t>
    <phoneticPr fontId="1" type="noConversion"/>
  </si>
  <si>
    <t>박세웅</t>
    <phoneticPr fontId="1" type="noConversion"/>
  </si>
  <si>
    <t>양의지</t>
    <phoneticPr fontId="1" type="noConversion"/>
  </si>
  <si>
    <t>나성범</t>
    <phoneticPr fontId="1" type="noConversion"/>
  </si>
  <si>
    <t>박민우</t>
    <phoneticPr fontId="1" type="noConversion"/>
  </si>
  <si>
    <t>김성욱</t>
    <phoneticPr fontId="1" type="noConversion"/>
  </si>
  <si>
    <t>노진혁</t>
    <phoneticPr fontId="1" type="noConversion"/>
  </si>
  <si>
    <t>김찬형</t>
    <phoneticPr fontId="1" type="noConversion"/>
  </si>
  <si>
    <t>손시헌</t>
    <phoneticPr fontId="1" type="noConversion"/>
  </si>
  <si>
    <t>권희동</t>
    <phoneticPr fontId="1" type="noConversion"/>
  </si>
  <si>
    <t>박석민</t>
    <phoneticPr fontId="1" type="noConversion"/>
  </si>
  <si>
    <t>모창민</t>
    <phoneticPr fontId="1" type="noConversion"/>
  </si>
  <si>
    <t>이원재</t>
    <phoneticPr fontId="1" type="noConversion"/>
  </si>
  <si>
    <t>김태진</t>
    <phoneticPr fontId="1" type="noConversion"/>
  </si>
  <si>
    <t>신진호</t>
    <phoneticPr fontId="1" type="noConversion"/>
  </si>
  <si>
    <t>오영수</t>
    <phoneticPr fontId="1" type="noConversion"/>
  </si>
  <si>
    <t>강진성</t>
    <phoneticPr fontId="1" type="noConversion"/>
  </si>
  <si>
    <t>정범모</t>
    <phoneticPr fontId="1" type="noConversion"/>
  </si>
  <si>
    <t>김형준</t>
    <phoneticPr fontId="1" type="noConversion"/>
  </si>
  <si>
    <t>이우성</t>
    <phoneticPr fontId="1" type="noConversion"/>
  </si>
  <si>
    <t>이상호</t>
    <phoneticPr fontId="1" type="noConversion"/>
  </si>
  <si>
    <t>지석훈</t>
    <phoneticPr fontId="1" type="noConversion"/>
  </si>
  <si>
    <t>이재학</t>
    <phoneticPr fontId="1" type="noConversion"/>
  </si>
  <si>
    <t>구창모</t>
    <phoneticPr fontId="1" type="noConversion"/>
  </si>
  <si>
    <t>원종현</t>
    <phoneticPr fontId="1" type="noConversion"/>
  </si>
  <si>
    <t>배재환</t>
    <phoneticPr fontId="1" type="noConversion"/>
  </si>
  <si>
    <t>박진우</t>
    <phoneticPr fontId="1" type="noConversion"/>
  </si>
  <si>
    <t>최성영</t>
    <phoneticPr fontId="1" type="noConversion"/>
  </si>
  <si>
    <t>이민호</t>
    <phoneticPr fontId="1" type="noConversion"/>
  </si>
  <si>
    <t>강윤구</t>
    <phoneticPr fontId="1" type="noConversion"/>
  </si>
  <si>
    <t>장현식</t>
    <phoneticPr fontId="1" type="noConversion"/>
  </si>
  <si>
    <t>노성호</t>
    <phoneticPr fontId="1" type="noConversion"/>
  </si>
  <si>
    <t>김진성</t>
    <phoneticPr fontId="1" type="noConversion"/>
  </si>
  <si>
    <t>윤강민</t>
    <phoneticPr fontId="1" type="noConversion"/>
  </si>
  <si>
    <t>정수민</t>
    <phoneticPr fontId="1" type="noConversion"/>
  </si>
  <si>
    <t>김건태</t>
    <phoneticPr fontId="1" type="noConversion"/>
  </si>
  <si>
    <t>민태호</t>
    <phoneticPr fontId="1" type="noConversion"/>
  </si>
  <si>
    <t>유원상</t>
    <phoneticPr fontId="1" type="noConversion"/>
  </si>
  <si>
    <t>임창민</t>
    <phoneticPr fontId="1" type="noConversion"/>
  </si>
  <si>
    <t>김현수</t>
    <phoneticPr fontId="1" type="noConversion"/>
  </si>
  <si>
    <t>채은성</t>
    <phoneticPr fontId="1" type="noConversion"/>
  </si>
  <si>
    <t>유강남</t>
    <phoneticPr fontId="1" type="noConversion"/>
  </si>
  <si>
    <t>이형종</t>
    <phoneticPr fontId="1" type="noConversion"/>
  </si>
  <si>
    <t>오지환</t>
    <phoneticPr fontId="1" type="noConversion"/>
  </si>
  <si>
    <t>이천웅</t>
    <phoneticPr fontId="1" type="noConversion"/>
  </si>
  <si>
    <t>박용택</t>
    <phoneticPr fontId="1" type="noConversion"/>
  </si>
  <si>
    <t>정주현</t>
    <phoneticPr fontId="1" type="noConversion"/>
  </si>
  <si>
    <t>김용의</t>
    <phoneticPr fontId="1" type="noConversion"/>
  </si>
  <si>
    <t>박지규</t>
    <phoneticPr fontId="1" type="noConversion"/>
  </si>
  <si>
    <t>윤진호</t>
    <phoneticPr fontId="1" type="noConversion"/>
  </si>
  <si>
    <t>윤대영</t>
    <phoneticPr fontId="1" type="noConversion"/>
  </si>
  <si>
    <t>장시윤</t>
    <phoneticPr fontId="1" type="noConversion"/>
  </si>
  <si>
    <t>정상호</t>
    <phoneticPr fontId="1" type="noConversion"/>
  </si>
  <si>
    <t>김재율</t>
    <phoneticPr fontId="1" type="noConversion"/>
  </si>
  <si>
    <t>홍창기</t>
    <phoneticPr fontId="1" type="noConversion"/>
  </si>
  <si>
    <t>양원혁</t>
    <phoneticPr fontId="1" type="noConversion"/>
  </si>
  <si>
    <t>서상우</t>
    <phoneticPr fontId="1" type="noConversion"/>
  </si>
  <si>
    <t>정찬헌</t>
    <phoneticPr fontId="1" type="noConversion"/>
  </si>
  <si>
    <t>차우찬</t>
    <phoneticPr fontId="1" type="noConversion"/>
  </si>
  <si>
    <t>최동환</t>
    <phoneticPr fontId="1" type="noConversion"/>
  </si>
  <si>
    <t>최성훈</t>
    <phoneticPr fontId="1" type="noConversion"/>
  </si>
  <si>
    <t>배재준</t>
    <phoneticPr fontId="1" type="noConversion"/>
  </si>
  <si>
    <t>임찬규</t>
    <phoneticPr fontId="1" type="noConversion"/>
  </si>
  <si>
    <t>여건욱</t>
    <phoneticPr fontId="1" type="noConversion"/>
  </si>
  <si>
    <t>김영준</t>
    <phoneticPr fontId="1" type="noConversion"/>
  </si>
  <si>
    <t>성동현</t>
    <phoneticPr fontId="1" type="noConversion"/>
  </si>
  <si>
    <t>신정락</t>
    <phoneticPr fontId="1" type="noConversion"/>
  </si>
  <si>
    <t>김태형</t>
    <phoneticPr fontId="1" type="noConversion"/>
  </si>
  <si>
    <t>고우석</t>
    <phoneticPr fontId="1" type="noConversion"/>
  </si>
  <si>
    <t>문광은</t>
    <phoneticPr fontId="1" type="noConversion"/>
  </si>
  <si>
    <t>이우찬</t>
    <phoneticPr fontId="1" type="noConversion"/>
  </si>
  <si>
    <t>이동현</t>
    <phoneticPr fontId="1" type="noConversion"/>
  </si>
  <si>
    <t>진해수</t>
    <phoneticPr fontId="1" type="noConversion"/>
  </si>
  <si>
    <t>임지섭</t>
    <phoneticPr fontId="1" type="noConversion"/>
  </si>
  <si>
    <t>김대현</t>
    <phoneticPr fontId="1" type="noConversion"/>
  </si>
  <si>
    <t>황재균</t>
    <phoneticPr fontId="1" type="noConversion"/>
  </si>
  <si>
    <t>유한준</t>
    <phoneticPr fontId="1" type="noConversion"/>
  </si>
  <si>
    <t>박경수</t>
    <phoneticPr fontId="1" type="noConversion"/>
  </si>
  <si>
    <t>강백호</t>
    <phoneticPr fontId="1" type="noConversion"/>
  </si>
  <si>
    <t>장성우</t>
    <phoneticPr fontId="1" type="noConversion"/>
  </si>
  <si>
    <t>윤석민</t>
    <phoneticPr fontId="1" type="noConversion"/>
  </si>
  <si>
    <t>오태곤</t>
    <phoneticPr fontId="1" type="noConversion"/>
  </si>
  <si>
    <t>심우준</t>
    <phoneticPr fontId="1" type="noConversion"/>
  </si>
  <si>
    <t>홍현빈</t>
    <phoneticPr fontId="1" type="noConversion"/>
  </si>
  <si>
    <t>이대형</t>
    <phoneticPr fontId="1" type="noConversion"/>
  </si>
  <si>
    <t>배정대</t>
    <phoneticPr fontId="1" type="noConversion"/>
  </si>
  <si>
    <t>이준수</t>
    <phoneticPr fontId="1" type="noConversion"/>
  </si>
  <si>
    <t>김영환</t>
    <phoneticPr fontId="1" type="noConversion"/>
  </si>
  <si>
    <t>이해창</t>
    <phoneticPr fontId="1" type="noConversion"/>
  </si>
  <si>
    <t>류희운</t>
    <phoneticPr fontId="1" type="noConversion"/>
  </si>
  <si>
    <t>심재민</t>
    <phoneticPr fontId="1" type="noConversion"/>
  </si>
  <si>
    <t>금민철</t>
    <phoneticPr fontId="1" type="noConversion"/>
  </si>
  <si>
    <t>김재윤</t>
    <phoneticPr fontId="1" type="noConversion"/>
  </si>
  <si>
    <t>정성곤</t>
    <phoneticPr fontId="1" type="noConversion"/>
  </si>
  <si>
    <t>이종혁</t>
    <phoneticPr fontId="1" type="noConversion"/>
  </si>
  <si>
    <t>이상화</t>
    <phoneticPr fontId="1" type="noConversion"/>
  </si>
  <si>
    <t>김민</t>
    <phoneticPr fontId="1" type="noConversion"/>
  </si>
  <si>
    <t>엄상백</t>
    <phoneticPr fontId="1" type="noConversion"/>
  </si>
  <si>
    <t>배제성</t>
    <phoneticPr fontId="1" type="noConversion"/>
  </si>
  <si>
    <t>김태오</t>
    <phoneticPr fontId="1" type="noConversion"/>
  </si>
  <si>
    <t>최건</t>
    <phoneticPr fontId="1" type="noConversion"/>
  </si>
  <si>
    <t>신병률</t>
    <phoneticPr fontId="1" type="noConversion"/>
  </si>
  <si>
    <t>박세진</t>
    <phoneticPr fontId="1" type="noConversion"/>
  </si>
  <si>
    <t>주권</t>
    <phoneticPr fontId="1" type="noConversion"/>
  </si>
  <si>
    <t>예상 순위</t>
    <phoneticPr fontId="1" type="noConversion"/>
  </si>
  <si>
    <t>wSB</t>
    <phoneticPr fontId="1" type="noConversion"/>
  </si>
  <si>
    <t>RAR</t>
    <phoneticPr fontId="1" type="noConversion"/>
  </si>
  <si>
    <t>WAR</t>
    <phoneticPr fontId="1" type="noConversion"/>
  </si>
  <si>
    <t>Year</t>
    <phoneticPr fontId="1" type="noConversion"/>
  </si>
  <si>
    <t>Scale</t>
  </si>
  <si>
    <t>wBB</t>
  </si>
  <si>
    <t>wHBP</t>
  </si>
  <si>
    <t>w1B</t>
  </si>
  <si>
    <t>w2B</t>
  </si>
  <si>
    <t>w3B</t>
  </si>
  <si>
    <t>wHR</t>
  </si>
  <si>
    <t>runSB</t>
  </si>
  <si>
    <t>runCS</t>
  </si>
  <si>
    <t>R/PA</t>
  </si>
  <si>
    <t>R/W</t>
  </si>
  <si>
    <t>cFIP</t>
  </si>
  <si>
    <t>wOBA</t>
    <phoneticPr fontId="1" type="noConversion"/>
  </si>
  <si>
    <t>lgwSB</t>
    <phoneticPr fontId="1" type="noConversion"/>
  </si>
  <si>
    <t>SB</t>
    <phoneticPr fontId="1" type="noConversion"/>
  </si>
  <si>
    <t>CS</t>
    <phoneticPr fontId="1" type="noConversion"/>
  </si>
  <si>
    <t>1B</t>
    <phoneticPr fontId="1" type="noConversion"/>
  </si>
  <si>
    <t>BB</t>
    <phoneticPr fontId="1" type="noConversion"/>
  </si>
  <si>
    <t>HBP</t>
    <phoneticPr fontId="1" type="noConversion"/>
  </si>
  <si>
    <t>IBB</t>
    <phoneticPr fontId="1" type="noConversion"/>
  </si>
  <si>
    <t>PCL</t>
    <phoneticPr fontId="1" type="noConversion"/>
  </si>
  <si>
    <t>MLB</t>
    <phoneticPr fontId="1" type="noConversion"/>
  </si>
  <si>
    <t>José Miguel Fernández</t>
    <phoneticPr fontId="1" type="noConversion"/>
  </si>
  <si>
    <t>KBO</t>
    <phoneticPr fontId="1" type="noConversion"/>
  </si>
  <si>
    <t>페르난데스</t>
    <phoneticPr fontId="1" type="noConversion"/>
  </si>
  <si>
    <t>예상승률</t>
    <phoneticPr fontId="1" type="noConversion"/>
  </si>
  <si>
    <t>pos</t>
    <phoneticPr fontId="1" type="noConversion"/>
  </si>
  <si>
    <t>AA (Texas)</t>
    <phoneticPr fontId="1" type="noConversion"/>
  </si>
  <si>
    <t>AA (Southern)</t>
    <phoneticPr fontId="1" type="noConversion"/>
  </si>
  <si>
    <t>AA (Eastern)</t>
    <phoneticPr fontId="1" type="noConversion"/>
  </si>
  <si>
    <t>C</t>
    <phoneticPr fontId="1" type="noConversion"/>
  </si>
  <si>
    <t>2B</t>
    <phoneticPr fontId="1" type="noConversion"/>
  </si>
  <si>
    <t>3B</t>
    <phoneticPr fontId="1" type="noConversion"/>
  </si>
  <si>
    <t>SS</t>
    <phoneticPr fontId="1" type="noConversion"/>
  </si>
  <si>
    <t>LF</t>
    <phoneticPr fontId="1" type="noConversion"/>
  </si>
  <si>
    <t>CF</t>
    <phoneticPr fontId="1" type="noConversion"/>
  </si>
  <si>
    <t>RF</t>
    <phoneticPr fontId="1" type="noConversion"/>
  </si>
  <si>
    <t>DH</t>
    <phoneticPr fontId="1" type="noConversion"/>
  </si>
  <si>
    <t>포지션</t>
    <phoneticPr fontId="1" type="noConversion"/>
  </si>
  <si>
    <t>조정</t>
    <phoneticPr fontId="1" type="noConversion"/>
  </si>
  <si>
    <t>호잉</t>
    <phoneticPr fontId="1" type="noConversion"/>
  </si>
  <si>
    <t>Jared Hoying</t>
  </si>
  <si>
    <t>PCL</t>
    <phoneticPr fontId="1" type="noConversion"/>
  </si>
  <si>
    <t>MLB (AL)</t>
    <phoneticPr fontId="1" type="noConversion"/>
  </si>
  <si>
    <t>KBO</t>
    <phoneticPr fontId="1" type="noConversion"/>
  </si>
  <si>
    <t>샌즈</t>
    <phoneticPr fontId="1" type="noConversion"/>
  </si>
  <si>
    <t>Jerry Sands</t>
  </si>
  <si>
    <t>MLB (AL)</t>
    <phoneticPr fontId="1" type="noConversion"/>
  </si>
  <si>
    <t>AAA (IL)</t>
    <phoneticPr fontId="1" type="noConversion"/>
  </si>
  <si>
    <t>AA (EL)</t>
    <phoneticPr fontId="1" type="noConversion"/>
  </si>
  <si>
    <t>Jeremy Hazelbaker</t>
  </si>
  <si>
    <t>AAA (PCL)</t>
    <phoneticPr fontId="1" type="noConversion"/>
  </si>
  <si>
    <t>MLB (NL)</t>
    <phoneticPr fontId="1" type="noConversion"/>
  </si>
  <si>
    <t>해즐베이커</t>
    <phoneticPr fontId="1" type="noConversion"/>
  </si>
  <si>
    <t>러프</t>
    <phoneticPr fontId="1" type="noConversion"/>
  </si>
  <si>
    <t>Darin Ruf</t>
    <phoneticPr fontId="1" type="noConversion"/>
  </si>
  <si>
    <t>KBO</t>
    <phoneticPr fontId="1" type="noConversion"/>
  </si>
  <si>
    <t>BABIP</t>
    <phoneticPr fontId="1" type="noConversion"/>
  </si>
  <si>
    <t>아수하에</t>
    <phoneticPr fontId="1" type="noConversion"/>
  </si>
  <si>
    <t>Carlos Asuaje</t>
  </si>
  <si>
    <t>Tommy Joseph</t>
  </si>
  <si>
    <t>RAA</t>
    <phoneticPr fontId="1" type="noConversion"/>
  </si>
  <si>
    <t>lg_R</t>
    <phoneticPr fontId="1" type="noConversion"/>
  </si>
  <si>
    <t>lg_Game</t>
    <phoneticPr fontId="1" type="noConversion"/>
  </si>
  <si>
    <t>RPW</t>
    <phoneticPr fontId="1" type="noConversion"/>
  </si>
  <si>
    <t>대체Run</t>
    <phoneticPr fontId="1" type="noConversion"/>
  </si>
  <si>
    <t>대체RUN</t>
    <phoneticPr fontId="1" type="noConversion"/>
  </si>
  <si>
    <t>pos1</t>
    <phoneticPr fontId="1" type="noConversion"/>
  </si>
  <si>
    <t>조셉</t>
    <phoneticPr fontId="1" type="noConversion"/>
  </si>
  <si>
    <t>wRAA</t>
    <phoneticPr fontId="1" type="noConversion"/>
  </si>
  <si>
    <t>Jeremy Hazelbaker</t>
    <phoneticPr fontId="1" type="noConversion"/>
  </si>
  <si>
    <t>Darin Ruf</t>
    <phoneticPr fontId="1" type="noConversion"/>
  </si>
  <si>
    <t>로하스</t>
    <phoneticPr fontId="1" type="noConversion"/>
  </si>
  <si>
    <t>Mel Rojas Jr</t>
    <phoneticPr fontId="1" type="noConversion"/>
  </si>
  <si>
    <t>AAA (IL)</t>
    <phoneticPr fontId="1" type="noConversion"/>
  </si>
  <si>
    <t>AA (SO)</t>
    <phoneticPr fontId="1" type="noConversion"/>
  </si>
  <si>
    <t>KBO</t>
    <phoneticPr fontId="1" type="noConversion"/>
  </si>
  <si>
    <t>Christian Bethancourt</t>
  </si>
  <si>
    <t>베탄코트</t>
    <phoneticPr fontId="1" type="noConversion"/>
  </si>
  <si>
    <t>MLB (NL)</t>
    <phoneticPr fontId="1" type="noConversion"/>
  </si>
  <si>
    <t xml:space="preserve"> AAA (PCL)</t>
    <phoneticPr fontId="1" type="noConversion"/>
  </si>
  <si>
    <t>Christian Bethancourt</t>
    <phoneticPr fontId="1" type="noConversion"/>
  </si>
  <si>
    <t>AA (TL)</t>
    <phoneticPr fontId="1" type="noConversion"/>
  </si>
  <si>
    <t>MLB (AL)</t>
    <phoneticPr fontId="1" type="noConversion"/>
  </si>
  <si>
    <t>Byung-Ho Park</t>
    <phoneticPr fontId="1" type="noConversion"/>
  </si>
  <si>
    <t>AAA (IL)</t>
    <phoneticPr fontId="1" type="noConversion"/>
  </si>
  <si>
    <t>Hyun-Soo Kim</t>
    <phoneticPr fontId="1" type="noConversion"/>
  </si>
  <si>
    <t>MLB (NL)</t>
    <phoneticPr fontId="1" type="noConversion"/>
  </si>
  <si>
    <t>PF</t>
    <phoneticPr fontId="1" type="noConversion"/>
  </si>
  <si>
    <t>Tommy Joseph</t>
    <phoneticPr fontId="1" type="noConversion"/>
  </si>
  <si>
    <t>Dae-Ho Lee</t>
    <phoneticPr fontId="1" type="noConversion"/>
  </si>
  <si>
    <t>MLB (AL)</t>
    <phoneticPr fontId="1" type="noConversion"/>
  </si>
  <si>
    <t>AAA (PCL)</t>
    <phoneticPr fontId="1" type="noConversion"/>
  </si>
  <si>
    <t>조한욱</t>
    <phoneticPr fontId="1" type="noConversion"/>
  </si>
  <si>
    <t>다익손</t>
    <phoneticPr fontId="1" type="noConversion"/>
  </si>
  <si>
    <t>Ángel Sánchez</t>
    <phoneticPr fontId="1" type="noConversion"/>
  </si>
  <si>
    <t>W</t>
  </si>
  <si>
    <t>L</t>
  </si>
  <si>
    <t>W-L%</t>
  </si>
  <si>
    <t>ERA</t>
  </si>
  <si>
    <t>RA9</t>
  </si>
  <si>
    <t>GS</t>
  </si>
  <si>
    <t>GF</t>
  </si>
  <si>
    <t>CG</t>
  </si>
  <si>
    <t>SHO</t>
  </si>
  <si>
    <t>SV</t>
  </si>
  <si>
    <t>IP</t>
  </si>
  <si>
    <t>ER</t>
  </si>
  <si>
    <t>Age</t>
    <phoneticPr fontId="1" type="noConversion"/>
  </si>
  <si>
    <t>Year</t>
    <phoneticPr fontId="1" type="noConversion"/>
  </si>
  <si>
    <t>lg</t>
    <phoneticPr fontId="1" type="noConversion"/>
  </si>
  <si>
    <t>MLB (NL)</t>
    <phoneticPr fontId="1" type="noConversion"/>
  </si>
  <si>
    <t>AAA (IL)</t>
    <phoneticPr fontId="1" type="noConversion"/>
  </si>
  <si>
    <t>KBO</t>
    <phoneticPr fontId="1" type="noConversion"/>
  </si>
  <si>
    <t>rWAR</t>
  </si>
  <si>
    <t>ERA+</t>
    <phoneticPr fontId="1" type="noConversion"/>
  </si>
  <si>
    <t>Brock Dykxhoorn</t>
    <phoneticPr fontId="1" type="noConversion"/>
  </si>
  <si>
    <t>A+ (Carolina)</t>
    <phoneticPr fontId="1" type="noConversion"/>
  </si>
  <si>
    <t>A+ (California)</t>
    <phoneticPr fontId="1" type="noConversion"/>
  </si>
  <si>
    <t>A+ (Florida State)</t>
    <phoneticPr fontId="1" type="noConversion"/>
  </si>
  <si>
    <t>A+ (CALL)</t>
    <phoneticPr fontId="1" type="noConversion"/>
  </si>
  <si>
    <t>AA (TL)</t>
    <phoneticPr fontId="1" type="noConversion"/>
  </si>
  <si>
    <t>AAA (PCL)</t>
    <phoneticPr fontId="1" type="noConversion"/>
  </si>
  <si>
    <t>KBO</t>
    <phoneticPr fontId="1" type="noConversion"/>
  </si>
  <si>
    <t>RA+</t>
    <phoneticPr fontId="1" type="noConversion"/>
  </si>
  <si>
    <t>ERA+</t>
    <phoneticPr fontId="1" type="noConversion"/>
  </si>
  <si>
    <t>FIP+</t>
    <phoneticPr fontId="1" type="noConversion"/>
  </si>
  <si>
    <t>Josh Lindblom</t>
    <phoneticPr fontId="1" type="noConversion"/>
  </si>
  <si>
    <t>MLB (NL)</t>
    <phoneticPr fontId="1" type="noConversion"/>
  </si>
  <si>
    <t>AAA (IL)</t>
    <phoneticPr fontId="1" type="noConversion"/>
  </si>
  <si>
    <t>Seth Frankoff</t>
    <phoneticPr fontId="1" type="noConversion"/>
  </si>
  <si>
    <t>AAA (PCL)</t>
    <phoneticPr fontId="1" type="noConversion"/>
  </si>
  <si>
    <t>AA (TL)</t>
    <phoneticPr fontId="1" type="noConversion"/>
  </si>
  <si>
    <t>KBO</t>
    <phoneticPr fontId="1" type="noConversion"/>
  </si>
  <si>
    <t>채드벨</t>
    <phoneticPr fontId="1" type="noConversion"/>
  </si>
  <si>
    <t>서폴드</t>
    <phoneticPr fontId="1" type="noConversion"/>
  </si>
  <si>
    <t>Chad Bell</t>
  </si>
  <si>
    <t>AAA (IL)</t>
    <phoneticPr fontId="1" type="noConversion"/>
  </si>
  <si>
    <t>AAA (PCL)</t>
    <phoneticPr fontId="1" type="noConversion"/>
  </si>
  <si>
    <t>MLB (AL)</t>
    <phoneticPr fontId="1" type="noConversion"/>
  </si>
  <si>
    <t>KBO</t>
    <phoneticPr fontId="1" type="noConversion"/>
  </si>
  <si>
    <t>Warwick Saupold</t>
    <phoneticPr fontId="1" type="noConversion"/>
  </si>
  <si>
    <t>요키시</t>
    <phoneticPr fontId="1" type="noConversion"/>
  </si>
  <si>
    <t>Jake Brigham</t>
    <phoneticPr fontId="1" type="noConversion"/>
  </si>
  <si>
    <t>NPB (PL)</t>
    <phoneticPr fontId="1" type="noConversion"/>
  </si>
  <si>
    <t>Eric Jokisch</t>
    <phoneticPr fontId="1" type="noConversion"/>
  </si>
  <si>
    <t>KBO</t>
    <phoneticPr fontId="1" type="noConversion"/>
  </si>
  <si>
    <t>AAA (PCL)</t>
    <phoneticPr fontId="1" type="noConversion"/>
  </si>
  <si>
    <t>AA (SO)</t>
    <phoneticPr fontId="1" type="noConversion"/>
  </si>
  <si>
    <t>터너</t>
    <phoneticPr fontId="1" type="noConversion"/>
  </si>
  <si>
    <t>윌랜드</t>
    <phoneticPr fontId="1" type="noConversion"/>
  </si>
  <si>
    <t>Jacob Turner</t>
    <phoneticPr fontId="1" type="noConversion"/>
  </si>
  <si>
    <t>MLB (AL)</t>
    <phoneticPr fontId="1" type="noConversion"/>
  </si>
  <si>
    <t>AAA (IL)</t>
    <phoneticPr fontId="1" type="noConversion"/>
  </si>
  <si>
    <t>MLB (NL)</t>
    <phoneticPr fontId="1" type="noConversion"/>
  </si>
  <si>
    <t>Joe Wieland</t>
  </si>
  <si>
    <t>NPB (CL)</t>
    <phoneticPr fontId="1" type="noConversion"/>
  </si>
  <si>
    <t>Drew Rucinski</t>
  </si>
  <si>
    <t>루친스키</t>
    <phoneticPr fontId="1" type="noConversion"/>
  </si>
  <si>
    <t>버틀러</t>
    <phoneticPr fontId="1" type="noConversion"/>
  </si>
  <si>
    <t>MLB (PCL)</t>
    <phoneticPr fontId="1" type="noConversion"/>
  </si>
  <si>
    <t>MLB</t>
    <phoneticPr fontId="1" type="noConversion"/>
  </si>
  <si>
    <t>Eddie Butler</t>
    <phoneticPr fontId="1" type="noConversion"/>
  </si>
  <si>
    <t>Eddie Butler</t>
    <phoneticPr fontId="1" type="noConversion"/>
  </si>
  <si>
    <t>헤일리</t>
    <phoneticPr fontId="1" type="noConversion"/>
  </si>
  <si>
    <t>Justin Haley</t>
    <phoneticPr fontId="1" type="noConversion"/>
  </si>
  <si>
    <t>AAA (IL)</t>
    <phoneticPr fontId="1" type="noConversion"/>
  </si>
  <si>
    <t>AA (EL)</t>
    <phoneticPr fontId="1" type="noConversion"/>
  </si>
  <si>
    <t>AAA (IL)</t>
    <phoneticPr fontId="1" type="noConversion"/>
  </si>
  <si>
    <t>MLB (AL)</t>
    <phoneticPr fontId="1" type="noConversion"/>
  </si>
  <si>
    <t>AAA (IL)</t>
    <phoneticPr fontId="1" type="noConversion"/>
  </si>
  <si>
    <t>KBO</t>
    <phoneticPr fontId="1" type="noConversion"/>
  </si>
  <si>
    <t>맥과이어</t>
    <phoneticPr fontId="1" type="noConversion"/>
  </si>
  <si>
    <t>레일리</t>
    <phoneticPr fontId="1" type="noConversion"/>
  </si>
  <si>
    <t>Justin Haley</t>
    <phoneticPr fontId="1" type="noConversion"/>
  </si>
  <si>
    <t>Deck McGuire</t>
    <phoneticPr fontId="1" type="noConversion"/>
  </si>
  <si>
    <t>AAA (PCL)</t>
    <phoneticPr fontId="1" type="noConversion"/>
  </si>
  <si>
    <t>AA (TL)</t>
    <phoneticPr fontId="1" type="noConversion"/>
  </si>
  <si>
    <t>MLB (NL)</t>
    <phoneticPr fontId="1" type="noConversion"/>
  </si>
  <si>
    <t>AA (SO)</t>
    <phoneticPr fontId="1" type="noConversion"/>
  </si>
  <si>
    <t>MLB (AL)</t>
    <phoneticPr fontId="1" type="noConversion"/>
  </si>
  <si>
    <t>MLB (AL)</t>
    <phoneticPr fontId="1" type="noConversion"/>
  </si>
  <si>
    <t>AAA (IL)</t>
    <phoneticPr fontId="1" type="noConversion"/>
  </si>
  <si>
    <t>AAA (PCL)</t>
    <phoneticPr fontId="1" type="noConversion"/>
  </si>
  <si>
    <t>김동엽</t>
    <phoneticPr fontId="1" type="noConversion"/>
  </si>
  <si>
    <t>윌슨</t>
    <phoneticPr fontId="1" type="noConversion"/>
  </si>
  <si>
    <t>켈리</t>
    <phoneticPr fontId="1" type="noConversion"/>
  </si>
  <si>
    <t>Tyler Wilson</t>
  </si>
  <si>
    <t>MLB (AL)</t>
    <phoneticPr fontId="1" type="noConversion"/>
  </si>
  <si>
    <t>AAA (IL)</t>
    <phoneticPr fontId="1" type="noConversion"/>
  </si>
  <si>
    <t>KBO</t>
    <phoneticPr fontId="1" type="noConversion"/>
  </si>
  <si>
    <t>Casey Kelly</t>
    <phoneticPr fontId="1" type="noConversion"/>
  </si>
  <si>
    <t>MLB (NL)</t>
    <phoneticPr fontId="1" type="noConversion"/>
  </si>
  <si>
    <t>AAA (IL)</t>
    <phoneticPr fontId="1" type="noConversion"/>
  </si>
  <si>
    <t>AAA (PCL)</t>
    <phoneticPr fontId="1" type="noConversion"/>
  </si>
  <si>
    <t>MLB (NL)</t>
    <phoneticPr fontId="1" type="noConversion"/>
  </si>
  <si>
    <t>Casey Kelly</t>
    <phoneticPr fontId="1" type="noConversion"/>
  </si>
  <si>
    <t>Jake Thompson</t>
    <phoneticPr fontId="1" type="noConversion"/>
  </si>
  <si>
    <t>톰슨</t>
    <phoneticPr fontId="1" type="noConversion"/>
  </si>
  <si>
    <t>MLB (NL)</t>
    <phoneticPr fontId="1" type="noConversion"/>
  </si>
  <si>
    <t>AAA (IL)</t>
    <phoneticPr fontId="1" type="noConversion"/>
  </si>
  <si>
    <t>MLB (NL)</t>
    <phoneticPr fontId="1" type="noConversion"/>
  </si>
  <si>
    <t>AAA (IL)</t>
    <phoneticPr fontId="1" type="noConversion"/>
  </si>
  <si>
    <t>AAA (PCL)</t>
    <phoneticPr fontId="1" type="noConversion"/>
  </si>
  <si>
    <t>KBO</t>
    <phoneticPr fontId="1" type="noConversion"/>
  </si>
  <si>
    <t>William Cuevas</t>
    <phoneticPr fontId="1" type="noConversion"/>
  </si>
  <si>
    <t>쿠에바스</t>
    <phoneticPr fontId="1" type="noConversion"/>
  </si>
  <si>
    <t>MLB (AL)</t>
    <phoneticPr fontId="1" type="noConversion"/>
  </si>
  <si>
    <t>AAA (IL)</t>
    <phoneticPr fontId="1" type="noConversion"/>
  </si>
  <si>
    <t>MLB (AL)</t>
    <phoneticPr fontId="1" type="noConversion"/>
  </si>
  <si>
    <t>AAA (PCL)</t>
    <phoneticPr fontId="1" type="noConversion"/>
  </si>
  <si>
    <t>KBO</t>
    <phoneticPr fontId="1" type="noConversion"/>
  </si>
  <si>
    <t>알칸타라</t>
    <phoneticPr fontId="1" type="noConversion"/>
  </si>
  <si>
    <t>Raul Alcántara</t>
    <phoneticPr fontId="1" type="noConversion"/>
  </si>
  <si>
    <t>MLB (AL)</t>
    <phoneticPr fontId="1" type="noConversion"/>
  </si>
  <si>
    <t>AAA (PCL)</t>
    <phoneticPr fontId="1" type="noConversion"/>
  </si>
  <si>
    <t>AA (TL)</t>
    <phoneticPr fontId="1" type="noConversion"/>
  </si>
  <si>
    <t>MLB (AL)</t>
    <phoneticPr fontId="1" type="noConversion"/>
  </si>
  <si>
    <t>KBO</t>
    <phoneticPr fontId="1" type="noConversion"/>
  </si>
  <si>
    <t/>
  </si>
  <si>
    <t>김지수</t>
    <phoneticPr fontId="1" type="noConversion"/>
  </si>
  <si>
    <t>이준수</t>
    <phoneticPr fontId="1" type="noConversion"/>
  </si>
  <si>
    <t>김영환</t>
    <phoneticPr fontId="1" type="noConversion"/>
  </si>
  <si>
    <t>강민국</t>
    <phoneticPr fontId="1" type="noConversion"/>
  </si>
  <si>
    <t>조용호</t>
    <phoneticPr fontId="1" type="noConversion"/>
  </si>
  <si>
    <t>김진곤</t>
    <phoneticPr fontId="1" type="noConversion"/>
  </si>
  <si>
    <t>김영환</t>
    <phoneticPr fontId="1" type="noConversion"/>
  </si>
  <si>
    <t>고명성</t>
    <phoneticPr fontId="1" type="noConversion"/>
  </si>
  <si>
    <t>최윤석</t>
    <phoneticPr fontId="1" type="noConversion"/>
  </si>
  <si>
    <t>박준혁</t>
    <phoneticPr fontId="1" type="noConversion"/>
  </si>
  <si>
    <t>김창혁</t>
    <phoneticPr fontId="1" type="noConversion"/>
  </si>
  <si>
    <t>이윤재</t>
    <phoneticPr fontId="1" type="noConversion"/>
  </si>
  <si>
    <t>임석진</t>
    <phoneticPr fontId="1" type="noConversion"/>
  </si>
  <si>
    <t>남태혁</t>
    <phoneticPr fontId="1" type="noConversion"/>
  </si>
  <si>
    <t>조성모</t>
    <phoneticPr fontId="1" type="noConversion"/>
  </si>
  <si>
    <t>고종욱</t>
    <phoneticPr fontId="1" type="noConversion"/>
  </si>
  <si>
    <t>배영섭</t>
    <phoneticPr fontId="1" type="noConversion"/>
  </si>
  <si>
    <t>김민혁</t>
    <phoneticPr fontId="1" type="noConversion"/>
  </si>
  <si>
    <t>박유연</t>
    <phoneticPr fontId="1" type="noConversion"/>
  </si>
  <si>
    <t>윤명준</t>
    <phoneticPr fontId="1" type="noConversion"/>
  </si>
  <si>
    <t>송창현</t>
    <phoneticPr fontId="1" type="noConversion"/>
  </si>
  <si>
    <t>이충호</t>
    <phoneticPr fontId="1" type="noConversion"/>
  </si>
  <si>
    <t>장운호</t>
    <phoneticPr fontId="1" type="noConversion"/>
  </si>
  <si>
    <t>오선진</t>
    <phoneticPr fontId="1" type="noConversion"/>
  </si>
  <si>
    <t>손동욱</t>
    <phoneticPr fontId="1" type="noConversion"/>
  </si>
  <si>
    <t>허정협</t>
    <phoneticPr fontId="1" type="noConversion"/>
  </si>
  <si>
    <t>이지영</t>
    <phoneticPr fontId="1" type="noConversion"/>
  </si>
  <si>
    <t>김종덕</t>
    <phoneticPr fontId="1" type="noConversion"/>
  </si>
  <si>
    <t>신범수</t>
    <phoneticPr fontId="1" type="noConversion"/>
  </si>
  <si>
    <t>한승택</t>
    <phoneticPr fontId="1" type="noConversion"/>
  </si>
  <si>
    <t>김주형</t>
    <phoneticPr fontId="1" type="noConversion"/>
  </si>
  <si>
    <t>류승현</t>
    <phoneticPr fontId="1" type="noConversion"/>
  </si>
  <si>
    <t>박찬호</t>
    <phoneticPr fontId="1" type="noConversion"/>
  </si>
  <si>
    <t>서동욱</t>
    <phoneticPr fontId="1" type="noConversion"/>
  </si>
  <si>
    <t>유민상</t>
    <phoneticPr fontId="1" type="noConversion"/>
  </si>
  <si>
    <t>윤해진</t>
    <phoneticPr fontId="1" type="noConversion"/>
  </si>
  <si>
    <t>이창진</t>
    <phoneticPr fontId="1" type="noConversion"/>
  </si>
  <si>
    <t>최원준</t>
    <phoneticPr fontId="1" type="noConversion"/>
  </si>
  <si>
    <t>최정민</t>
    <phoneticPr fontId="1" type="noConversion"/>
  </si>
  <si>
    <t>홍재호</t>
    <phoneticPr fontId="1" type="noConversion"/>
  </si>
  <si>
    <t>황대인</t>
    <phoneticPr fontId="1" type="noConversion"/>
  </si>
  <si>
    <t>황윤호</t>
    <phoneticPr fontId="1" type="noConversion"/>
  </si>
  <si>
    <t>문선재</t>
    <phoneticPr fontId="1" type="noConversion"/>
  </si>
  <si>
    <t>이인행</t>
    <phoneticPr fontId="1" type="noConversion"/>
  </si>
  <si>
    <t>박지훈</t>
    <phoneticPr fontId="1" type="noConversion"/>
  </si>
  <si>
    <t>이준영</t>
    <phoneticPr fontId="1" type="noConversion"/>
  </si>
  <si>
    <t>이수민</t>
    <phoneticPr fontId="1" type="noConversion"/>
  </si>
  <si>
    <t>김대우</t>
    <phoneticPr fontId="1" type="noConversion"/>
  </si>
  <si>
    <t>손주인</t>
    <phoneticPr fontId="1" type="noConversion"/>
  </si>
  <si>
    <t>백승민</t>
    <phoneticPr fontId="1" type="noConversion"/>
  </si>
  <si>
    <t>박계범</t>
    <phoneticPr fontId="1" type="noConversion"/>
  </si>
  <si>
    <t>최선호</t>
    <phoneticPr fontId="1" type="noConversion"/>
  </si>
  <si>
    <t>이현동</t>
    <phoneticPr fontId="1" type="noConversion"/>
  </si>
  <si>
    <t>황선호</t>
    <phoneticPr fontId="1" type="noConversion"/>
  </si>
  <si>
    <t>김기연</t>
    <phoneticPr fontId="1" type="noConversion"/>
  </si>
  <si>
    <t>이성우</t>
    <phoneticPr fontId="1" type="noConversion"/>
  </si>
  <si>
    <t>백승현</t>
    <phoneticPr fontId="1" type="noConversion"/>
  </si>
  <si>
    <t>양종민</t>
    <phoneticPr fontId="1" type="noConversion"/>
  </si>
  <si>
    <t>전민수</t>
    <phoneticPr fontId="1" type="noConversion"/>
  </si>
  <si>
    <t>김태형</t>
    <phoneticPr fontId="1" type="noConversion"/>
  </si>
  <si>
    <t>김정후</t>
    <phoneticPr fontId="1" type="noConversion"/>
  </si>
  <si>
    <t>류제국</t>
    <phoneticPr fontId="1" type="noConversion"/>
  </si>
  <si>
    <t>심수창</t>
    <phoneticPr fontId="1" type="noConversion"/>
  </si>
  <si>
    <t>장원삼</t>
    <phoneticPr fontId="1" type="noConversion"/>
  </si>
  <si>
    <t>정용운</t>
    <phoneticPr fontId="1" type="noConversion"/>
  </si>
  <si>
    <t>문상철</t>
    <phoneticPr fontId="1" type="noConversion"/>
  </si>
  <si>
    <t>정현</t>
    <phoneticPr fontId="1" type="noConversion"/>
  </si>
  <si>
    <t>김민혁</t>
    <phoneticPr fontId="1" type="noConversion"/>
  </si>
  <si>
    <t>송민섭</t>
    <phoneticPr fontId="1" type="noConversion"/>
  </si>
  <si>
    <t>오준혁</t>
    <phoneticPr fontId="1" type="noConversion"/>
  </si>
  <si>
    <t>전유수</t>
    <phoneticPr fontId="1" type="noConversion"/>
  </si>
  <si>
    <t>김용주</t>
    <phoneticPr fontId="1" type="noConversion"/>
  </si>
  <si>
    <t>배우열</t>
    <phoneticPr fontId="1" type="noConversion"/>
  </si>
  <si>
    <t>윤근영</t>
    <phoneticPr fontId="1" type="noConversion"/>
  </si>
  <si>
    <t>조근종</t>
    <phoneticPr fontId="1" type="noConversion"/>
  </si>
  <si>
    <t xml:space="preserve"> 윤지웅</t>
    <phoneticPr fontId="1" type="noConversion"/>
  </si>
  <si>
    <t>홍성무</t>
    <phoneticPr fontId="1" type="noConversion"/>
  </si>
  <si>
    <t>유영준</t>
    <phoneticPr fontId="1" type="noConversion"/>
  </si>
  <si>
    <t>박헌욱</t>
    <phoneticPr fontId="1" type="noConversion"/>
  </si>
  <si>
    <t>박근홍</t>
    <phoneticPr fontId="1" type="noConversion"/>
  </si>
  <si>
    <t>차재용</t>
    <phoneticPr fontId="1" type="noConversion"/>
  </si>
  <si>
    <t>한동희</t>
    <phoneticPr fontId="1" type="noConversion"/>
  </si>
  <si>
    <t>18 WAR</t>
    <phoneticPr fontId="1" type="noConversion"/>
  </si>
  <si>
    <t>피타고리안 승률</t>
    <phoneticPr fontId="1" type="noConversion"/>
  </si>
  <si>
    <t>war 승률</t>
    <phoneticPr fontId="1" type="noConversion"/>
  </si>
  <si>
    <t xml:space="preserve"> 18 두산</t>
    <phoneticPr fontId="1" type="noConversion"/>
  </si>
  <si>
    <t>18 KIA</t>
    <phoneticPr fontId="1" type="noConversion"/>
  </si>
  <si>
    <t>18 넥센</t>
    <phoneticPr fontId="1" type="noConversion"/>
  </si>
  <si>
    <t>18 SK</t>
    <phoneticPr fontId="1" type="noConversion"/>
  </si>
  <si>
    <t>18 삼성</t>
    <phoneticPr fontId="1" type="noConversion"/>
  </si>
  <si>
    <t>18 LG</t>
    <phoneticPr fontId="1" type="noConversion"/>
  </si>
  <si>
    <t>18 롯데</t>
    <phoneticPr fontId="1" type="noConversion"/>
  </si>
  <si>
    <t>18 NC</t>
    <phoneticPr fontId="1" type="noConversion"/>
  </si>
  <si>
    <t>18 한화</t>
    <phoneticPr fontId="1" type="noConversion"/>
  </si>
  <si>
    <t>18 KT</t>
    <phoneticPr fontId="1" type="noConversion"/>
  </si>
  <si>
    <t>17 두산</t>
    <phoneticPr fontId="1" type="noConversion"/>
  </si>
  <si>
    <t>17 KIA</t>
    <phoneticPr fontId="1" type="noConversion"/>
  </si>
  <si>
    <t>17 SK</t>
    <phoneticPr fontId="1" type="noConversion"/>
  </si>
  <si>
    <t>17 삼성</t>
    <phoneticPr fontId="1" type="noConversion"/>
  </si>
  <si>
    <t>17 LG</t>
    <phoneticPr fontId="1" type="noConversion"/>
  </si>
  <si>
    <t>17 롯데</t>
    <phoneticPr fontId="1" type="noConversion"/>
  </si>
  <si>
    <t>17 NC</t>
    <phoneticPr fontId="1" type="noConversion"/>
  </si>
  <si>
    <t>17 한화</t>
    <phoneticPr fontId="1" type="noConversion"/>
  </si>
  <si>
    <t>17 KT</t>
    <phoneticPr fontId="1" type="noConversion"/>
  </si>
  <si>
    <t>17 넥센</t>
    <phoneticPr fontId="1" type="noConversion"/>
  </si>
  <si>
    <t>16 두산</t>
  </si>
  <si>
    <t>16 KIA</t>
  </si>
  <si>
    <t>16 넥센</t>
  </si>
  <si>
    <t>16 SK</t>
  </si>
  <si>
    <t>16 삼성</t>
  </si>
  <si>
    <t>16 LG</t>
  </si>
  <si>
    <t>16 롯데</t>
  </si>
  <si>
    <t>16 NC</t>
  </si>
  <si>
    <t>16 한화</t>
  </si>
  <si>
    <t>16 KT</t>
  </si>
  <si>
    <t>오차</t>
    <phoneticPr fontId="1" type="noConversion"/>
  </si>
  <si>
    <t>17-18 AVG</t>
    <phoneticPr fontId="1" type="noConversion"/>
  </si>
  <si>
    <t>보정계수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</si>
</sst>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76" formatCode="0.00_ "/>
    <numFmt numFmtId="177" formatCode="0.000"/>
    <numFmt numFmtId="178" formatCode="0.000_ "/>
    <numFmt numFmtId="179" formatCode="0.0"/>
    <numFmt numFmtId="180" formatCode="0_ "/>
    <numFmt numFmtId="181" formatCode="0.0_);[Red]\(0.0\)"/>
    <numFmt numFmtId="182" formatCode="0.0_ "/>
    <numFmt numFmtId="183" formatCode="0.00000000"/>
  </numFmts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2" fillId="0" borderId="0"/>
  </cellStyleXfs>
  <cellXfs count="1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180" fontId="0" fillId="0" borderId="0" xfId="0" applyNumberFormat="1" applyAlignment="1">
      <alignment horizontal="center" vertical="center"/>
    </xf>
    <xf numFmtId="12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81" fontId="0" fillId="0" borderId="0" xfId="0" applyNumberFormat="1" applyAlignment="1">
      <alignment horizontal="center" vertical="center"/>
    </xf>
    <xf numFmtId="182" fontId="0" fillId="0" borderId="0" xfId="0" applyNumberFormat="1" applyAlignment="1">
      <alignment horizontal="center" vertical="center"/>
    </xf>
    <xf numFmtId="0" fontId="0" fillId="0" borderId="0" xfId="0" quotePrefix="1" applyAlignment="1">
      <alignment horizontal="center" vertical="center"/>
    </xf>
    <xf numFmtId="183" fontId="0" fillId="0" borderId="0" xfId="0" applyNumberFormat="1" applyAlignment="1">
      <alignment horizontal="center" vertical="center"/>
    </xf>
  </cellXfs>
  <cellStyles count="3">
    <cellStyle name="표준" xfId="0" builtinId="0"/>
    <cellStyle name="표준 2" xfId="1" xr:uid="{00000000-0005-0000-0000-000001000000}"/>
    <cellStyle name="표준 7" xfId="2" xr:uid="{00000000-0005-0000-0000-000002000000}"/>
  </cellStyles>
  <dxfs count="7">
    <dxf>
      <numFmt numFmtId="177" formatCode="0.0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77" formatCode="0.0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36375896762904636"/>
                  <c:y val="5.47914843977836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피타고리안!$D$3:$D$32</c:f>
              <c:numCache>
                <c:formatCode>0.000</c:formatCode>
                <c:ptCount val="30"/>
                <c:pt idx="0">
                  <c:v>0.62288888888888883</c:v>
                </c:pt>
                <c:pt idx="1">
                  <c:v>0.5080972222222222</c:v>
                </c:pt>
                <c:pt idx="2">
                  <c:v>0.51761111111111113</c:v>
                </c:pt>
                <c:pt idx="3">
                  <c:v>0.55247222222222225</c:v>
                </c:pt>
                <c:pt idx="4">
                  <c:v>0.49316666666666659</c:v>
                </c:pt>
                <c:pt idx="5">
                  <c:v>0.47455555555555556</c:v>
                </c:pt>
                <c:pt idx="6">
                  <c:v>0.48719444444444449</c:v>
                </c:pt>
                <c:pt idx="7">
                  <c:v>0.39247222222222222</c:v>
                </c:pt>
                <c:pt idx="8">
                  <c:v>0.45802777777777781</c:v>
                </c:pt>
                <c:pt idx="9">
                  <c:v>0.41712500000000002</c:v>
                </c:pt>
                <c:pt idx="10">
                  <c:v>0.61893055555555554</c:v>
                </c:pt>
                <c:pt idx="11">
                  <c:v>0.57927777777777778</c:v>
                </c:pt>
                <c:pt idx="12">
                  <c:v>0.50059722222222225</c:v>
                </c:pt>
                <c:pt idx="13">
                  <c:v>0.48344444444444445</c:v>
                </c:pt>
                <c:pt idx="14">
                  <c:v>0.39226388888888886</c:v>
                </c:pt>
                <c:pt idx="15">
                  <c:v>0.4932361111111111</c:v>
                </c:pt>
                <c:pt idx="16">
                  <c:v>0.5319166666666667</c:v>
                </c:pt>
                <c:pt idx="17">
                  <c:v>0.53566666666666662</c:v>
                </c:pt>
                <c:pt idx="18">
                  <c:v>0.4644166666666667</c:v>
                </c:pt>
                <c:pt idx="19">
                  <c:v>0.35448611111111111</c:v>
                </c:pt>
                <c:pt idx="20">
                  <c:v>0.6469166666666667</c:v>
                </c:pt>
                <c:pt idx="21">
                  <c:v>0.50823611111111111</c:v>
                </c:pt>
                <c:pt idx="22">
                  <c:v>0.53677777777777769</c:v>
                </c:pt>
                <c:pt idx="23">
                  <c:v>0.45163888888888892</c:v>
                </c:pt>
                <c:pt idx="24">
                  <c:v>0.46747222222222223</c:v>
                </c:pt>
                <c:pt idx="25">
                  <c:v>0.46434722222222224</c:v>
                </c:pt>
                <c:pt idx="26">
                  <c:v>0.44997222222222216</c:v>
                </c:pt>
                <c:pt idx="27">
                  <c:v>0.60351388888888891</c:v>
                </c:pt>
                <c:pt idx="28">
                  <c:v>0.43656944444444445</c:v>
                </c:pt>
                <c:pt idx="29">
                  <c:v>0.35129166666666667</c:v>
                </c:pt>
              </c:numCache>
            </c:numRef>
          </c:xVal>
          <c:yVal>
            <c:numRef>
              <c:f>피타고리안!$E$3:$E$32</c:f>
              <c:numCache>
                <c:formatCode>0.000</c:formatCode>
                <c:ptCount val="30"/>
                <c:pt idx="0">
                  <c:v>0.6</c:v>
                </c:pt>
                <c:pt idx="1">
                  <c:v>0.52100000000000002</c:v>
                </c:pt>
                <c:pt idx="2">
                  <c:v>0.52500000000000002</c:v>
                </c:pt>
                <c:pt idx="3">
                  <c:v>0.55800000000000005</c:v>
                </c:pt>
                <c:pt idx="4">
                  <c:v>0.48499999999999999</c:v>
                </c:pt>
                <c:pt idx="5">
                  <c:v>0.48399999999999999</c:v>
                </c:pt>
                <c:pt idx="6">
                  <c:v>0.48599999999999999</c:v>
                </c:pt>
                <c:pt idx="7">
                  <c:v>0.39</c:v>
                </c:pt>
                <c:pt idx="8">
                  <c:v>0.48</c:v>
                </c:pt>
                <c:pt idx="9">
                  <c:v>0.45600000000000002</c:v>
                </c:pt>
                <c:pt idx="10" formatCode="General">
                  <c:v>0.60099999999999998</c:v>
                </c:pt>
                <c:pt idx="11" formatCode="General">
                  <c:v>0.58899999999999997</c:v>
                </c:pt>
                <c:pt idx="12" formatCode="General">
                  <c:v>0.51500000000000001</c:v>
                </c:pt>
                <c:pt idx="13" formatCode="General">
                  <c:v>0.496</c:v>
                </c:pt>
                <c:pt idx="14" formatCode="General">
                  <c:v>0.41699999999999998</c:v>
                </c:pt>
                <c:pt idx="15" formatCode="General">
                  <c:v>0.51500000000000001</c:v>
                </c:pt>
                <c:pt idx="16" formatCode="General">
                  <c:v>0.52600000000000002</c:v>
                </c:pt>
                <c:pt idx="17" formatCode="General">
                  <c:v>0.52400000000000002</c:v>
                </c:pt>
                <c:pt idx="18" formatCode="General">
                  <c:v>0.45200000000000001</c:v>
                </c:pt>
                <c:pt idx="19" formatCode="General">
                  <c:v>0.371</c:v>
                </c:pt>
                <c:pt idx="20" formatCode="General">
                  <c:v>0.64</c:v>
                </c:pt>
                <c:pt idx="21" formatCode="General">
                  <c:v>0.51</c:v>
                </c:pt>
                <c:pt idx="22" formatCode="General">
                  <c:v>0.53200000000000003</c:v>
                </c:pt>
                <c:pt idx="23" formatCode="General">
                  <c:v>0.48199999999999998</c:v>
                </c:pt>
                <c:pt idx="24" formatCode="General">
                  <c:v>0.49099999999999999</c:v>
                </c:pt>
                <c:pt idx="25" formatCode="General">
                  <c:v>0.498</c:v>
                </c:pt>
                <c:pt idx="26" formatCode="General">
                  <c:v>0.45100000000000001</c:v>
                </c:pt>
                <c:pt idx="27" formatCode="General">
                  <c:v>0.59699999999999998</c:v>
                </c:pt>
                <c:pt idx="28" formatCode="General">
                  <c:v>0.45700000000000002</c:v>
                </c:pt>
                <c:pt idx="29" formatCode="General">
                  <c:v>0.35799999999999998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99-4B47-8509-F76DAFB7B8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8412464"/>
        <c:axId val="708408304"/>
      </c:scatterChart>
      <c:valAx>
        <c:axId val="708412464"/>
        <c:scaling>
          <c:orientation val="minMax"/>
          <c:min val="0.3000000000000000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08408304"/>
        <c:crosses val="autoZero"/>
        <c:crossBetween val="midCat"/>
      </c:valAx>
      <c:valAx>
        <c:axId val="708408304"/>
        <c:scaling>
          <c:orientation val="minMax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08412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175260</xdr:colOff>
      <xdr:row>7</xdr:row>
      <xdr:rowOff>175260</xdr:rowOff>
    </xdr:from>
    <xdr:to>
      <xdr:col>18</xdr:col>
      <xdr:colOff>518160</xdr:colOff>
      <xdr:row>24</xdr:row>
      <xdr:rowOff>175260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표2" displayName="표2" ref="B2:F32" totalsRowShown="0" headerRowDxfId="6" dataDxfId="5">
  <autoFilter ref="B2:F32" xr:uid="{00000000-0009-0000-0100-000002000000}"/>
  <tableColumns count="5">
    <tableColumn id="1" xr3:uid="{00000000-0010-0000-0000-000001000000}" name="팀" dataDxfId="4"/>
    <tableColumn id="2" xr3:uid="{00000000-0010-0000-0000-000002000000}" name="18 WAR" dataDxfId="3"/>
    <tableColumn id="3" xr3:uid="{00000000-0010-0000-0000-000003000000}" name="war 승률" dataDxfId="2">
      <calculatedColumnFormula>(C3+32.256)/144</calculatedColumnFormula>
    </tableColumn>
    <tableColumn id="4" xr3:uid="{00000000-0010-0000-0000-000004000000}" name="피타고리안 승률" dataDxfId="1"/>
    <tableColumn id="5" xr3:uid="{00000000-0010-0000-0000-000005000000}" name="오차" dataDxfId="0">
      <calculatedColumnFormula>ROUND(D3-E3,3)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28"/>
  <sheetViews>
    <sheetView tabSelected="1" workbookViewId="0">
      <selection activeCell="L12" sqref="L12"/>
    </sheetView>
  </sheetViews>
  <sheetFormatPr defaultColWidth="8.75" defaultRowHeight="16.5" x14ac:dyDescent="0.3"/>
  <cols>
    <col min="1" max="1" width="8.75" style="1"/>
    <col min="2" max="2" width="11.75" style="1" customWidth="1"/>
    <col min="3" max="4" width="12.875" style="1" customWidth="1"/>
    <col min="5" max="5" width="8.75" style="1"/>
    <col min="6" max="6" width="9.625" style="1" bestFit="1" customWidth="1"/>
    <col min="7" max="7" width="8.75" style="1"/>
    <col min="8" max="8" width="8.75" style="10"/>
    <col min="9" max="16384" width="8.75" style="1"/>
  </cols>
  <sheetData>
    <row r="1" spans="2:16" x14ac:dyDescent="0.3">
      <c r="B1" s="10"/>
      <c r="C1" s="10"/>
    </row>
    <row r="2" spans="2:16" x14ac:dyDescent="0.3">
      <c r="B2" s="1" t="s">
        <v>29</v>
      </c>
      <c r="C2" s="1" t="s">
        <v>30</v>
      </c>
      <c r="D2" s="1" t="s">
        <v>31</v>
      </c>
      <c r="E2" s="1" t="s">
        <v>32</v>
      </c>
      <c r="F2" s="1" t="s">
        <v>430</v>
      </c>
      <c r="G2" s="1" t="s">
        <v>460</v>
      </c>
      <c r="M2" s="10"/>
      <c r="N2" s="10"/>
      <c r="O2" s="10"/>
      <c r="P2" s="10"/>
    </row>
    <row r="3" spans="2:16" x14ac:dyDescent="0.3">
      <c r="B3" s="1" t="s">
        <v>28</v>
      </c>
      <c r="C3" s="3">
        <f>SUM(두산!H4:H1048576)</f>
        <v>30.853643899491821</v>
      </c>
      <c r="D3" s="3">
        <f>SUM(두산!P4:P1048576)</f>
        <v>20.845825028654243</v>
      </c>
      <c r="E3" s="4">
        <f>C3+D3</f>
        <v>51.699468928146061</v>
      </c>
      <c r="F3" s="1">
        <f>RANK(E3,$E$3:$E$12)</f>
        <v>1</v>
      </c>
      <c r="G3" s="7">
        <f>(ROUND(E3,0)+32)/144</f>
        <v>0.58333333333333337</v>
      </c>
      <c r="H3" s="7"/>
      <c r="I3" s="12"/>
      <c r="J3" s="12"/>
      <c r="K3" s="12"/>
      <c r="M3" s="7"/>
      <c r="N3" s="9"/>
    </row>
    <row r="4" spans="2:16" x14ac:dyDescent="0.3">
      <c r="B4" s="1" t="s">
        <v>124</v>
      </c>
      <c r="C4" s="3">
        <f>SUM(키움!H4:H1048576)</f>
        <v>24.918526586210213</v>
      </c>
      <c r="D4" s="3">
        <f>SUM(키움!P4:P1048576)</f>
        <v>19.149443764606715</v>
      </c>
      <c r="E4" s="4">
        <f>C4+D4</f>
        <v>44.067970350816928</v>
      </c>
      <c r="F4" s="1">
        <f>RANK(E4,$E$3:$E$12)</f>
        <v>2</v>
      </c>
      <c r="G4" s="7">
        <f>(ROUND(E4,0)+32)/144</f>
        <v>0.52777777777777779</v>
      </c>
      <c r="H4" s="7"/>
      <c r="I4" s="12"/>
      <c r="J4" s="12"/>
      <c r="K4" s="16"/>
      <c r="L4" s="16"/>
      <c r="M4" s="7"/>
      <c r="N4" s="9"/>
    </row>
    <row r="5" spans="2:16" x14ac:dyDescent="0.3">
      <c r="B5" s="1" t="s">
        <v>53</v>
      </c>
      <c r="C5" s="3">
        <f>SUM(KIA!H4:H1048576)</f>
        <v>23.07065499417304</v>
      </c>
      <c r="D5" s="3">
        <f>SUM(KIA!P4:P1048576)</f>
        <v>18.328007006249759</v>
      </c>
      <c r="E5" s="4">
        <f>C5+D5</f>
        <v>41.398662000422803</v>
      </c>
      <c r="F5" s="1">
        <f>RANK(E5,$E$3:$E$12)</f>
        <v>3</v>
      </c>
      <c r="G5" s="7">
        <f>(ROUND(E5,0)+32)/144</f>
        <v>0.50694444444444442</v>
      </c>
      <c r="H5" s="7"/>
      <c r="I5" s="12"/>
      <c r="J5" s="12"/>
      <c r="K5" s="16"/>
      <c r="L5" s="16"/>
      <c r="M5" s="7"/>
      <c r="N5" s="9"/>
    </row>
    <row r="6" spans="2:16" x14ac:dyDescent="0.3">
      <c r="B6" s="1" t="s">
        <v>33</v>
      </c>
      <c r="C6" s="3">
        <f>SUM(SK!H4:H1048576)</f>
        <v>21.058277275554044</v>
      </c>
      <c r="D6" s="3">
        <f>SUM(SK!P4:P1048576)</f>
        <v>18.439748737274584</v>
      </c>
      <c r="E6" s="4">
        <f>C6+D6</f>
        <v>39.498026012828632</v>
      </c>
      <c r="F6" s="1">
        <f>RANK(E6,$E$3:$E$12)</f>
        <v>4</v>
      </c>
      <c r="G6" s="7">
        <f>(ROUND(E6,0)+32)/144</f>
        <v>0.49305555555555558</v>
      </c>
      <c r="H6" s="7"/>
      <c r="I6" s="12"/>
      <c r="J6" s="12"/>
      <c r="K6" s="16"/>
      <c r="L6" s="16"/>
      <c r="M6" s="7"/>
      <c r="N6" s="9"/>
    </row>
    <row r="7" spans="2:16" x14ac:dyDescent="0.3">
      <c r="B7" s="1" t="s">
        <v>54</v>
      </c>
      <c r="C7" s="3">
        <f>SUM(삼성!H4:H1048576)</f>
        <v>20.143737705474635</v>
      </c>
      <c r="D7" s="3">
        <f>SUM(삼성!P4:P1048576)</f>
        <v>17.671735329173458</v>
      </c>
      <c r="E7" s="4">
        <f>C7+D7</f>
        <v>37.815473034648093</v>
      </c>
      <c r="F7" s="1">
        <f>RANK(E7,$E$3:$E$12)</f>
        <v>5</v>
      </c>
      <c r="G7" s="7">
        <f>(ROUND(E7,0)+32)/144</f>
        <v>0.4861111111111111</v>
      </c>
      <c r="H7" s="7"/>
      <c r="I7" s="12"/>
      <c r="J7" s="12"/>
      <c r="K7" s="16"/>
      <c r="L7" s="16"/>
      <c r="M7" s="7"/>
      <c r="N7" s="9"/>
    </row>
    <row r="8" spans="2:16" x14ac:dyDescent="0.3">
      <c r="B8" s="1" t="s">
        <v>56</v>
      </c>
      <c r="C8" s="3">
        <f>SUM(LG!H4:H1048576)</f>
        <v>21.844080514283124</v>
      </c>
      <c r="D8" s="3">
        <f>SUM(LG!P4:P1048576)</f>
        <v>13.903912187276021</v>
      </c>
      <c r="E8" s="4">
        <f>C8+D8</f>
        <v>35.747992701559141</v>
      </c>
      <c r="F8" s="1">
        <f>RANK(E8,$E$3:$E$12)</f>
        <v>6</v>
      </c>
      <c r="G8" s="7">
        <f>(ROUND(E8,0)+32)/144</f>
        <v>0.47222222222222221</v>
      </c>
      <c r="H8" s="7"/>
      <c r="I8" s="12"/>
      <c r="J8" s="12"/>
      <c r="K8" s="16"/>
      <c r="L8" s="16"/>
      <c r="M8" s="7"/>
      <c r="N8" s="9"/>
    </row>
    <row r="9" spans="2:16" x14ac:dyDescent="0.3">
      <c r="B9" s="1" t="s">
        <v>55</v>
      </c>
      <c r="C9" s="3">
        <f>SUM(롯데!H4:H1048576)</f>
        <v>20.007376538370099</v>
      </c>
      <c r="D9" s="3">
        <f>SUM(롯데!P4:P1048576)</f>
        <v>15.515136799809932</v>
      </c>
      <c r="E9" s="4">
        <f>C9+D9</f>
        <v>35.522513338180033</v>
      </c>
      <c r="F9" s="1">
        <f>RANK(E9,$E$3:$E$12)</f>
        <v>7</v>
      </c>
      <c r="G9" s="7">
        <f>(ROUND(E9,0)+32)/144</f>
        <v>0.47222222222222221</v>
      </c>
      <c r="H9" s="7"/>
      <c r="I9" s="12"/>
      <c r="J9" s="12"/>
      <c r="K9" s="16"/>
      <c r="L9" s="16"/>
      <c r="M9" s="7"/>
      <c r="N9" s="9"/>
    </row>
    <row r="10" spans="2:16" x14ac:dyDescent="0.3">
      <c r="B10" s="1" t="s">
        <v>58</v>
      </c>
      <c r="C10" s="3">
        <f>SUM(NC!H4:H1048576)</f>
        <v>21.483243782074219</v>
      </c>
      <c r="D10" s="3">
        <f>SUM(NC!P4:P1048576)</f>
        <v>13.882390932433628</v>
      </c>
      <c r="E10" s="4">
        <f>C10+D10</f>
        <v>35.365634714507848</v>
      </c>
      <c r="F10" s="1">
        <f>RANK(E10,$E$3:$E$12)</f>
        <v>8</v>
      </c>
      <c r="G10" s="7">
        <f>(ROUND(E10,0)+32)/144</f>
        <v>0.46527777777777779</v>
      </c>
      <c r="H10" s="7"/>
      <c r="I10" s="12"/>
      <c r="J10" s="12"/>
      <c r="K10" s="16"/>
      <c r="L10" s="16"/>
      <c r="M10" s="7"/>
      <c r="N10" s="9"/>
    </row>
    <row r="11" spans="2:16" x14ac:dyDescent="0.3">
      <c r="B11" s="1" t="s">
        <v>34</v>
      </c>
      <c r="C11" s="3">
        <f>SUM(한화!H4:H1048576)</f>
        <v>15.911034295664297</v>
      </c>
      <c r="D11" s="3">
        <f>SUM(한화!P4:P1048576)</f>
        <v>17.26958325339303</v>
      </c>
      <c r="E11" s="4">
        <f>C11+D11</f>
        <v>33.180617549057331</v>
      </c>
      <c r="F11" s="1">
        <f>RANK(E11,$E$3:$E$12)</f>
        <v>9</v>
      </c>
      <c r="G11" s="7">
        <f>(ROUND(E11,0)+32)/144</f>
        <v>0.4513888888888889</v>
      </c>
      <c r="H11" s="7"/>
      <c r="I11" s="12"/>
      <c r="J11" s="12"/>
      <c r="K11" s="16"/>
      <c r="L11" s="16"/>
      <c r="M11" s="7"/>
      <c r="N11" s="9"/>
    </row>
    <row r="12" spans="2:16" x14ac:dyDescent="0.3">
      <c r="B12" s="1" t="s">
        <v>57</v>
      </c>
      <c r="C12" s="3">
        <f>SUM(KT!H4:H1048576)</f>
        <v>17.049424408704443</v>
      </c>
      <c r="D12" s="3">
        <f>SUM(KT!P4:P1048576)</f>
        <v>14.794216961128637</v>
      </c>
      <c r="E12" s="4">
        <f>C12+D12</f>
        <v>31.84364136983308</v>
      </c>
      <c r="F12" s="1">
        <f>RANK(E12,$E$3:$E$12)</f>
        <v>10</v>
      </c>
      <c r="G12" s="7">
        <f>(ROUND(E12,0)+32)/144</f>
        <v>0.44444444444444442</v>
      </c>
      <c r="H12" s="7"/>
      <c r="I12" s="12"/>
      <c r="J12" s="12"/>
      <c r="K12" s="16"/>
      <c r="L12" s="16"/>
      <c r="M12" s="7"/>
      <c r="N12" s="9"/>
    </row>
    <row r="13" spans="2:16" s="10" customFormat="1" x14ac:dyDescent="0.3">
      <c r="C13" s="3"/>
      <c r="D13" s="3"/>
      <c r="E13" s="4"/>
      <c r="G13" s="7"/>
      <c r="H13" s="7"/>
      <c r="I13" s="12"/>
      <c r="J13" s="12"/>
      <c r="K13" s="16"/>
      <c r="L13" s="16"/>
      <c r="M13" s="16"/>
    </row>
    <row r="14" spans="2:16" x14ac:dyDescent="0.3">
      <c r="C14" s="11">
        <f>SUM(C3:C12)</f>
        <v>216.33999999999997</v>
      </c>
      <c r="D14" s="11">
        <f>SUM(D3:D12)</f>
        <v>169.8</v>
      </c>
      <c r="E14" s="1">
        <v>712</v>
      </c>
      <c r="F14" s="11">
        <f>ROUND(SUM(C14:D14),1)</f>
        <v>386.1</v>
      </c>
      <c r="G14" s="1">
        <f>E14/F14</f>
        <v>1.8440818440818441</v>
      </c>
    </row>
    <row r="15" spans="2:16" x14ac:dyDescent="0.3">
      <c r="B15" s="1" t="s">
        <v>771</v>
      </c>
      <c r="C15" s="11">
        <v>216.34</v>
      </c>
      <c r="D15" s="11">
        <v>169.8</v>
      </c>
    </row>
    <row r="16" spans="2:16" x14ac:dyDescent="0.3">
      <c r="C16" s="3">
        <f>C14-C15</f>
        <v>0</v>
      </c>
      <c r="D16" s="3">
        <f>D14-D15</f>
        <v>0</v>
      </c>
    </row>
    <row r="17" spans="2:9" x14ac:dyDescent="0.3">
      <c r="C17" s="18">
        <f>C15/C14</f>
        <v>1.0000000000000002</v>
      </c>
      <c r="D17" s="18">
        <f>D15/D14</f>
        <v>1</v>
      </c>
    </row>
    <row r="18" spans="2:9" x14ac:dyDescent="0.3">
      <c r="B18" s="10" t="s">
        <v>772</v>
      </c>
      <c r="C18" s="10">
        <v>0.88950533010132626</v>
      </c>
      <c r="D18" s="10">
        <v>0.84397077813310484</v>
      </c>
      <c r="E18" s="10"/>
      <c r="F18" s="10"/>
      <c r="G18" s="10"/>
      <c r="I18" s="10"/>
    </row>
    <row r="19" spans="2:9" x14ac:dyDescent="0.3">
      <c r="B19" s="10"/>
      <c r="C19" s="3"/>
      <c r="D19" s="3"/>
      <c r="E19" s="4"/>
      <c r="F19" s="10"/>
      <c r="G19" s="7"/>
      <c r="H19" s="7"/>
      <c r="I19" s="12"/>
    </row>
    <row r="20" spans="2:9" x14ac:dyDescent="0.3">
      <c r="B20" s="10"/>
      <c r="C20" s="3"/>
      <c r="D20" s="3"/>
      <c r="E20" s="4"/>
      <c r="F20" s="10"/>
      <c r="G20" s="7"/>
      <c r="H20" s="7"/>
      <c r="I20" s="12"/>
    </row>
    <row r="21" spans="2:9" x14ac:dyDescent="0.3">
      <c r="B21" s="10"/>
      <c r="C21" s="3"/>
      <c r="D21" s="3"/>
      <c r="E21" s="4"/>
      <c r="F21" s="10"/>
      <c r="G21" s="7"/>
      <c r="H21" s="7"/>
      <c r="I21" s="12"/>
    </row>
    <row r="22" spans="2:9" x14ac:dyDescent="0.3">
      <c r="B22" s="10"/>
      <c r="C22" s="3"/>
      <c r="D22" s="3"/>
      <c r="E22" s="4"/>
      <c r="F22" s="10"/>
      <c r="G22" s="7"/>
      <c r="H22" s="7"/>
      <c r="I22" s="12"/>
    </row>
    <row r="23" spans="2:9" x14ac:dyDescent="0.3">
      <c r="B23" s="10"/>
      <c r="C23" s="3"/>
      <c r="D23" s="3"/>
      <c r="E23" s="4"/>
      <c r="F23" s="10"/>
      <c r="G23" s="7"/>
      <c r="H23" s="7"/>
      <c r="I23" s="12"/>
    </row>
    <row r="24" spans="2:9" x14ac:dyDescent="0.3">
      <c r="B24" s="10"/>
      <c r="C24" s="3"/>
      <c r="D24" s="3"/>
      <c r="E24" s="4"/>
      <c r="F24" s="10"/>
      <c r="G24" s="7"/>
      <c r="H24" s="7"/>
      <c r="I24" s="12"/>
    </row>
    <row r="25" spans="2:9" x14ac:dyDescent="0.3">
      <c r="B25" s="10"/>
      <c r="C25" s="3"/>
      <c r="D25" s="3"/>
      <c r="E25" s="4"/>
      <c r="F25" s="10"/>
      <c r="G25" s="7"/>
      <c r="H25" s="7"/>
      <c r="I25" s="12"/>
    </row>
    <row r="26" spans="2:9" x14ac:dyDescent="0.3">
      <c r="B26" s="10"/>
      <c r="C26" s="3"/>
      <c r="D26" s="3"/>
      <c r="E26" s="4"/>
      <c r="F26" s="10"/>
      <c r="G26" s="7"/>
      <c r="H26" s="7"/>
      <c r="I26" s="12"/>
    </row>
    <row r="27" spans="2:9" x14ac:dyDescent="0.3">
      <c r="B27" s="10"/>
      <c r="C27" s="3"/>
      <c r="D27" s="3"/>
      <c r="E27" s="4"/>
      <c r="F27" s="10"/>
      <c r="G27" s="7"/>
      <c r="H27" s="7"/>
      <c r="I27" s="12"/>
    </row>
    <row r="28" spans="2:9" x14ac:dyDescent="0.3">
      <c r="B28" s="10"/>
      <c r="C28" s="3"/>
      <c r="D28" s="3"/>
      <c r="E28" s="4"/>
      <c r="F28" s="10"/>
      <c r="G28" s="7"/>
      <c r="H28" s="7"/>
      <c r="I28" s="12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P32"/>
  <sheetViews>
    <sheetView workbookViewId="0">
      <selection activeCell="P26" sqref="P26"/>
    </sheetView>
  </sheetViews>
  <sheetFormatPr defaultColWidth="9" defaultRowHeight="16.5" x14ac:dyDescent="0.3"/>
  <cols>
    <col min="1" max="2" width="9" style="10"/>
    <col min="3" max="3" width="11.125" style="10" bestFit="1" customWidth="1"/>
    <col min="4" max="10" width="9" style="10"/>
    <col min="11" max="11" width="11.125" style="10" bestFit="1" customWidth="1"/>
    <col min="12" max="16384" width="9" style="10"/>
  </cols>
  <sheetData>
    <row r="1" spans="2:16" x14ac:dyDescent="0.3">
      <c r="B1" s="10" t="s">
        <v>35</v>
      </c>
      <c r="C1" s="2">
        <v>43647</v>
      </c>
    </row>
    <row r="2" spans="2:16" x14ac:dyDescent="0.3">
      <c r="C2" s="2"/>
    </row>
    <row r="3" spans="2:16" x14ac:dyDescent="0.3">
      <c r="B3" s="10" t="s">
        <v>26</v>
      </c>
      <c r="C3" s="10" t="s">
        <v>25</v>
      </c>
      <c r="D3" s="10" t="s">
        <v>27</v>
      </c>
      <c r="E3" s="10">
        <v>2016</v>
      </c>
      <c r="F3" s="10">
        <v>2017</v>
      </c>
      <c r="G3" s="10">
        <v>2018</v>
      </c>
      <c r="H3" s="10">
        <v>2019</v>
      </c>
      <c r="J3" s="10" t="s">
        <v>26</v>
      </c>
      <c r="K3" s="10" t="s">
        <v>25</v>
      </c>
      <c r="L3" s="10" t="s">
        <v>27</v>
      </c>
      <c r="M3" s="10">
        <v>2016</v>
      </c>
      <c r="N3" s="10">
        <v>2017</v>
      </c>
      <c r="O3" s="10">
        <v>2018</v>
      </c>
      <c r="P3" s="10">
        <v>2019</v>
      </c>
    </row>
    <row r="4" spans="2:16" x14ac:dyDescent="0.3">
      <c r="B4" s="10" t="s">
        <v>401</v>
      </c>
      <c r="C4" s="2">
        <v>31986</v>
      </c>
      <c r="D4" s="10">
        <f>DATEDIF(C4,$C$1,"y")</f>
        <v>31</v>
      </c>
      <c r="E4" s="3">
        <v>4.6900000000000004</v>
      </c>
      <c r="F4" s="3">
        <v>6.07</v>
      </c>
      <c r="G4" s="3">
        <v>3.22</v>
      </c>
      <c r="H4" s="3">
        <f t="shared" ref="H4:H30" si="0">(((G4*0.6)+(F4*0.3)+(E4*0.1))*0.9+0.05*(32-D4))*0.889505330101326</f>
        <v>3.424417619824085</v>
      </c>
      <c r="J4" s="10" t="s">
        <v>415</v>
      </c>
      <c r="K4" s="2">
        <v>34869</v>
      </c>
      <c r="L4" s="10">
        <f>DATEDIF(K4,$C$1,"y")</f>
        <v>24</v>
      </c>
      <c r="M4" s="10">
        <v>-0.11</v>
      </c>
      <c r="N4" s="10">
        <v>-0.49</v>
      </c>
      <c r="O4" s="10">
        <v>0.68</v>
      </c>
      <c r="P4" s="3">
        <f t="shared" ref="P4:P26" si="1">(((O4*0.6)+(N4*0.3)+(M4*0.1))*0.9+0.05*(32-L4))*0.843970778133105</f>
        <v>0.52748173633319062</v>
      </c>
    </row>
    <row r="5" spans="2:16" x14ac:dyDescent="0.3">
      <c r="B5" s="10" t="s">
        <v>402</v>
      </c>
      <c r="C5" s="2">
        <v>29768</v>
      </c>
      <c r="D5" s="10">
        <f t="shared" ref="D5:D30" si="2">DATEDIF(C5,$C$1,"y")</f>
        <v>38</v>
      </c>
      <c r="E5" s="10">
        <v>3.44</v>
      </c>
      <c r="F5" s="10">
        <v>1.81</v>
      </c>
      <c r="G5" s="10">
        <v>2.84</v>
      </c>
      <c r="H5" s="3">
        <f t="shared" si="0"/>
        <v>1.8073858802328839</v>
      </c>
      <c r="J5" s="10" t="s">
        <v>416</v>
      </c>
      <c r="K5" s="2">
        <v>34383</v>
      </c>
      <c r="L5" s="10">
        <f t="shared" ref="L5:L26" si="3">DATEDIF(K5,$C$1,"y")</f>
        <v>25</v>
      </c>
      <c r="M5" s="10">
        <v>0.53</v>
      </c>
      <c r="N5" s="10">
        <v>1.1000000000000001</v>
      </c>
      <c r="O5" s="10">
        <v>0.63</v>
      </c>
      <c r="P5" s="3">
        <f t="shared" si="1"/>
        <v>0.87342535828995049</v>
      </c>
    </row>
    <row r="6" spans="2:16" x14ac:dyDescent="0.3">
      <c r="B6" s="10" t="s">
        <v>403</v>
      </c>
      <c r="C6" s="2">
        <v>30772</v>
      </c>
      <c r="D6" s="10">
        <f t="shared" si="2"/>
        <v>35</v>
      </c>
      <c r="E6" s="10">
        <v>4.45</v>
      </c>
      <c r="F6" s="10">
        <v>1.51</v>
      </c>
      <c r="G6" s="10">
        <v>2.5499999999999998</v>
      </c>
      <c r="H6" s="3">
        <f t="shared" si="0"/>
        <v>1.8103212478222188</v>
      </c>
      <c r="J6" s="10" t="s">
        <v>417</v>
      </c>
      <c r="K6" s="2">
        <v>31723</v>
      </c>
      <c r="L6" s="10">
        <f t="shared" si="3"/>
        <v>32</v>
      </c>
      <c r="M6" s="10">
        <v>0.25</v>
      </c>
      <c r="N6" s="10">
        <v>0.05</v>
      </c>
      <c r="O6" s="10">
        <v>1.89</v>
      </c>
      <c r="P6" s="3">
        <f t="shared" si="1"/>
        <v>0.89173952417543845</v>
      </c>
    </row>
    <row r="7" spans="2:16" x14ac:dyDescent="0.3">
      <c r="B7" s="10" t="s">
        <v>404</v>
      </c>
      <c r="C7" s="2">
        <v>36370</v>
      </c>
      <c r="D7" s="10">
        <f t="shared" si="2"/>
        <v>19</v>
      </c>
      <c r="G7" s="10">
        <v>1.44</v>
      </c>
      <c r="H7" s="3">
        <f t="shared" si="0"/>
        <v>1.2698578092526531</v>
      </c>
      <c r="J7" s="10" t="s">
        <v>418</v>
      </c>
      <c r="K7" s="2">
        <v>33132</v>
      </c>
      <c r="L7" s="10">
        <f t="shared" si="3"/>
        <v>28</v>
      </c>
      <c r="M7" s="10">
        <v>1.02</v>
      </c>
      <c r="N7" s="10">
        <v>0.38</v>
      </c>
      <c r="O7" s="10">
        <v>1.38</v>
      </c>
      <c r="P7" s="3">
        <f t="shared" si="1"/>
        <v>0.96178909876048657</v>
      </c>
    </row>
    <row r="8" spans="2:16" x14ac:dyDescent="0.3">
      <c r="B8" s="10" t="s">
        <v>405</v>
      </c>
      <c r="C8" s="2">
        <v>32890</v>
      </c>
      <c r="D8" s="10">
        <f t="shared" si="2"/>
        <v>29</v>
      </c>
      <c r="F8" s="10">
        <v>0</v>
      </c>
      <c r="G8" s="10">
        <v>0.49</v>
      </c>
      <c r="H8" s="3">
        <f t="shared" si="0"/>
        <v>0.36878890986000978</v>
      </c>
      <c r="J8" s="10" t="s">
        <v>419</v>
      </c>
      <c r="K8" s="2">
        <v>35256</v>
      </c>
      <c r="L8" s="10">
        <f t="shared" si="3"/>
        <v>22</v>
      </c>
      <c r="M8" s="10">
        <v>-0.01</v>
      </c>
      <c r="N8" s="10">
        <v>-1.18</v>
      </c>
      <c r="O8" s="10">
        <v>0.98</v>
      </c>
      <c r="P8" s="3">
        <f t="shared" si="1"/>
        <v>0.59896606124106455</v>
      </c>
    </row>
    <row r="9" spans="2:16" x14ac:dyDescent="0.3">
      <c r="B9" s="10" t="s">
        <v>406</v>
      </c>
      <c r="C9" s="2">
        <v>31294</v>
      </c>
      <c r="D9" s="10">
        <f t="shared" si="2"/>
        <v>33</v>
      </c>
      <c r="E9" s="10">
        <v>2.87</v>
      </c>
      <c r="F9" s="10">
        <f>1.25+1.26</f>
        <v>2.5099999999999998</v>
      </c>
      <c r="G9" s="10">
        <v>0.39</v>
      </c>
      <c r="H9" s="3">
        <f t="shared" si="0"/>
        <v>0.97543154498911411</v>
      </c>
      <c r="J9" s="10" t="s">
        <v>420</v>
      </c>
      <c r="K9" s="2">
        <v>35579</v>
      </c>
      <c r="L9" s="10">
        <f t="shared" si="3"/>
        <v>22</v>
      </c>
      <c r="N9" s="10">
        <v>0</v>
      </c>
      <c r="O9" s="10">
        <v>0.86</v>
      </c>
      <c r="P9" s="3">
        <f t="shared" si="1"/>
        <v>0.81392541843156641</v>
      </c>
    </row>
    <row r="10" spans="2:16" x14ac:dyDescent="0.3">
      <c r="B10" s="10" t="s">
        <v>407</v>
      </c>
      <c r="C10" s="2">
        <v>33560</v>
      </c>
      <c r="D10" s="10">
        <f t="shared" si="2"/>
        <v>27</v>
      </c>
      <c r="E10" s="10">
        <v>-7.0000000000000007E-2</v>
      </c>
      <c r="F10" s="10">
        <f>0.41+0.06</f>
        <v>0.47</v>
      </c>
      <c r="G10" s="10">
        <v>0.16</v>
      </c>
      <c r="H10" s="3">
        <f t="shared" si="0"/>
        <v>0.40650393585630595</v>
      </c>
      <c r="J10" s="10" t="s">
        <v>421</v>
      </c>
      <c r="K10" s="2">
        <v>32203</v>
      </c>
      <c r="L10" s="10">
        <f t="shared" si="3"/>
        <v>31</v>
      </c>
      <c r="M10" s="10">
        <v>-0.19</v>
      </c>
      <c r="N10" s="10">
        <v>1.77</v>
      </c>
      <c r="O10" s="10">
        <v>0.54</v>
      </c>
      <c r="P10" s="3">
        <f t="shared" si="1"/>
        <v>0.67720215237400339</v>
      </c>
    </row>
    <row r="11" spans="2:16" x14ac:dyDescent="0.3">
      <c r="B11" s="10" t="s">
        <v>408</v>
      </c>
      <c r="C11" s="2">
        <v>34817</v>
      </c>
      <c r="D11" s="10">
        <f t="shared" si="2"/>
        <v>24</v>
      </c>
      <c r="E11" s="10">
        <v>-0.02</v>
      </c>
      <c r="F11" s="10">
        <v>0.56999999999999995</v>
      </c>
      <c r="G11" s="10">
        <v>0.15</v>
      </c>
      <c r="H11" s="3">
        <f t="shared" si="0"/>
        <v>0.56314582448714956</v>
      </c>
      <c r="J11" s="10" t="s">
        <v>422</v>
      </c>
      <c r="K11" s="2">
        <v>36264</v>
      </c>
      <c r="L11" s="10">
        <f t="shared" si="3"/>
        <v>20</v>
      </c>
      <c r="O11" s="10">
        <v>0.35</v>
      </c>
      <c r="P11" s="3">
        <f t="shared" si="1"/>
        <v>0.66589294394701992</v>
      </c>
    </row>
    <row r="12" spans="2:16" x14ac:dyDescent="0.3">
      <c r="B12" s="10" t="s">
        <v>409</v>
      </c>
      <c r="C12" s="2">
        <v>35671</v>
      </c>
      <c r="D12" s="10">
        <f t="shared" si="2"/>
        <v>21</v>
      </c>
      <c r="F12" s="10">
        <v>-7.0000000000000007E-2</v>
      </c>
      <c r="G12" s="10">
        <v>0.12</v>
      </c>
      <c r="H12" s="3">
        <f t="shared" si="0"/>
        <v>0.53005622620738013</v>
      </c>
      <c r="J12" s="10" t="s">
        <v>423</v>
      </c>
      <c r="K12" s="2">
        <v>35342</v>
      </c>
      <c r="L12" s="10">
        <f t="shared" si="3"/>
        <v>22</v>
      </c>
      <c r="M12" s="10">
        <v>-0.13</v>
      </c>
      <c r="N12" s="10">
        <v>1.19</v>
      </c>
      <c r="O12" s="10">
        <v>0.17</v>
      </c>
      <c r="P12" s="3">
        <f t="shared" si="1"/>
        <v>0.76075525940918076</v>
      </c>
    </row>
    <row r="13" spans="2:16" x14ac:dyDescent="0.3">
      <c r="B13" s="10" t="s">
        <v>410</v>
      </c>
      <c r="C13" s="2">
        <v>30516</v>
      </c>
      <c r="D13" s="10">
        <f t="shared" si="2"/>
        <v>35</v>
      </c>
      <c r="E13" s="10">
        <v>0.61</v>
      </c>
      <c r="F13" s="10">
        <v>-0.87</v>
      </c>
      <c r="G13" s="10">
        <v>0</v>
      </c>
      <c r="H13" s="3">
        <f t="shared" si="0"/>
        <v>-0.29353675893343767</v>
      </c>
      <c r="J13" s="10" t="s">
        <v>424</v>
      </c>
      <c r="K13" s="2">
        <v>35337</v>
      </c>
      <c r="L13" s="10">
        <f t="shared" si="3"/>
        <v>22</v>
      </c>
      <c r="M13" s="10">
        <v>-0.09</v>
      </c>
      <c r="O13" s="10">
        <v>0.11</v>
      </c>
      <c r="P13" s="3">
        <f t="shared" si="1"/>
        <v>0.46528108998478079</v>
      </c>
    </row>
    <row r="14" spans="2:16" x14ac:dyDescent="0.3">
      <c r="B14" s="10" t="s">
        <v>411</v>
      </c>
      <c r="C14" s="2">
        <v>34862</v>
      </c>
      <c r="D14" s="10">
        <f t="shared" si="2"/>
        <v>24</v>
      </c>
      <c r="E14" s="10">
        <v>-0.51</v>
      </c>
      <c r="G14" s="10">
        <v>-0.05</v>
      </c>
      <c r="H14" s="3">
        <f t="shared" si="0"/>
        <v>0.29095719347614374</v>
      </c>
      <c r="J14" s="10" t="s">
        <v>425</v>
      </c>
      <c r="K14" s="2">
        <v>35640</v>
      </c>
      <c r="L14" s="10">
        <f t="shared" si="3"/>
        <v>21</v>
      </c>
      <c r="O14" s="10">
        <v>0.09</v>
      </c>
      <c r="P14" s="3">
        <f t="shared" si="1"/>
        <v>0.50520090779047666</v>
      </c>
    </row>
    <row r="15" spans="2:16" x14ac:dyDescent="0.3">
      <c r="B15" s="10" t="s">
        <v>412</v>
      </c>
      <c r="C15" s="2">
        <v>32311</v>
      </c>
      <c r="D15" s="10">
        <f t="shared" si="2"/>
        <v>31</v>
      </c>
      <c r="G15" s="10">
        <v>-0.05</v>
      </c>
      <c r="H15" s="3">
        <f t="shared" si="0"/>
        <v>2.0458622592330503E-2</v>
      </c>
      <c r="J15" s="10" t="s">
        <v>267</v>
      </c>
      <c r="K15" s="2">
        <v>33809</v>
      </c>
      <c r="L15" s="10">
        <f t="shared" si="3"/>
        <v>26</v>
      </c>
      <c r="M15" s="10">
        <v>0.04</v>
      </c>
      <c r="O15" s="10">
        <v>0</v>
      </c>
      <c r="P15" s="3">
        <f t="shared" si="1"/>
        <v>0.2562295282412107</v>
      </c>
    </row>
    <row r="16" spans="2:16" x14ac:dyDescent="0.3">
      <c r="B16" s="10" t="s">
        <v>413</v>
      </c>
      <c r="C16" s="2">
        <v>34000</v>
      </c>
      <c r="D16" s="10">
        <f t="shared" si="2"/>
        <v>26</v>
      </c>
      <c r="E16" s="10">
        <v>-0.14000000000000001</v>
      </c>
      <c r="G16" s="10">
        <v>-0.11</v>
      </c>
      <c r="H16" s="3">
        <f t="shared" si="0"/>
        <v>0.20280721526310236</v>
      </c>
      <c r="J16" s="10" t="s">
        <v>426</v>
      </c>
      <c r="K16" s="2">
        <v>36260</v>
      </c>
      <c r="L16" s="10">
        <f t="shared" si="3"/>
        <v>20</v>
      </c>
      <c r="O16" s="10">
        <v>-0.05</v>
      </c>
      <c r="P16" s="3">
        <f t="shared" si="1"/>
        <v>0.48359525587026919</v>
      </c>
    </row>
    <row r="17" spans="2:16" x14ac:dyDescent="0.3">
      <c r="B17" s="10" t="s">
        <v>414</v>
      </c>
      <c r="C17" s="2">
        <v>31908</v>
      </c>
      <c r="D17" s="10">
        <f t="shared" si="2"/>
        <v>32</v>
      </c>
      <c r="E17" s="10">
        <v>-0.19</v>
      </c>
      <c r="F17" s="10">
        <v>0.79</v>
      </c>
      <c r="G17" s="10">
        <v>-0.13</v>
      </c>
      <c r="H17" s="3">
        <f t="shared" si="0"/>
        <v>0.11207767159276706</v>
      </c>
      <c r="J17" s="10" t="s">
        <v>427</v>
      </c>
      <c r="K17" s="2">
        <v>35094</v>
      </c>
      <c r="L17" s="10">
        <f t="shared" si="3"/>
        <v>23</v>
      </c>
      <c r="O17" s="10">
        <v>-0.06</v>
      </c>
      <c r="P17" s="3">
        <f t="shared" si="1"/>
        <v>0.35244219694838463</v>
      </c>
    </row>
    <row r="18" spans="2:16" x14ac:dyDescent="0.3">
      <c r="B18" s="10" t="s">
        <v>507</v>
      </c>
      <c r="C18" s="2">
        <v>33017</v>
      </c>
      <c r="D18" s="10">
        <f t="shared" si="2"/>
        <v>29</v>
      </c>
      <c r="E18" s="3">
        <f>ROUND(SUM('MILB &amp; MLB'!AM124:AM126),3)</f>
        <v>1.569</v>
      </c>
      <c r="F18" s="4">
        <f>2.4+ROUND('MILB &amp; MLB'!AM127,2)</f>
        <v>3.2399999999999998</v>
      </c>
      <c r="G18" s="10">
        <v>5.99</v>
      </c>
      <c r="H18" s="3">
        <f t="shared" si="0"/>
        <v>3.9143660506971969</v>
      </c>
      <c r="J18" s="10" t="s">
        <v>428</v>
      </c>
      <c r="K18" s="2">
        <v>35608</v>
      </c>
      <c r="L18" s="10">
        <f t="shared" si="3"/>
        <v>22</v>
      </c>
      <c r="M18" s="10">
        <v>0.36</v>
      </c>
      <c r="N18" s="10">
        <v>-0.21</v>
      </c>
      <c r="O18" s="10">
        <v>-0.95</v>
      </c>
      <c r="P18" s="3">
        <f t="shared" si="1"/>
        <v>-3.1480110024364814E-2</v>
      </c>
    </row>
    <row r="19" spans="2:16" x14ac:dyDescent="0.3">
      <c r="B19" s="10" t="s">
        <v>656</v>
      </c>
      <c r="C19" s="2">
        <v>32311</v>
      </c>
      <c r="D19" s="10">
        <f t="shared" si="2"/>
        <v>31</v>
      </c>
      <c r="G19" s="10">
        <v>-0.05</v>
      </c>
      <c r="H19" s="3">
        <f t="shared" si="0"/>
        <v>2.0458622592330503E-2</v>
      </c>
      <c r="J19" s="10" t="s">
        <v>429</v>
      </c>
      <c r="K19" s="2">
        <v>34850</v>
      </c>
      <c r="L19" s="10">
        <f t="shared" si="3"/>
        <v>24</v>
      </c>
      <c r="M19" s="10">
        <v>2.67</v>
      </c>
      <c r="N19" s="10">
        <v>0.28000000000000003</v>
      </c>
      <c r="O19" s="10">
        <v>-1.04</v>
      </c>
      <c r="P19" s="3">
        <f t="shared" si="1"/>
        <v>0.13022469106593809</v>
      </c>
    </row>
    <row r="20" spans="2:16" x14ac:dyDescent="0.3">
      <c r="B20" s="10" t="s">
        <v>657</v>
      </c>
      <c r="C20" s="2">
        <v>34000</v>
      </c>
      <c r="D20" s="10">
        <f t="shared" si="2"/>
        <v>26</v>
      </c>
      <c r="E20" s="10">
        <v>-0.14000000000000001</v>
      </c>
      <c r="G20" s="10">
        <v>-0.11</v>
      </c>
      <c r="H20" s="3">
        <f t="shared" si="0"/>
        <v>0.20280721526310236</v>
      </c>
      <c r="J20" s="10" t="s">
        <v>641</v>
      </c>
      <c r="K20" s="2">
        <v>33160</v>
      </c>
      <c r="L20" s="10">
        <f t="shared" si="3"/>
        <v>28</v>
      </c>
      <c r="M20" s="3">
        <f>ROUND(SUM('MILB &amp; MLB'!W423:W424),2)</f>
        <v>3.9</v>
      </c>
      <c r="N20" s="3">
        <f>ROUND(SUM('MILB &amp; MLB'!W425:W427),2)</f>
        <v>2.2200000000000002</v>
      </c>
      <c r="O20" s="3">
        <f>ROUND(SUM('MILB &amp; MLB'!W428:W429),2)</f>
        <v>6.36</v>
      </c>
      <c r="P20" s="3">
        <f t="shared" si="1"/>
        <v>3.8694372235846601</v>
      </c>
    </row>
    <row r="21" spans="2:16" x14ac:dyDescent="0.3">
      <c r="B21" s="10" t="s">
        <v>658</v>
      </c>
      <c r="C21" s="2">
        <v>33613</v>
      </c>
      <c r="D21" s="10">
        <f t="shared" si="2"/>
        <v>27</v>
      </c>
      <c r="E21" s="10">
        <v>-0.39</v>
      </c>
      <c r="G21" s="10">
        <v>-0.03</v>
      </c>
      <c r="H21" s="3">
        <f t="shared" si="0"/>
        <v>0.17674470909113346</v>
      </c>
      <c r="J21" s="10" t="s">
        <v>647</v>
      </c>
      <c r="K21" s="2">
        <v>33942</v>
      </c>
      <c r="L21" s="10">
        <f t="shared" si="3"/>
        <v>26</v>
      </c>
      <c r="M21" s="3">
        <f>ROUND(SUM('MILB &amp; MLB'!W440:W441),2)</f>
        <v>3.57</v>
      </c>
      <c r="N21" s="3">
        <f>ROUND(SUM('MILB &amp; MLB'!W442:W444),2)</f>
        <v>4.29</v>
      </c>
      <c r="O21" s="3">
        <f>ROUND('MILB &amp; MLB'!W445,2)</f>
        <v>0.74</v>
      </c>
      <c r="P21" s="3">
        <f t="shared" si="1"/>
        <v>1.8391811197076624</v>
      </c>
    </row>
    <row r="22" spans="2:16" x14ac:dyDescent="0.3">
      <c r="B22" s="10" t="s">
        <v>659</v>
      </c>
      <c r="C22" s="2">
        <v>32760</v>
      </c>
      <c r="D22" s="10">
        <f t="shared" si="2"/>
        <v>29</v>
      </c>
      <c r="F22" s="10">
        <v>0.22</v>
      </c>
      <c r="G22" s="10">
        <v>-0.27</v>
      </c>
      <c r="H22" s="3">
        <f t="shared" si="0"/>
        <v>5.6572538994444352E-2</v>
      </c>
      <c r="J22" s="10" t="s">
        <v>725</v>
      </c>
      <c r="K22" s="2">
        <v>31745</v>
      </c>
      <c r="L22" s="10">
        <f t="shared" si="3"/>
        <v>32</v>
      </c>
      <c r="M22" s="10">
        <v>0.22</v>
      </c>
      <c r="N22" s="10">
        <v>0.03</v>
      </c>
      <c r="O22" s="10">
        <v>0.2</v>
      </c>
      <c r="P22" s="3">
        <f t="shared" si="1"/>
        <v>0.11469562874828895</v>
      </c>
    </row>
    <row r="23" spans="2:16" x14ac:dyDescent="0.3">
      <c r="B23" s="10" t="s">
        <v>660</v>
      </c>
      <c r="C23" s="2">
        <v>32030</v>
      </c>
      <c r="D23" s="10">
        <f t="shared" si="2"/>
        <v>31</v>
      </c>
      <c r="F23" s="10">
        <v>0.22</v>
      </c>
      <c r="G23" s="10">
        <v>-0.33</v>
      </c>
      <c r="H23" s="3">
        <f t="shared" si="0"/>
        <v>-6.1197966710971233E-2</v>
      </c>
      <c r="J23" s="10" t="s">
        <v>726</v>
      </c>
      <c r="K23" s="2">
        <v>33534</v>
      </c>
      <c r="L23" s="10">
        <f t="shared" si="3"/>
        <v>27</v>
      </c>
      <c r="M23" s="10">
        <v>0.3</v>
      </c>
      <c r="N23" s="10">
        <v>-0.39</v>
      </c>
      <c r="O23" s="10">
        <v>-0.18</v>
      </c>
      <c r="P23" s="3">
        <f t="shared" si="1"/>
        <v>6.2875822970916331E-2</v>
      </c>
    </row>
    <row r="24" spans="2:16" x14ac:dyDescent="0.3">
      <c r="B24" s="10" t="s">
        <v>661</v>
      </c>
      <c r="C24" s="2">
        <v>34000</v>
      </c>
      <c r="D24" s="10">
        <f t="shared" si="2"/>
        <v>26</v>
      </c>
      <c r="F24" s="10">
        <v>-0.14000000000000001</v>
      </c>
      <c r="G24" s="10">
        <v>-0.11</v>
      </c>
      <c r="H24" s="3">
        <f t="shared" si="0"/>
        <v>0.18039168094454897</v>
      </c>
      <c r="J24" s="10" t="s">
        <v>727</v>
      </c>
      <c r="K24" s="2">
        <v>31551</v>
      </c>
      <c r="L24" s="10">
        <f t="shared" si="3"/>
        <v>33</v>
      </c>
      <c r="M24" s="10">
        <v>0.84</v>
      </c>
      <c r="N24" s="10">
        <v>-0.22</v>
      </c>
      <c r="O24" s="10">
        <v>0.15</v>
      </c>
      <c r="P24" s="3">
        <f t="shared" si="1"/>
        <v>3.9835420727882549E-2</v>
      </c>
    </row>
    <row r="25" spans="2:16" x14ac:dyDescent="0.3">
      <c r="B25" s="10" t="s">
        <v>662</v>
      </c>
      <c r="C25" s="2">
        <v>32979</v>
      </c>
      <c r="D25" s="10">
        <f t="shared" si="2"/>
        <v>29</v>
      </c>
      <c r="G25" s="10">
        <v>-0.04</v>
      </c>
      <c r="H25" s="3">
        <f t="shared" si="0"/>
        <v>0.11421248438501028</v>
      </c>
      <c r="J25" s="10" t="s">
        <v>728</v>
      </c>
      <c r="K25" s="2">
        <v>31539</v>
      </c>
      <c r="L25" s="10">
        <f t="shared" si="3"/>
        <v>33</v>
      </c>
      <c r="M25" s="10">
        <v>-0.1</v>
      </c>
      <c r="N25" s="10">
        <v>0.42</v>
      </c>
      <c r="O25" s="10">
        <v>-0.46</v>
      </c>
      <c r="P25" s="3">
        <f t="shared" si="1"/>
        <v>-0.16373033095782241</v>
      </c>
    </row>
    <row r="26" spans="2:16" x14ac:dyDescent="0.3">
      <c r="B26" s="10" t="s">
        <v>720</v>
      </c>
      <c r="C26" s="2">
        <v>33334</v>
      </c>
      <c r="D26" s="10">
        <f t="shared" si="2"/>
        <v>28</v>
      </c>
      <c r="E26" s="10">
        <v>-0.4</v>
      </c>
      <c r="H26" s="3">
        <f t="shared" si="0"/>
        <v>0.14587887413661749</v>
      </c>
      <c r="J26" s="10" t="s">
        <v>729</v>
      </c>
      <c r="K26" s="2">
        <v>33009</v>
      </c>
      <c r="L26" s="10">
        <f t="shared" si="3"/>
        <v>29</v>
      </c>
      <c r="N26" s="10">
        <v>-0.12</v>
      </c>
      <c r="P26" s="3">
        <f t="shared" si="1"/>
        <v>9.9250963508453166E-2</v>
      </c>
    </row>
    <row r="27" spans="2:16" x14ac:dyDescent="0.3">
      <c r="B27" s="10" t="s">
        <v>721</v>
      </c>
      <c r="C27" s="2">
        <v>34486</v>
      </c>
      <c r="D27" s="10">
        <f t="shared" si="2"/>
        <v>25</v>
      </c>
      <c r="F27" s="10">
        <v>1.78</v>
      </c>
      <c r="G27" s="10">
        <v>-0.57999999999999996</v>
      </c>
      <c r="H27" s="3">
        <f t="shared" si="0"/>
        <v>0.46023005779442616</v>
      </c>
      <c r="P27" s="3"/>
    </row>
    <row r="28" spans="2:16" x14ac:dyDescent="0.3">
      <c r="B28" s="10" t="s">
        <v>722</v>
      </c>
      <c r="C28" s="2">
        <v>35024</v>
      </c>
      <c r="D28" s="10">
        <f t="shared" si="2"/>
        <v>23</v>
      </c>
      <c r="E28" s="10">
        <v>-0.46</v>
      </c>
      <c r="H28" s="3">
        <f t="shared" si="0"/>
        <v>0.36345187787940186</v>
      </c>
      <c r="P28" s="3"/>
    </row>
    <row r="29" spans="2:16" x14ac:dyDescent="0.3">
      <c r="B29" s="10" t="s">
        <v>723</v>
      </c>
      <c r="C29" s="2">
        <v>33452</v>
      </c>
      <c r="D29" s="10">
        <f t="shared" si="2"/>
        <v>27</v>
      </c>
      <c r="G29" s="10">
        <v>-0.39</v>
      </c>
      <c r="H29" s="3">
        <f t="shared" si="0"/>
        <v>3.5046510005992265E-2</v>
      </c>
      <c r="P29" s="3"/>
    </row>
    <row r="30" spans="2:16" x14ac:dyDescent="0.3">
      <c r="B30" s="10" t="s">
        <v>724</v>
      </c>
      <c r="C30" s="2">
        <v>33674</v>
      </c>
      <c r="D30" s="10">
        <f t="shared" si="2"/>
        <v>27</v>
      </c>
      <c r="E30" s="10">
        <v>0.28000000000000003</v>
      </c>
      <c r="F30" s="10">
        <v>0.06</v>
      </c>
      <c r="G30" s="10">
        <f>-0.23-0.41</f>
        <v>-0.64</v>
      </c>
      <c r="H30" s="3">
        <f t="shared" si="0"/>
        <v>-4.8211188891491848E-2</v>
      </c>
      <c r="P30" s="3"/>
    </row>
    <row r="31" spans="2:16" x14ac:dyDescent="0.3">
      <c r="H31" s="3"/>
      <c r="P31" s="3"/>
    </row>
    <row r="32" spans="2:16" x14ac:dyDescent="0.3">
      <c r="H32" s="3"/>
      <c r="P32" s="3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P30"/>
  <sheetViews>
    <sheetView workbookViewId="0">
      <selection activeCell="P4" sqref="P4:P24"/>
    </sheetView>
  </sheetViews>
  <sheetFormatPr defaultColWidth="9" defaultRowHeight="16.5" x14ac:dyDescent="0.3"/>
  <cols>
    <col min="1" max="2" width="9" style="10"/>
    <col min="3" max="3" width="11.125" style="10" bestFit="1" customWidth="1"/>
    <col min="4" max="10" width="9" style="10"/>
    <col min="11" max="11" width="11.125" style="10" bestFit="1" customWidth="1"/>
    <col min="12" max="16384" width="9" style="10"/>
  </cols>
  <sheetData>
    <row r="1" spans="2:16" x14ac:dyDescent="0.3">
      <c r="B1" s="10" t="s">
        <v>35</v>
      </c>
      <c r="C1" s="2">
        <v>43647</v>
      </c>
    </row>
    <row r="2" spans="2:16" x14ac:dyDescent="0.3">
      <c r="C2" s="2"/>
    </row>
    <row r="3" spans="2:16" x14ac:dyDescent="0.3">
      <c r="B3" s="10" t="s">
        <v>26</v>
      </c>
      <c r="C3" s="10" t="s">
        <v>25</v>
      </c>
      <c r="D3" s="10" t="s">
        <v>27</v>
      </c>
      <c r="E3" s="10">
        <v>2016</v>
      </c>
      <c r="F3" s="10">
        <v>2017</v>
      </c>
      <c r="G3" s="10">
        <v>2018</v>
      </c>
      <c r="H3" s="10">
        <v>2019</v>
      </c>
      <c r="J3" s="10" t="s">
        <v>26</v>
      </c>
      <c r="K3" s="10" t="s">
        <v>25</v>
      </c>
      <c r="L3" s="10" t="s">
        <v>27</v>
      </c>
      <c r="M3" s="10">
        <v>2016</v>
      </c>
      <c r="N3" s="10">
        <v>2017</v>
      </c>
      <c r="O3" s="10">
        <v>2018</v>
      </c>
      <c r="P3" s="10">
        <v>2019</v>
      </c>
    </row>
    <row r="4" spans="2:16" x14ac:dyDescent="0.3">
      <c r="B4" s="10" t="s">
        <v>328</v>
      </c>
      <c r="C4" s="2">
        <v>31933</v>
      </c>
      <c r="D4" s="10">
        <f>DATEDIF(C4,$C$1,"y")</f>
        <v>32</v>
      </c>
      <c r="E4" s="3">
        <v>4.87</v>
      </c>
      <c r="F4" s="3">
        <v>3.16</v>
      </c>
      <c r="G4" s="3">
        <v>6.64</v>
      </c>
      <c r="H4" s="3">
        <f t="shared" ref="H4:H26" si="0">(((G4*0.6)+(F4*0.3)+(E4*0.1))*0.9+0.05*(32-D4))*0.889505330101326</f>
        <v>4.3382064454371765</v>
      </c>
      <c r="J4" s="10" t="s">
        <v>348</v>
      </c>
      <c r="K4" s="2">
        <v>33150</v>
      </c>
      <c r="L4" s="10">
        <f>DATEDIF(K4,$C$1,"y")</f>
        <v>28</v>
      </c>
      <c r="M4" s="10">
        <v>2.23</v>
      </c>
      <c r="N4" s="10">
        <v>-0.36</v>
      </c>
      <c r="O4" s="10">
        <v>2.67</v>
      </c>
      <c r="P4" s="3">
        <f t="shared" ref="P4:P24" si="1">(((O4*0.6)+(N4*0.3)+(M4*0.1))*0.9+0.05*(32-L4))*0.843970778133105</f>
        <v>1.4729821990757079</v>
      </c>
    </row>
    <row r="5" spans="2:16" x14ac:dyDescent="0.3">
      <c r="B5" s="10" t="s">
        <v>329</v>
      </c>
      <c r="C5" s="2">
        <v>32784</v>
      </c>
      <c r="D5" s="10">
        <f t="shared" ref="D5:D26" si="2">DATEDIF(C5,$C$1,"y")</f>
        <v>29</v>
      </c>
      <c r="E5" s="10">
        <v>4.8600000000000003</v>
      </c>
      <c r="F5" s="10">
        <v>6.65</v>
      </c>
      <c r="G5" s="10">
        <v>5.43</v>
      </c>
      <c r="H5" s="3">
        <f t="shared" si="0"/>
        <v>4.7278097800215582</v>
      </c>
      <c r="J5" s="10" t="s">
        <v>349</v>
      </c>
      <c r="K5" s="2">
        <v>35478</v>
      </c>
      <c r="L5" s="10">
        <f t="shared" ref="L5:L9" si="3">DATEDIF(K5,$C$1,"y")</f>
        <v>22</v>
      </c>
      <c r="M5" s="10">
        <v>1.54</v>
      </c>
      <c r="N5" s="10">
        <v>0.13</v>
      </c>
      <c r="O5" s="10">
        <v>1.63</v>
      </c>
      <c r="P5" s="3">
        <f t="shared" si="1"/>
        <v>1.3114461921410316</v>
      </c>
    </row>
    <row r="6" spans="2:16" x14ac:dyDescent="0.3">
      <c r="B6" s="10" t="s">
        <v>330</v>
      </c>
      <c r="C6" s="2">
        <v>34006</v>
      </c>
      <c r="D6" s="10">
        <f t="shared" si="2"/>
        <v>26</v>
      </c>
      <c r="E6" s="10">
        <v>4.01</v>
      </c>
      <c r="F6" s="10">
        <v>4.47</v>
      </c>
      <c r="G6" s="10">
        <v>2.72</v>
      </c>
      <c r="H6" s="3">
        <f t="shared" si="0"/>
        <v>2.9679234844160844</v>
      </c>
      <c r="J6" s="10" t="s">
        <v>350</v>
      </c>
      <c r="K6" s="2">
        <v>31989</v>
      </c>
      <c r="L6" s="10">
        <f t="shared" si="3"/>
        <v>31</v>
      </c>
      <c r="M6" s="10">
        <v>2.31</v>
      </c>
      <c r="N6" s="10">
        <v>1.22</v>
      </c>
      <c r="O6" s="10">
        <v>0.88</v>
      </c>
      <c r="P6" s="3">
        <f t="shared" si="1"/>
        <v>0.89671895176642402</v>
      </c>
    </row>
    <row r="7" spans="2:16" x14ac:dyDescent="0.3">
      <c r="B7" s="10" t="s">
        <v>331</v>
      </c>
      <c r="C7" s="2">
        <v>34090</v>
      </c>
      <c r="D7" s="10">
        <f t="shared" si="2"/>
        <v>26</v>
      </c>
      <c r="E7" s="10">
        <v>1.38</v>
      </c>
      <c r="F7" s="10">
        <v>0.91</v>
      </c>
      <c r="G7" s="10">
        <v>2.15</v>
      </c>
      <c r="H7" s="3">
        <f t="shared" si="0"/>
        <v>1.6285953088825176</v>
      </c>
      <c r="J7" s="10" t="s">
        <v>351</v>
      </c>
      <c r="K7" s="2">
        <v>34754</v>
      </c>
      <c r="L7" s="10">
        <f t="shared" si="3"/>
        <v>24</v>
      </c>
      <c r="M7" s="10">
        <v>0.28999999999999998</v>
      </c>
      <c r="N7" s="10">
        <v>-0.15</v>
      </c>
      <c r="O7" s="10">
        <v>0.79</v>
      </c>
      <c r="P7" s="3">
        <f t="shared" si="1"/>
        <v>0.68547306599970792</v>
      </c>
    </row>
    <row r="8" spans="2:16" x14ac:dyDescent="0.3">
      <c r="B8" s="10" t="s">
        <v>332</v>
      </c>
      <c r="C8" s="2">
        <v>32704</v>
      </c>
      <c r="D8" s="10">
        <f t="shared" si="2"/>
        <v>29</v>
      </c>
      <c r="F8" s="10">
        <v>0.14000000000000001</v>
      </c>
      <c r="G8" s="10">
        <v>1.65</v>
      </c>
      <c r="H8" s="3">
        <f t="shared" si="0"/>
        <v>0.95959835011331029</v>
      </c>
      <c r="J8" s="10" t="s">
        <v>352</v>
      </c>
      <c r="K8" s="2">
        <v>32916</v>
      </c>
      <c r="L8" s="10">
        <f t="shared" si="3"/>
        <v>29</v>
      </c>
      <c r="O8" s="10">
        <v>0.69</v>
      </c>
      <c r="P8" s="3">
        <f t="shared" si="1"/>
        <v>0.44105912865236063</v>
      </c>
    </row>
    <row r="9" spans="2:16" x14ac:dyDescent="0.3">
      <c r="B9" s="10" t="s">
        <v>333</v>
      </c>
      <c r="C9" s="2">
        <v>35793</v>
      </c>
      <c r="D9" s="10">
        <f t="shared" si="2"/>
        <v>21</v>
      </c>
      <c r="F9" s="10">
        <v>-0.01</v>
      </c>
      <c r="G9" s="10">
        <v>0.04</v>
      </c>
      <c r="H9" s="3">
        <f t="shared" si="0"/>
        <v>0.50603958229464441</v>
      </c>
      <c r="J9" s="10" t="s">
        <v>353</v>
      </c>
      <c r="K9" s="2">
        <v>35548</v>
      </c>
      <c r="L9" s="10">
        <f t="shared" si="3"/>
        <v>22</v>
      </c>
      <c r="M9" s="10">
        <v>0.15</v>
      </c>
      <c r="N9" s="10">
        <v>-0.12</v>
      </c>
      <c r="O9" s="10">
        <v>0.43</v>
      </c>
      <c r="P9" s="3">
        <f t="shared" si="1"/>
        <v>0.60200435604234381</v>
      </c>
    </row>
    <row r="10" spans="2:16" x14ac:dyDescent="0.3">
      <c r="B10" s="10" t="s">
        <v>334</v>
      </c>
      <c r="C10" s="2">
        <v>29513</v>
      </c>
      <c r="D10" s="10">
        <f t="shared" si="2"/>
        <v>38</v>
      </c>
      <c r="E10" s="10">
        <v>3.55</v>
      </c>
      <c r="F10" s="10">
        <v>2.2599999999999998</v>
      </c>
      <c r="G10" s="10">
        <v>0.03</v>
      </c>
      <c r="H10" s="3">
        <f t="shared" si="0"/>
        <v>0.57453149271244641</v>
      </c>
      <c r="J10" s="10" t="s">
        <v>354</v>
      </c>
      <c r="K10" s="2">
        <v>34192</v>
      </c>
      <c r="L10" s="10">
        <f t="shared" ref="L10:L24" si="4">DATEDIF(K10,$C$1,"y")</f>
        <v>25</v>
      </c>
      <c r="M10" s="10">
        <v>1.03</v>
      </c>
      <c r="N10" s="10">
        <v>1.66</v>
      </c>
      <c r="O10" s="10">
        <v>0.15</v>
      </c>
      <c r="P10" s="3">
        <f t="shared" si="1"/>
        <v>0.82025519926756474</v>
      </c>
    </row>
    <row r="11" spans="2:16" x14ac:dyDescent="0.3">
      <c r="B11" s="10" t="s">
        <v>335</v>
      </c>
      <c r="C11" s="2">
        <v>33237</v>
      </c>
      <c r="D11" s="10">
        <f t="shared" si="2"/>
        <v>28</v>
      </c>
      <c r="E11" s="10">
        <v>0.05</v>
      </c>
      <c r="F11" s="10">
        <v>3.49</v>
      </c>
      <c r="G11" s="10">
        <v>1.03</v>
      </c>
      <c r="H11" s="3">
        <f t="shared" si="0"/>
        <v>1.5148275771625581</v>
      </c>
      <c r="J11" s="10" t="s">
        <v>355</v>
      </c>
      <c r="K11" s="2">
        <v>33064</v>
      </c>
      <c r="L11" s="10">
        <f t="shared" si="4"/>
        <v>28</v>
      </c>
      <c r="M11" s="10">
        <v>-0.09</v>
      </c>
      <c r="N11" s="10">
        <v>0.72</v>
      </c>
      <c r="O11" s="10">
        <v>-0.11</v>
      </c>
      <c r="P11" s="3">
        <f t="shared" si="1"/>
        <v>0.27589404737171197</v>
      </c>
    </row>
    <row r="12" spans="2:16" x14ac:dyDescent="0.3">
      <c r="B12" s="10" t="s">
        <v>336</v>
      </c>
      <c r="C12" s="2">
        <v>31220</v>
      </c>
      <c r="D12" s="10">
        <f t="shared" si="2"/>
        <v>34</v>
      </c>
      <c r="E12" s="10">
        <v>3.85</v>
      </c>
      <c r="F12" s="10">
        <v>1.66</v>
      </c>
      <c r="G12" s="10">
        <v>0.99</v>
      </c>
      <c r="H12" s="3">
        <f t="shared" si="0"/>
        <v>1.09346890229356</v>
      </c>
      <c r="J12" s="10" t="s">
        <v>356</v>
      </c>
      <c r="K12" s="2">
        <v>34754</v>
      </c>
      <c r="L12" s="10">
        <f t="shared" si="4"/>
        <v>24</v>
      </c>
      <c r="M12" s="10">
        <v>1.84</v>
      </c>
      <c r="N12" s="10">
        <v>0.94</v>
      </c>
      <c r="O12" s="10">
        <v>-0.22</v>
      </c>
      <c r="P12" s="3">
        <f t="shared" si="1"/>
        <v>0.59128592716005335</v>
      </c>
    </row>
    <row r="13" spans="2:16" x14ac:dyDescent="0.3">
      <c r="B13" s="10" t="s">
        <v>337</v>
      </c>
      <c r="C13" s="2">
        <v>31175</v>
      </c>
      <c r="D13" s="10">
        <f t="shared" si="2"/>
        <v>34</v>
      </c>
      <c r="E13" s="10">
        <v>1.07</v>
      </c>
      <c r="F13" s="10">
        <v>2.21</v>
      </c>
      <c r="G13" s="10">
        <v>0.56999999999999995</v>
      </c>
      <c r="H13" s="3">
        <f t="shared" si="0"/>
        <v>0.80126640135527449</v>
      </c>
      <c r="J13" s="10" t="s">
        <v>357</v>
      </c>
      <c r="K13" s="2">
        <v>32803</v>
      </c>
      <c r="L13" s="10">
        <f t="shared" si="4"/>
        <v>29</v>
      </c>
      <c r="O13" s="10">
        <v>-0.24</v>
      </c>
      <c r="P13" s="3">
        <f t="shared" si="1"/>
        <v>1.7217003873915365E-2</v>
      </c>
    </row>
    <row r="14" spans="2:16" x14ac:dyDescent="0.3">
      <c r="B14" s="10" t="s">
        <v>338</v>
      </c>
      <c r="C14" s="2">
        <v>32648</v>
      </c>
      <c r="D14" s="10">
        <f t="shared" si="2"/>
        <v>30</v>
      </c>
      <c r="F14" s="10">
        <v>-0.11</v>
      </c>
      <c r="G14" s="10">
        <v>0.35</v>
      </c>
      <c r="H14" s="3">
        <f t="shared" si="0"/>
        <v>0.23064873209527381</v>
      </c>
      <c r="J14" s="10" t="s">
        <v>358</v>
      </c>
      <c r="K14" s="2">
        <v>31113</v>
      </c>
      <c r="L14" s="10">
        <f t="shared" si="4"/>
        <v>34</v>
      </c>
      <c r="M14" s="10">
        <v>1.52</v>
      </c>
      <c r="N14" s="10">
        <v>2.56</v>
      </c>
      <c r="O14" s="10">
        <v>-0.26</v>
      </c>
      <c r="P14" s="3">
        <f t="shared" si="1"/>
        <v>0.4959172292310125</v>
      </c>
    </row>
    <row r="15" spans="2:16" x14ac:dyDescent="0.3">
      <c r="B15" s="10" t="s">
        <v>339</v>
      </c>
      <c r="C15" s="2">
        <v>34979</v>
      </c>
      <c r="D15" s="10">
        <f t="shared" si="2"/>
        <v>23</v>
      </c>
      <c r="E15" s="10">
        <v>0.03</v>
      </c>
      <c r="G15" s="10">
        <v>-0.03</v>
      </c>
      <c r="H15" s="3">
        <f t="shared" si="0"/>
        <v>0.38826907658922882</v>
      </c>
      <c r="J15" s="10" t="s">
        <v>359</v>
      </c>
      <c r="K15" s="2">
        <v>33154</v>
      </c>
      <c r="L15" s="10">
        <f t="shared" si="4"/>
        <v>28</v>
      </c>
      <c r="O15" s="10">
        <v>-0.28000000000000003</v>
      </c>
      <c r="P15" s="3">
        <f t="shared" si="1"/>
        <v>4.118577397289553E-2</v>
      </c>
    </row>
    <row r="16" spans="2:16" x14ac:dyDescent="0.3">
      <c r="B16" s="10" t="s">
        <v>340</v>
      </c>
      <c r="C16" s="2">
        <v>33531</v>
      </c>
      <c r="D16" s="10">
        <f t="shared" si="2"/>
        <v>27</v>
      </c>
      <c r="F16" s="10">
        <v>-0.17</v>
      </c>
      <c r="G16" s="10">
        <v>-0.16</v>
      </c>
      <c r="H16" s="3">
        <f t="shared" si="0"/>
        <v>0.10469477735292605</v>
      </c>
      <c r="J16" s="10" t="s">
        <v>360</v>
      </c>
      <c r="K16" s="2">
        <v>32964</v>
      </c>
      <c r="L16" s="10">
        <f t="shared" si="4"/>
        <v>29</v>
      </c>
      <c r="M16" s="10">
        <v>0.19</v>
      </c>
      <c r="N16" s="10">
        <v>0.01</v>
      </c>
      <c r="O16" s="10">
        <v>0.14000000000000001</v>
      </c>
      <c r="P16" s="3">
        <f t="shared" si="1"/>
        <v>0.20711042895386397</v>
      </c>
    </row>
    <row r="17" spans="2:16" x14ac:dyDescent="0.3">
      <c r="B17" s="10" t="s">
        <v>341</v>
      </c>
      <c r="C17" s="2">
        <v>36528</v>
      </c>
      <c r="D17" s="10">
        <f t="shared" si="2"/>
        <v>19</v>
      </c>
      <c r="G17" s="10">
        <v>-0.24</v>
      </c>
      <c r="H17" s="3">
        <f t="shared" si="0"/>
        <v>0.46289857378473004</v>
      </c>
      <c r="J17" s="10" t="s">
        <v>361</v>
      </c>
      <c r="K17" s="2">
        <v>33513</v>
      </c>
      <c r="L17" s="10">
        <f t="shared" si="4"/>
        <v>27</v>
      </c>
      <c r="M17" s="10">
        <v>0.5</v>
      </c>
      <c r="N17" s="10">
        <v>-0.19</v>
      </c>
      <c r="O17" s="10">
        <v>0.06</v>
      </c>
      <c r="P17" s="3">
        <f t="shared" si="1"/>
        <v>0.23302033184255028</v>
      </c>
    </row>
    <row r="18" spans="2:16" x14ac:dyDescent="0.3">
      <c r="B18" s="10" t="s">
        <v>342</v>
      </c>
      <c r="C18" s="2">
        <v>34261</v>
      </c>
      <c r="D18" s="10">
        <f t="shared" si="2"/>
        <v>25</v>
      </c>
      <c r="F18" s="10">
        <v>0.22</v>
      </c>
      <c r="G18" s="10">
        <v>-0.33</v>
      </c>
      <c r="H18" s="3">
        <f t="shared" si="0"/>
        <v>0.2056536323194266</v>
      </c>
      <c r="J18" s="10" t="s">
        <v>362</v>
      </c>
      <c r="K18" s="2">
        <v>32763</v>
      </c>
      <c r="L18" s="10">
        <f t="shared" si="4"/>
        <v>29</v>
      </c>
      <c r="M18" s="10">
        <v>0.11</v>
      </c>
      <c r="N18" s="10">
        <v>0.05</v>
      </c>
      <c r="O18" s="10">
        <v>0.04</v>
      </c>
      <c r="P18" s="3">
        <f t="shared" si="1"/>
        <v>0.1645743017359555</v>
      </c>
    </row>
    <row r="19" spans="2:16" x14ac:dyDescent="0.3">
      <c r="B19" s="10" t="s">
        <v>343</v>
      </c>
      <c r="C19" s="2">
        <v>31862</v>
      </c>
      <c r="D19" s="10">
        <f t="shared" si="2"/>
        <v>32</v>
      </c>
      <c r="E19" s="10">
        <v>-0.1</v>
      </c>
      <c r="F19" s="10">
        <v>0.21</v>
      </c>
      <c r="G19" s="10">
        <v>-0.48</v>
      </c>
      <c r="H19" s="3">
        <f t="shared" si="0"/>
        <v>-0.18813037731643045</v>
      </c>
      <c r="J19" s="10" t="s">
        <v>363</v>
      </c>
      <c r="K19" s="2">
        <v>31580</v>
      </c>
      <c r="L19" s="10">
        <f t="shared" si="4"/>
        <v>33</v>
      </c>
      <c r="M19" s="10">
        <v>0.02</v>
      </c>
      <c r="N19" s="10">
        <v>-0.08</v>
      </c>
      <c r="O19" s="10">
        <v>0</v>
      </c>
      <c r="P19" s="3">
        <f t="shared" si="1"/>
        <v>-5.8909160313690728E-2</v>
      </c>
    </row>
    <row r="20" spans="2:16" x14ac:dyDescent="0.3">
      <c r="B20" s="10" t="s">
        <v>344</v>
      </c>
      <c r="C20" s="2">
        <v>36466</v>
      </c>
      <c r="D20" s="10">
        <f t="shared" si="2"/>
        <v>19</v>
      </c>
      <c r="G20" s="10">
        <v>-0.52</v>
      </c>
      <c r="H20" s="3">
        <f t="shared" si="0"/>
        <v>0.32840536787340963</v>
      </c>
      <c r="J20" s="10" t="s">
        <v>364</v>
      </c>
      <c r="K20" s="2">
        <v>31284</v>
      </c>
      <c r="L20" s="10">
        <f t="shared" si="4"/>
        <v>33</v>
      </c>
      <c r="M20" s="10">
        <v>3.25</v>
      </c>
      <c r="N20" s="10">
        <v>2.27</v>
      </c>
      <c r="O20" s="10">
        <v>-0.09</v>
      </c>
      <c r="P20" s="3">
        <f t="shared" si="1"/>
        <v>0.68091562379778903</v>
      </c>
    </row>
    <row r="21" spans="2:16" x14ac:dyDescent="0.3">
      <c r="B21" s="10" t="s">
        <v>345</v>
      </c>
      <c r="C21" s="2">
        <v>34532</v>
      </c>
      <c r="D21" s="10">
        <f t="shared" si="2"/>
        <v>24</v>
      </c>
      <c r="E21" s="10">
        <v>-0.06</v>
      </c>
      <c r="F21" s="10">
        <v>-0.05</v>
      </c>
      <c r="G21" s="10">
        <f>-0.52+0.33</f>
        <v>-0.19</v>
      </c>
      <c r="H21" s="3">
        <f t="shared" si="0"/>
        <v>0.24772723443321931</v>
      </c>
      <c r="J21" s="10" t="s">
        <v>593</v>
      </c>
      <c r="K21" s="2">
        <v>32507</v>
      </c>
      <c r="L21" s="10">
        <f t="shared" si="4"/>
        <v>30</v>
      </c>
      <c r="M21" s="3">
        <f>ROUND('MILB &amp; MLB'!W305,2)</f>
        <v>1.91</v>
      </c>
      <c r="N21" s="3">
        <f>ROUND(SUM('MILB &amp; MLB'!W306:W307),2)</f>
        <v>3.34</v>
      </c>
      <c r="O21" s="3">
        <f>ROUND(SUM('MILB &amp; MLB'!W308:W309),2)</f>
        <v>1.94</v>
      </c>
      <c r="P21" s="3">
        <f t="shared" si="1"/>
        <v>1.8747122894670658</v>
      </c>
    </row>
    <row r="22" spans="2:16" x14ac:dyDescent="0.3">
      <c r="B22" s="10" t="s">
        <v>346</v>
      </c>
      <c r="C22" s="2">
        <v>32544</v>
      </c>
      <c r="D22" s="10">
        <f t="shared" si="2"/>
        <v>30</v>
      </c>
      <c r="E22" s="10">
        <v>0.15</v>
      </c>
      <c r="F22" s="10">
        <v>0.25</v>
      </c>
      <c r="G22" s="10">
        <v>-0.76</v>
      </c>
      <c r="H22" s="3">
        <f t="shared" si="0"/>
        <v>-0.20405252272524416</v>
      </c>
      <c r="J22" s="10" t="s">
        <v>594</v>
      </c>
      <c r="K22" s="2">
        <v>33310</v>
      </c>
      <c r="L22" s="10">
        <f t="shared" si="4"/>
        <v>28</v>
      </c>
      <c r="M22" s="3">
        <f>ROUND(SUM('MILB &amp; MLB'!W321:W322),2)</f>
        <v>5.79</v>
      </c>
      <c r="N22" s="3">
        <f>ROUND(SUM('MILB &amp; MLB'!W323:W324),2)</f>
        <v>5.33</v>
      </c>
      <c r="O22" s="3">
        <f>ROUND(SUM('MILB &amp; MLB'!W325:W327),2)</f>
        <v>2.08</v>
      </c>
      <c r="P22" s="3">
        <f t="shared" si="1"/>
        <v>2.7710936529222372</v>
      </c>
    </row>
    <row r="23" spans="2:16" x14ac:dyDescent="0.3">
      <c r="B23" s="10" t="s">
        <v>347</v>
      </c>
      <c r="C23" s="2">
        <v>30758</v>
      </c>
      <c r="D23" s="10">
        <f t="shared" si="2"/>
        <v>35</v>
      </c>
      <c r="E23" s="10">
        <v>-0.94</v>
      </c>
      <c r="F23" s="10">
        <v>0.44</v>
      </c>
      <c r="G23" s="10">
        <v>-0.87</v>
      </c>
      <c r="H23" s="3">
        <f t="shared" si="0"/>
        <v>-0.52089432130733648</v>
      </c>
      <c r="J23" s="10" t="s">
        <v>730</v>
      </c>
      <c r="K23" s="2">
        <v>32213</v>
      </c>
      <c r="L23" s="10">
        <f t="shared" si="4"/>
        <v>31</v>
      </c>
      <c r="M23" s="10">
        <v>-0.17</v>
      </c>
      <c r="N23" s="10">
        <v>0.44</v>
      </c>
      <c r="O23" s="10">
        <v>0.06</v>
      </c>
      <c r="P23" s="3">
        <f t="shared" si="1"/>
        <v>0.15689416765494421</v>
      </c>
    </row>
    <row r="24" spans="2:16" x14ac:dyDescent="0.3">
      <c r="B24" s="10" t="s">
        <v>513</v>
      </c>
      <c r="C24" s="2">
        <v>33483</v>
      </c>
      <c r="D24" s="10">
        <f t="shared" si="2"/>
        <v>27</v>
      </c>
      <c r="E24" s="3">
        <f>ROUND('MILB &amp; MLB'!AM136,2)</f>
        <v>1.65</v>
      </c>
      <c r="F24" s="3">
        <f>ROUND(SUM('MILB &amp; MLB'!AM137:AM138),2)</f>
        <v>-0.05</v>
      </c>
      <c r="G24" s="3">
        <f>ROUND('MILB &amp; MLB'!AM139,2)</f>
        <v>0.78</v>
      </c>
      <c r="H24" s="3">
        <f t="shared" si="0"/>
        <v>0.71711919712768912</v>
      </c>
      <c r="J24" s="10" t="s">
        <v>731</v>
      </c>
      <c r="K24" s="2">
        <v>33994</v>
      </c>
      <c r="L24" s="10">
        <f t="shared" si="4"/>
        <v>26</v>
      </c>
      <c r="M24" s="10">
        <v>0.1</v>
      </c>
      <c r="N24" s="10">
        <v>-0.26</v>
      </c>
      <c r="P24" s="3">
        <f t="shared" si="1"/>
        <v>0.20154022181818548</v>
      </c>
    </row>
    <row r="25" spans="2:16" x14ac:dyDescent="0.3">
      <c r="B25" s="10" t="s">
        <v>732</v>
      </c>
      <c r="C25" s="2">
        <v>34528</v>
      </c>
      <c r="D25" s="10">
        <f t="shared" si="2"/>
        <v>24</v>
      </c>
      <c r="F25" s="10">
        <v>0</v>
      </c>
      <c r="H25" s="3">
        <f t="shared" si="0"/>
        <v>0.35580213204053046</v>
      </c>
    </row>
    <row r="26" spans="2:16" x14ac:dyDescent="0.3">
      <c r="B26" s="10" t="s">
        <v>733</v>
      </c>
      <c r="C26" s="2">
        <v>34070</v>
      </c>
      <c r="D26" s="10">
        <f t="shared" si="2"/>
        <v>26</v>
      </c>
      <c r="G26" s="10">
        <v>-0.05</v>
      </c>
      <c r="H26" s="3">
        <f t="shared" si="0"/>
        <v>0.24283495511766204</v>
      </c>
    </row>
    <row r="27" spans="2:16" x14ac:dyDescent="0.3">
      <c r="H27" s="3"/>
    </row>
    <row r="28" spans="2:16" x14ac:dyDescent="0.3">
      <c r="H28" s="3"/>
      <c r="P28" s="3"/>
    </row>
    <row r="29" spans="2:16" x14ac:dyDescent="0.3">
      <c r="H29" s="3"/>
      <c r="P29" s="3"/>
    </row>
    <row r="30" spans="2:16" x14ac:dyDescent="0.3">
      <c r="H30" s="3"/>
      <c r="P30" s="3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AN446"/>
  <sheetViews>
    <sheetView topLeftCell="P42" zoomScaleNormal="100" workbookViewId="0">
      <selection activeCell="T286" sqref="T286:V286"/>
    </sheetView>
  </sheetViews>
  <sheetFormatPr defaultColWidth="9" defaultRowHeight="16.5" x14ac:dyDescent="0.3"/>
  <cols>
    <col min="1" max="1" width="9" style="5"/>
    <col min="2" max="2" width="22.25" style="5" customWidth="1"/>
    <col min="3" max="4" width="9" style="5" customWidth="1"/>
    <col min="5" max="5" width="10.375" style="5" customWidth="1"/>
    <col min="6" max="15" width="9" style="5" customWidth="1"/>
    <col min="16" max="16" width="8.875" style="5" customWidth="1"/>
    <col min="17" max="29" width="9" style="5" customWidth="1"/>
    <col min="30" max="30" width="9" style="5"/>
    <col min="31" max="31" width="9" style="10"/>
    <col min="32" max="32" width="9" style="5"/>
    <col min="33" max="33" width="9" style="10"/>
    <col min="34" max="35" width="9" style="5"/>
    <col min="36" max="36" width="9" style="10"/>
    <col min="37" max="37" width="9" style="5"/>
    <col min="38" max="38" width="9" style="10"/>
    <col min="39" max="16384" width="9" style="5"/>
  </cols>
  <sheetData>
    <row r="2" spans="2:33" x14ac:dyDescent="0.3">
      <c r="B2" s="5" t="s">
        <v>171</v>
      </c>
      <c r="C2" s="5" t="s">
        <v>177</v>
      </c>
      <c r="D2" s="5" t="s">
        <v>492</v>
      </c>
      <c r="F2" s="5" t="s">
        <v>434</v>
      </c>
      <c r="G2" s="5" t="s">
        <v>447</v>
      </c>
      <c r="H2" s="5" t="s">
        <v>435</v>
      </c>
      <c r="I2" s="5" t="s">
        <v>436</v>
      </c>
      <c r="J2" s="5" t="s">
        <v>437</v>
      </c>
      <c r="K2" s="5" t="s">
        <v>438</v>
      </c>
      <c r="L2" s="5" t="s">
        <v>439</v>
      </c>
      <c r="M2" s="5" t="s">
        <v>440</v>
      </c>
      <c r="N2" s="5" t="s">
        <v>441</v>
      </c>
      <c r="O2" s="5" t="s">
        <v>442</v>
      </c>
      <c r="P2" s="5" t="s">
        <v>443</v>
      </c>
      <c r="Q2" s="5" t="s">
        <v>444</v>
      </c>
      <c r="R2" s="5" t="s">
        <v>445</v>
      </c>
      <c r="S2" s="5" t="s">
        <v>446</v>
      </c>
      <c r="T2" s="5" t="s">
        <v>448</v>
      </c>
      <c r="U2" s="5" t="s">
        <v>449</v>
      </c>
      <c r="V2" s="5" t="s">
        <v>450</v>
      </c>
      <c r="W2" s="5" t="s">
        <v>451</v>
      </c>
      <c r="X2" s="5" t="s">
        <v>452</v>
      </c>
      <c r="Y2" s="5" t="s">
        <v>453</v>
      </c>
      <c r="Z2" s="5" t="s">
        <v>454</v>
      </c>
      <c r="AA2" s="5" t="s">
        <v>497</v>
      </c>
      <c r="AB2" s="5" t="s">
        <v>498</v>
      </c>
      <c r="AC2" s="5" t="s">
        <v>499</v>
      </c>
      <c r="AD2" s="5" t="s">
        <v>500</v>
      </c>
      <c r="AE2" s="10" t="s">
        <v>559</v>
      </c>
      <c r="AF2" s="5" t="s">
        <v>550</v>
      </c>
      <c r="AG2" s="5" t="s">
        <v>561</v>
      </c>
    </row>
    <row r="3" spans="2:33" x14ac:dyDescent="0.3">
      <c r="B3" s="5" t="s">
        <v>178</v>
      </c>
      <c r="C3" s="7">
        <v>1.107</v>
      </c>
      <c r="D3" s="5">
        <v>0.29699999999999999</v>
      </c>
      <c r="F3" s="5">
        <v>2018</v>
      </c>
      <c r="G3" s="5">
        <v>0.35099999999999998</v>
      </c>
      <c r="H3" s="5">
        <v>1.075</v>
      </c>
      <c r="I3" s="5">
        <v>0.72599999999999998</v>
      </c>
      <c r="J3" s="5">
        <v>0.753</v>
      </c>
      <c r="K3" s="5">
        <v>0.92</v>
      </c>
      <c r="L3" s="5">
        <v>1.242</v>
      </c>
      <c r="M3" s="5">
        <v>1.5329999999999999</v>
      </c>
      <c r="N3" s="5">
        <v>1.857</v>
      </c>
      <c r="O3" s="5">
        <v>0.2</v>
      </c>
      <c r="P3" s="5">
        <v>0.49199999999999999</v>
      </c>
      <c r="Q3" s="5">
        <v>0.14099999999999999</v>
      </c>
      <c r="R3" s="5">
        <v>11.327</v>
      </c>
      <c r="S3" s="5">
        <v>3.8330000000000002</v>
      </c>
      <c r="T3" s="3">
        <f>((U3*O3)-(P3*V3))/(W3+X3+Y3+Z3)</f>
        <v>-3.4289397357396026E-4</v>
      </c>
      <c r="U3" s="5">
        <v>982</v>
      </c>
      <c r="V3" s="5">
        <v>410</v>
      </c>
      <c r="W3" s="5">
        <f>14445-2639-187-1756</f>
        <v>9863</v>
      </c>
      <c r="X3" s="5">
        <v>4622</v>
      </c>
      <c r="Y3" s="5">
        <v>860</v>
      </c>
      <c r="Z3" s="5">
        <v>170</v>
      </c>
      <c r="AA3" s="3">
        <v>11</v>
      </c>
      <c r="AB3" s="5">
        <v>144</v>
      </c>
      <c r="AC3" s="5">
        <v>11.18</v>
      </c>
      <c r="AD3" s="5">
        <v>17.7</v>
      </c>
      <c r="AE3" s="10">
        <v>5.67</v>
      </c>
      <c r="AF3" s="10">
        <v>5.64</v>
      </c>
      <c r="AG3" s="5">
        <v>5.64</v>
      </c>
    </row>
    <row r="4" spans="2:33" x14ac:dyDescent="0.3">
      <c r="B4" s="5" t="s">
        <v>179</v>
      </c>
      <c r="C4" s="7">
        <v>1</v>
      </c>
      <c r="D4" s="7">
        <v>0.3</v>
      </c>
      <c r="F4" s="5">
        <v>2017</v>
      </c>
      <c r="G4" s="5">
        <v>0.35099999999999998</v>
      </c>
      <c r="H4" s="5">
        <v>1.107</v>
      </c>
      <c r="I4" s="5">
        <v>0.72799999999999998</v>
      </c>
      <c r="J4" s="5">
        <v>0.75600000000000001</v>
      </c>
      <c r="K4" s="5">
        <v>0.92700000000000005</v>
      </c>
      <c r="L4" s="5">
        <v>1.2589999999999999</v>
      </c>
      <c r="M4" s="5">
        <v>1.5580000000000001</v>
      </c>
      <c r="N4" s="5">
        <v>1.901</v>
      </c>
      <c r="O4" s="5">
        <v>0.2</v>
      </c>
      <c r="P4" s="5">
        <v>0.47599999999999998</v>
      </c>
      <c r="Q4" s="5">
        <v>0.13500000000000001</v>
      </c>
      <c r="R4" s="5">
        <v>11.000999999999999</v>
      </c>
      <c r="S4" s="5">
        <v>3.7349999999999999</v>
      </c>
      <c r="T4" s="3">
        <f>((U4*O4)-(P4*V4))/(W4+X4+Y4+Z4)</f>
        <v>-2.4280165552371842E-3</v>
      </c>
      <c r="U4" s="5">
        <v>778</v>
      </c>
      <c r="V4" s="5">
        <v>407</v>
      </c>
      <c r="W4" s="5">
        <f>14397-2584-219-1547</f>
        <v>10047</v>
      </c>
      <c r="X4" s="5">
        <v>4520</v>
      </c>
      <c r="Y4" s="5">
        <v>953</v>
      </c>
      <c r="Z4" s="5">
        <v>185</v>
      </c>
      <c r="AA4" s="3">
        <v>10.67</v>
      </c>
      <c r="AB4" s="5">
        <v>144</v>
      </c>
      <c r="AC4" s="5">
        <v>10.77</v>
      </c>
      <c r="AD4" s="5">
        <v>18.2</v>
      </c>
      <c r="AE4" s="10">
        <v>5.41</v>
      </c>
      <c r="AF4" s="10">
        <v>4.9800000000000004</v>
      </c>
      <c r="AG4" s="5">
        <v>4.9800000000000004</v>
      </c>
    </row>
    <row r="5" spans="2:33" x14ac:dyDescent="0.3">
      <c r="B5" s="5" t="s">
        <v>180</v>
      </c>
      <c r="C5" s="7">
        <v>0.75900000000000001</v>
      </c>
      <c r="D5" s="5">
        <v>0.32300000000000001</v>
      </c>
      <c r="F5" s="5">
        <v>2016</v>
      </c>
      <c r="G5" s="5">
        <v>0.36199999999999999</v>
      </c>
      <c r="H5" s="5">
        <v>1.097</v>
      </c>
      <c r="I5" s="5">
        <v>0.747</v>
      </c>
      <c r="J5" s="5">
        <v>0.77400000000000002</v>
      </c>
      <c r="K5" s="5">
        <v>0.94399999999999995</v>
      </c>
      <c r="L5" s="5">
        <v>1.2729999999999999</v>
      </c>
      <c r="M5" s="5">
        <v>1.569</v>
      </c>
      <c r="N5" s="5">
        <v>1.8979999999999999</v>
      </c>
      <c r="O5" s="5">
        <v>0.2</v>
      </c>
      <c r="P5" s="5">
        <v>0.495</v>
      </c>
      <c r="Q5" s="5">
        <v>0.14000000000000001</v>
      </c>
      <c r="R5" s="5">
        <v>11.41</v>
      </c>
      <c r="S5" s="5">
        <v>3.7919999999999998</v>
      </c>
      <c r="T5" s="3">
        <f>((U5*O5)-(P5*V5))/(W5+X5+Y5+Z5)</f>
        <v>-3.5508942503901068E-3</v>
      </c>
      <c r="U5" s="5">
        <v>1058</v>
      </c>
      <c r="V5" s="5">
        <v>547</v>
      </c>
      <c r="W5" s="5">
        <f>14560-2480-248-1483</f>
        <v>10349</v>
      </c>
      <c r="X5" s="5">
        <v>5373</v>
      </c>
      <c r="Y5" s="5">
        <v>800</v>
      </c>
      <c r="Z5" s="5">
        <v>140</v>
      </c>
      <c r="AA5" s="3">
        <v>11.21</v>
      </c>
      <c r="AB5" s="5">
        <v>144</v>
      </c>
      <c r="AC5" s="5">
        <v>11.42</v>
      </c>
      <c r="AD5" s="5">
        <v>17.5</v>
      </c>
      <c r="AE5" s="10">
        <v>5.64</v>
      </c>
      <c r="AF5" s="10">
        <v>5.19</v>
      </c>
      <c r="AG5" s="5">
        <v>5.19</v>
      </c>
    </row>
    <row r="6" spans="2:33" x14ac:dyDescent="0.3">
      <c r="B6" s="5" t="s">
        <v>181</v>
      </c>
      <c r="C6" s="7">
        <v>0.80200000000000005</v>
      </c>
      <c r="D6" s="5">
        <v>0.308</v>
      </c>
    </row>
    <row r="7" spans="2:33" x14ac:dyDescent="0.3">
      <c r="B7" s="5" t="s">
        <v>182</v>
      </c>
      <c r="C7" s="7">
        <v>0.75900000000000001</v>
      </c>
      <c r="D7" s="5">
        <v>0.30099999999999999</v>
      </c>
      <c r="F7" s="5" t="s">
        <v>473</v>
      </c>
      <c r="G7" s="5" t="s">
        <v>465</v>
      </c>
      <c r="H7" s="5" t="s">
        <v>451</v>
      </c>
      <c r="I7" s="5" t="s">
        <v>466</v>
      </c>
      <c r="J7" s="5" t="s">
        <v>467</v>
      </c>
      <c r="K7" s="5" t="s">
        <v>468</v>
      </c>
      <c r="L7" s="5" t="s">
        <v>469</v>
      </c>
      <c r="M7" s="5" t="s">
        <v>470</v>
      </c>
      <c r="N7" s="5" t="s">
        <v>471</v>
      </c>
      <c r="O7" s="5" t="s">
        <v>472</v>
      </c>
    </row>
    <row r="8" spans="2:33" x14ac:dyDescent="0.3">
      <c r="B8" s="5" t="s">
        <v>183</v>
      </c>
      <c r="C8" s="7">
        <v>0.80200000000000005</v>
      </c>
      <c r="D8" s="5">
        <v>0.29599999999999999</v>
      </c>
      <c r="F8" s="5" t="s">
        <v>474</v>
      </c>
      <c r="G8" s="5">
        <v>12.5</v>
      </c>
      <c r="H8" s="5">
        <v>-12.5</v>
      </c>
      <c r="I8" s="5">
        <v>2.5</v>
      </c>
      <c r="J8" s="5">
        <v>2.5</v>
      </c>
      <c r="K8" s="5">
        <v>7.5</v>
      </c>
      <c r="L8" s="5">
        <v>-7.5</v>
      </c>
      <c r="M8" s="5">
        <v>2.5</v>
      </c>
      <c r="N8" s="5">
        <v>-7.5</v>
      </c>
      <c r="O8" s="5">
        <v>-17.5</v>
      </c>
    </row>
    <row r="9" spans="2:33" x14ac:dyDescent="0.3">
      <c r="B9" s="5" t="s">
        <v>175</v>
      </c>
      <c r="C9" s="7">
        <v>0.73399999999999999</v>
      </c>
      <c r="D9" s="5">
        <v>0.32900000000000001</v>
      </c>
    </row>
    <row r="10" spans="2:33" s="10" customFormat="1" x14ac:dyDescent="0.3">
      <c r="B10" s="10" t="s">
        <v>462</v>
      </c>
      <c r="C10" s="7">
        <v>0.66700000000000004</v>
      </c>
      <c r="D10" s="10">
        <v>0.309</v>
      </c>
    </row>
    <row r="11" spans="2:33" s="10" customFormat="1" x14ac:dyDescent="0.3">
      <c r="B11" s="10" t="s">
        <v>463</v>
      </c>
      <c r="C11" s="7">
        <v>0.67100000000000004</v>
      </c>
      <c r="D11" s="10">
        <v>0.30399999999999999</v>
      </c>
    </row>
    <row r="12" spans="2:33" s="10" customFormat="1" x14ac:dyDescent="0.3">
      <c r="B12" s="10" t="s">
        <v>464</v>
      </c>
      <c r="C12" s="7">
        <v>0.69699999999999995</v>
      </c>
      <c r="D12" s="10">
        <v>0.308</v>
      </c>
    </row>
    <row r="13" spans="2:33" s="10" customFormat="1" x14ac:dyDescent="0.3">
      <c r="B13" s="10" t="s">
        <v>552</v>
      </c>
      <c r="C13" s="7">
        <v>0.55600000000000005</v>
      </c>
    </row>
    <row r="14" spans="2:33" s="10" customFormat="1" x14ac:dyDescent="0.3">
      <c r="B14" s="10" t="s">
        <v>553</v>
      </c>
      <c r="C14" s="7">
        <v>0.57699999999999996</v>
      </c>
    </row>
    <row r="15" spans="2:33" s="10" customFormat="1" x14ac:dyDescent="0.3">
      <c r="B15" s="10" t="s">
        <v>554</v>
      </c>
      <c r="C15" s="7">
        <v>0.59499999999999997</v>
      </c>
    </row>
    <row r="16" spans="2:33" x14ac:dyDescent="0.3">
      <c r="C16" s="7"/>
    </row>
    <row r="17" spans="1:40" x14ac:dyDescent="0.3">
      <c r="B17" s="5" t="s">
        <v>146</v>
      </c>
      <c r="C17" s="5" t="s">
        <v>176</v>
      </c>
      <c r="D17" s="5" t="s">
        <v>173</v>
      </c>
      <c r="E17" s="5" t="s">
        <v>171</v>
      </c>
      <c r="F17" s="5" t="s">
        <v>148</v>
      </c>
      <c r="G17" s="5" t="s">
        <v>149</v>
      </c>
      <c r="H17" s="5" t="s">
        <v>150</v>
      </c>
      <c r="I17" s="5" t="s">
        <v>151</v>
      </c>
      <c r="J17" s="5" t="s">
        <v>152</v>
      </c>
      <c r="K17" s="5" t="s">
        <v>184</v>
      </c>
      <c r="L17" s="5" t="s">
        <v>153</v>
      </c>
      <c r="M17" s="5" t="s">
        <v>154</v>
      </c>
      <c r="N17" s="5" t="s">
        <v>155</v>
      </c>
      <c r="O17" s="5" t="s">
        <v>156</v>
      </c>
      <c r="P17" s="5" t="s">
        <v>157</v>
      </c>
      <c r="Q17" s="5" t="s">
        <v>158</v>
      </c>
      <c r="R17" s="5" t="s">
        <v>159</v>
      </c>
      <c r="S17" s="5" t="s">
        <v>160</v>
      </c>
      <c r="T17" s="5" t="s">
        <v>161</v>
      </c>
      <c r="U17" s="5" t="s">
        <v>162</v>
      </c>
      <c r="V17" s="5" t="s">
        <v>163</v>
      </c>
      <c r="W17" s="5" t="s">
        <v>164</v>
      </c>
      <c r="X17" s="5" t="s">
        <v>165</v>
      </c>
      <c r="Y17" s="5" t="s">
        <v>166</v>
      </c>
      <c r="Z17" s="5" t="s">
        <v>167</v>
      </c>
      <c r="AA17" s="5" t="s">
        <v>168</v>
      </c>
      <c r="AB17" s="5" t="s">
        <v>169</v>
      </c>
      <c r="AC17" s="5" t="s">
        <v>170</v>
      </c>
      <c r="AD17" s="6"/>
    </row>
    <row r="18" spans="1:40" x14ac:dyDescent="0.3">
      <c r="B18" s="5" t="s">
        <v>147</v>
      </c>
      <c r="C18" s="5">
        <v>30</v>
      </c>
      <c r="D18" s="5">
        <v>2016</v>
      </c>
      <c r="E18" s="5" t="s">
        <v>172</v>
      </c>
      <c r="F18" s="5">
        <v>30</v>
      </c>
      <c r="G18" s="5">
        <v>85</v>
      </c>
      <c r="H18" s="5">
        <v>71</v>
      </c>
      <c r="I18" s="5">
        <v>7</v>
      </c>
      <c r="J18" s="5">
        <v>8</v>
      </c>
      <c r="K18" s="5">
        <f>J18-L18-M18-N18</f>
        <v>7</v>
      </c>
      <c r="L18" s="5">
        <v>1</v>
      </c>
      <c r="M18" s="5">
        <v>0</v>
      </c>
      <c r="N18" s="5">
        <v>0</v>
      </c>
      <c r="O18" s="5">
        <v>2</v>
      </c>
      <c r="P18" s="5">
        <v>0</v>
      </c>
      <c r="Q18" s="5">
        <v>0</v>
      </c>
      <c r="R18" s="5">
        <v>12</v>
      </c>
      <c r="S18" s="5">
        <v>30</v>
      </c>
      <c r="T18" s="5">
        <v>0.113</v>
      </c>
      <c r="U18" s="7">
        <f t="shared" ref="U18:U19" si="0">(J18+R18+Z18)/(H18+R18+Z18+AB18)</f>
        <v>0.24705882352941178</v>
      </c>
      <c r="V18" s="5">
        <v>0.127</v>
      </c>
      <c r="W18" s="5">
        <v>0.374</v>
      </c>
      <c r="X18" s="5">
        <v>9</v>
      </c>
      <c r="Y18" s="5">
        <v>2</v>
      </c>
      <c r="Z18" s="5">
        <v>1</v>
      </c>
      <c r="AA18" s="5">
        <v>0</v>
      </c>
      <c r="AB18" s="5">
        <v>1</v>
      </c>
      <c r="AC18" s="5">
        <v>0</v>
      </c>
    </row>
    <row r="19" spans="1:40" x14ac:dyDescent="0.3">
      <c r="B19" s="5" t="s">
        <v>147</v>
      </c>
      <c r="C19" s="5">
        <v>31</v>
      </c>
      <c r="D19" s="5">
        <v>2017</v>
      </c>
      <c r="E19" s="5" t="s">
        <v>174</v>
      </c>
      <c r="F19" s="5">
        <v>25</v>
      </c>
      <c r="G19" s="5">
        <v>102</v>
      </c>
      <c r="H19" s="5">
        <v>95</v>
      </c>
      <c r="I19" s="5">
        <v>24</v>
      </c>
      <c r="J19" s="5">
        <v>33</v>
      </c>
      <c r="K19" s="5">
        <f>J19-L19-M19-N19</f>
        <v>13</v>
      </c>
      <c r="L19" s="5">
        <v>8</v>
      </c>
      <c r="M19" s="5">
        <v>1</v>
      </c>
      <c r="N19" s="5">
        <v>11</v>
      </c>
      <c r="O19" s="5">
        <v>25</v>
      </c>
      <c r="P19" s="5">
        <v>2</v>
      </c>
      <c r="Q19" s="5">
        <v>1</v>
      </c>
      <c r="R19" s="5">
        <v>6</v>
      </c>
      <c r="S19" s="5">
        <v>25</v>
      </c>
      <c r="T19" s="5">
        <v>0.34699999999999998</v>
      </c>
      <c r="U19" s="7">
        <f t="shared" si="0"/>
        <v>0.39215686274509803</v>
      </c>
      <c r="V19" s="5">
        <v>0.8</v>
      </c>
      <c r="W19" s="5">
        <v>1.1919999999999999</v>
      </c>
      <c r="X19" s="5">
        <v>76</v>
      </c>
      <c r="Y19" s="5">
        <v>2</v>
      </c>
      <c r="Z19" s="5">
        <v>1</v>
      </c>
      <c r="AA19" s="5">
        <v>0</v>
      </c>
      <c r="AB19" s="5">
        <v>0</v>
      </c>
      <c r="AC19" s="5">
        <v>0</v>
      </c>
    </row>
    <row r="21" spans="1:40" x14ac:dyDescent="0.3">
      <c r="B21" s="5" t="s">
        <v>146</v>
      </c>
      <c r="C21" s="5" t="s">
        <v>176</v>
      </c>
      <c r="D21" s="5" t="s">
        <v>173</v>
      </c>
      <c r="E21" s="5" t="s">
        <v>171</v>
      </c>
      <c r="F21" s="5" t="s">
        <v>148</v>
      </c>
      <c r="G21" s="5" t="s">
        <v>149</v>
      </c>
      <c r="H21" s="5" t="s">
        <v>150</v>
      </c>
      <c r="I21" s="5" t="s">
        <v>151</v>
      </c>
      <c r="J21" s="5" t="s">
        <v>152</v>
      </c>
      <c r="K21" s="5" t="s">
        <v>184</v>
      </c>
      <c r="L21" s="5" t="s">
        <v>153</v>
      </c>
      <c r="M21" s="5" t="s">
        <v>154</v>
      </c>
      <c r="N21" s="5" t="s">
        <v>155</v>
      </c>
      <c r="O21" s="5" t="s">
        <v>156</v>
      </c>
      <c r="P21" s="5" t="s">
        <v>157</v>
      </c>
      <c r="Q21" s="5" t="s">
        <v>158</v>
      </c>
      <c r="R21" s="5" t="s">
        <v>159</v>
      </c>
      <c r="S21" s="5" t="s">
        <v>160</v>
      </c>
      <c r="T21" s="5" t="s">
        <v>161</v>
      </c>
      <c r="U21" s="5" t="s">
        <v>162</v>
      </c>
      <c r="V21" s="5" t="s">
        <v>163</v>
      </c>
      <c r="W21" s="5" t="s">
        <v>164</v>
      </c>
      <c r="X21" s="5" t="s">
        <v>165</v>
      </c>
      <c r="Y21" s="5" t="s">
        <v>166</v>
      </c>
      <c r="Z21" s="5" t="s">
        <v>167</v>
      </c>
      <c r="AA21" s="5" t="s">
        <v>168</v>
      </c>
      <c r="AB21" s="5" t="s">
        <v>169</v>
      </c>
      <c r="AC21" s="5" t="s">
        <v>170</v>
      </c>
      <c r="AD21" s="5" t="s">
        <v>185</v>
      </c>
      <c r="AE21" s="10" t="s">
        <v>504</v>
      </c>
      <c r="AF21" s="10" t="s">
        <v>496</v>
      </c>
      <c r="AG21" s="10" t="s">
        <v>502</v>
      </c>
      <c r="AH21" s="5" t="s">
        <v>461</v>
      </c>
      <c r="AI21" s="10" t="s">
        <v>431</v>
      </c>
      <c r="AJ21" s="10" t="s">
        <v>501</v>
      </c>
      <c r="AK21" s="5" t="s">
        <v>432</v>
      </c>
      <c r="AL21" s="10" t="s">
        <v>499</v>
      </c>
      <c r="AM21" s="5" t="s">
        <v>433</v>
      </c>
    </row>
    <row r="22" spans="1:40" x14ac:dyDescent="0.3">
      <c r="A22" s="5" t="s">
        <v>523</v>
      </c>
      <c r="B22" s="5" t="s">
        <v>147</v>
      </c>
      <c r="C22" s="5">
        <v>30</v>
      </c>
      <c r="D22" s="5">
        <v>2016</v>
      </c>
      <c r="E22" s="5" t="s">
        <v>175</v>
      </c>
      <c r="F22" s="5">
        <f>F18</f>
        <v>30</v>
      </c>
      <c r="G22" s="10">
        <f t="shared" ref="G22:AC23" si="1">G18</f>
        <v>85</v>
      </c>
      <c r="H22" s="5">
        <f>H18</f>
        <v>71</v>
      </c>
      <c r="I22" s="9">
        <f>I18*($C$7/$C$9)</f>
        <v>7.2384196185286109</v>
      </c>
      <c r="J22" s="9">
        <f>K22+L22+M22+N22</f>
        <v>7.9513496218578599</v>
      </c>
      <c r="K22" s="9">
        <f>K18*($C$7/$C$9)*(D9/D7)*(100/113)</f>
        <v>7.0015583879572914</v>
      </c>
      <c r="L22" s="9">
        <f>L18*($C$7/$C$9)*(D9/D7)*(100/119)</f>
        <v>0.94979123390056885</v>
      </c>
      <c r="M22" s="9">
        <f>M18*($C$7/$C$9)*(D9/D7)</f>
        <v>0</v>
      </c>
      <c r="N22" s="9">
        <f t="shared" ref="N22:Q22" si="2">N18*($C$7/$C$9)</f>
        <v>0</v>
      </c>
      <c r="O22" s="9">
        <f t="shared" si="2"/>
        <v>2.0681198910081746</v>
      </c>
      <c r="P22" s="9">
        <f t="shared" si="2"/>
        <v>0</v>
      </c>
      <c r="Q22" s="9">
        <f t="shared" si="2"/>
        <v>0</v>
      </c>
      <c r="R22" s="9">
        <f>R18*($C$7/$C$9)*(100/92)</f>
        <v>13.487738419618529</v>
      </c>
      <c r="S22" s="9">
        <f>S18*($C$9/$C$7)</f>
        <v>29.011857707509883</v>
      </c>
      <c r="T22" s="7">
        <f>J22/H22</f>
        <v>0.11199083974447691</v>
      </c>
      <c r="U22" s="7">
        <f t="shared" ref="U22:U23" si="3">(J22+R22+Z22)/(H22+R22+Z22+AB22)</f>
        <v>0.25944819984316292</v>
      </c>
      <c r="V22" s="7">
        <f>X22/H22</f>
        <v>0.12536818106702013</v>
      </c>
      <c r="W22" s="8">
        <f>U22+V22</f>
        <v>0.38481638091018305</v>
      </c>
      <c r="X22" s="9">
        <f>K22+L22*2+3*M22+4*N22</f>
        <v>8.9011408557584293</v>
      </c>
      <c r="Y22" s="9">
        <f>Y18*($C$9/$C$7)</f>
        <v>1.9341238471673254</v>
      </c>
      <c r="Z22" s="5">
        <f>Z18</f>
        <v>1</v>
      </c>
      <c r="AA22" s="5">
        <f>AA18</f>
        <v>0</v>
      </c>
      <c r="AB22" s="5">
        <f>AB18</f>
        <v>1</v>
      </c>
      <c r="AC22" s="5">
        <f>AC18</f>
        <v>0</v>
      </c>
      <c r="AD22" s="7">
        <f>(((R22-AC22)*0.72)+(Z22*$J$5)+($K$5*K22)+($L$5*L22)+($M$5*M22)+($N$5*N22))/(H22+R22-AC22+AB22+Z22)</f>
        <v>0.21163378018172921</v>
      </c>
      <c r="AE22" s="11">
        <f>(AD22-$G$5)/$H$5*G22</f>
        <v>-11.650983304059269</v>
      </c>
      <c r="AF22" s="11">
        <f t="shared" ref="AF22:AF23" si="4">(AD22-$G$5)/$H$5*G22+AI22+AG22</f>
        <v>-11.332392599411593</v>
      </c>
      <c r="AG22" s="11">
        <f t="shared" ref="AG22:AG23" si="5">AH22*(G22/667)</f>
        <v>0.31859070464767614</v>
      </c>
      <c r="AH22" s="5">
        <v>2.5</v>
      </c>
      <c r="AI22" s="3">
        <f>(P22*$O$5)+(Q22*$P$5)/(K22+R22+Z22-AC22)</f>
        <v>0</v>
      </c>
      <c r="AJ22" s="3">
        <f>G22/(VLOOKUP(D22,$F$3:$AD$5,25,0))</f>
        <v>4.8571428571428568</v>
      </c>
      <c r="AK22" s="3">
        <f>AF22+G22/(VLOOKUP(D22,$F$3:$AD$5,25,0))</f>
        <v>-6.4752497422687361</v>
      </c>
      <c r="AL22" s="3">
        <f>(VLOOKUP(D22,$F$3:$AD$5,24,0))</f>
        <v>11.42</v>
      </c>
      <c r="AM22" s="3">
        <f t="shared" ref="AM22:AM23" si="6">AK22/AL22</f>
        <v>-0.5670096096557562</v>
      </c>
      <c r="AN22" s="3"/>
    </row>
    <row r="23" spans="1:40" x14ac:dyDescent="0.3">
      <c r="A23" s="10" t="s">
        <v>523</v>
      </c>
      <c r="B23" s="5" t="s">
        <v>147</v>
      </c>
      <c r="C23" s="5">
        <v>31</v>
      </c>
      <c r="D23" s="5">
        <v>2017</v>
      </c>
      <c r="E23" s="5" t="s">
        <v>175</v>
      </c>
      <c r="F23" s="5">
        <f>F19</f>
        <v>25</v>
      </c>
      <c r="G23" s="5">
        <f t="shared" si="1"/>
        <v>102</v>
      </c>
      <c r="H23" s="5">
        <f t="shared" si="1"/>
        <v>95</v>
      </c>
      <c r="I23" s="9">
        <f>I19*($C$5/$C$9)</f>
        <v>24.817438692098094</v>
      </c>
      <c r="J23" s="9">
        <f>K23+L23+M23+N23</f>
        <v>32.452515041035582</v>
      </c>
      <c r="K23" s="9">
        <f>K19*($C$5/$C$9)*(D9/D5)*(100/107)</f>
        <v>12.79671996447146</v>
      </c>
      <c r="L23" s="9">
        <f>L19*($C$5/$C$9)*(D9/D5)*(100/107)</f>
        <v>7.8749045935208981</v>
      </c>
      <c r="M23" s="9">
        <f>M19*($C$5/$C$9)*(D9/D5)*(100/203)</f>
        <v>0.51885147260267006</v>
      </c>
      <c r="N23" s="9">
        <f>N19*($C$5/$C$9)*(100/101)</f>
        <v>11.262039010440555</v>
      </c>
      <c r="O23" s="9">
        <f t="shared" ref="O23:R23" si="7">O19*($C$5/$C$9)</f>
        <v>25.851498637602184</v>
      </c>
      <c r="P23" s="9">
        <f t="shared" si="7"/>
        <v>2.0681198910081746</v>
      </c>
      <c r="Q23" s="9">
        <f t="shared" si="7"/>
        <v>1.0340599455040873</v>
      </c>
      <c r="R23" s="9">
        <f t="shared" si="7"/>
        <v>6.2043596730245234</v>
      </c>
      <c r="S23" s="9">
        <f>S19*($C$9/$C$5)</f>
        <v>24.176548089591567</v>
      </c>
      <c r="T23" s="7">
        <f>J23/H23</f>
        <v>0.34160542148458506</v>
      </c>
      <c r="U23" s="7">
        <f t="shared" si="3"/>
        <v>0.3882193680972259</v>
      </c>
      <c r="V23" s="7">
        <f>X23/H23</f>
        <v>0.79106568011666822</v>
      </c>
      <c r="W23" s="8">
        <f>V23+U23</f>
        <v>1.1792850482138941</v>
      </c>
      <c r="X23" s="9">
        <f>K23+L23*2+3*M23+4*N23</f>
        <v>75.151239611083483</v>
      </c>
      <c r="Y23" s="9">
        <f t="shared" ref="Y23:Z23" si="8">Y19*($C$5/$C$9)</f>
        <v>2.0681198910081746</v>
      </c>
      <c r="Z23" s="9">
        <f t="shared" si="8"/>
        <v>1.0340599455040873</v>
      </c>
      <c r="AA23" s="5">
        <f t="shared" si="1"/>
        <v>0</v>
      </c>
      <c r="AB23" s="5">
        <f t="shared" si="1"/>
        <v>0</v>
      </c>
      <c r="AC23" s="5">
        <f t="shared" si="1"/>
        <v>0</v>
      </c>
      <c r="AD23" s="7">
        <f>(((R23-AC23)*0.72)+(Z23*$J$4)+($K$4*K23)+($L$4*L23)+($M$4*M23)+($N$4*N23))/(H23+R23-AC23+AB23+Z23)</f>
        <v>0.48165317412559744</v>
      </c>
      <c r="AE23" s="11">
        <f>(AD23-$G$5)/$H$5*G23</f>
        <v>11.12545465889785</v>
      </c>
      <c r="AF23" s="11">
        <f t="shared" si="4"/>
        <v>9.6521018713975977</v>
      </c>
      <c r="AG23" s="11">
        <f t="shared" si="5"/>
        <v>-1.911544227886057</v>
      </c>
      <c r="AH23" s="5">
        <v>-12.5</v>
      </c>
      <c r="AI23" s="3">
        <f>(P23*$O$4)+(Q23*$P$4)/(K23+R23+Z23-AC23)</f>
        <v>0.4381914403858061</v>
      </c>
      <c r="AJ23" s="3">
        <f>G23/(VLOOKUP(D23,$F$3:$AD$5,25,0))</f>
        <v>5.6043956043956049</v>
      </c>
      <c r="AK23" s="3">
        <f>AF23+G23/(VLOOKUP(D23,$F$3:$AD$5,25,0))</f>
        <v>15.256497475793203</v>
      </c>
      <c r="AL23" s="3">
        <f>(VLOOKUP(D23,$F$3:$AD$5,24,0))</f>
        <v>10.77</v>
      </c>
      <c r="AM23" s="3">
        <f t="shared" si="6"/>
        <v>1.4165735817820988</v>
      </c>
      <c r="AN23" s="3"/>
    </row>
    <row r="24" spans="1:40" x14ac:dyDescent="0.3">
      <c r="AK24" s="3"/>
      <c r="AL24" s="3"/>
      <c r="AM24" s="3"/>
    </row>
    <row r="25" spans="1:40" x14ac:dyDescent="0.3">
      <c r="B25" s="10" t="s">
        <v>146</v>
      </c>
      <c r="C25" s="10" t="s">
        <v>176</v>
      </c>
      <c r="D25" s="10" t="s">
        <v>173</v>
      </c>
      <c r="E25" s="10" t="s">
        <v>171</v>
      </c>
      <c r="F25" s="10" t="s">
        <v>148</v>
      </c>
      <c r="G25" s="10" t="s">
        <v>149</v>
      </c>
      <c r="H25" s="10" t="s">
        <v>150</v>
      </c>
      <c r="I25" s="10" t="s">
        <v>151</v>
      </c>
      <c r="J25" s="10" t="s">
        <v>152</v>
      </c>
      <c r="K25" s="10" t="s">
        <v>184</v>
      </c>
      <c r="L25" s="10" t="s">
        <v>153</v>
      </c>
      <c r="M25" s="10" t="s">
        <v>154</v>
      </c>
      <c r="N25" s="10" t="s">
        <v>155</v>
      </c>
      <c r="O25" s="10" t="s">
        <v>156</v>
      </c>
      <c r="P25" s="10" t="s">
        <v>157</v>
      </c>
      <c r="Q25" s="10" t="s">
        <v>158</v>
      </c>
      <c r="R25" s="10" t="s">
        <v>159</v>
      </c>
      <c r="S25" s="10" t="s">
        <v>160</v>
      </c>
      <c r="T25" s="10" t="s">
        <v>161</v>
      </c>
      <c r="U25" s="10" t="s">
        <v>162</v>
      </c>
      <c r="V25" s="10" t="s">
        <v>163</v>
      </c>
      <c r="W25" s="10" t="s">
        <v>164</v>
      </c>
      <c r="X25" s="10" t="s">
        <v>165</v>
      </c>
      <c r="Y25" s="10" t="s">
        <v>166</v>
      </c>
      <c r="Z25" s="10" t="s">
        <v>167</v>
      </c>
      <c r="AA25" s="10" t="s">
        <v>168</v>
      </c>
      <c r="AB25" s="10" t="s">
        <v>169</v>
      </c>
      <c r="AC25" s="10" t="s">
        <v>170</v>
      </c>
      <c r="AD25" s="10"/>
      <c r="AF25" s="10"/>
      <c r="AH25" s="10"/>
      <c r="AI25" s="10"/>
      <c r="AK25" s="3"/>
      <c r="AL25" s="3"/>
      <c r="AM25" s="3"/>
    </row>
    <row r="26" spans="1:40" x14ac:dyDescent="0.3">
      <c r="B26" s="5" t="s">
        <v>457</v>
      </c>
      <c r="C26" s="5">
        <v>29</v>
      </c>
      <c r="D26" s="5">
        <v>2017</v>
      </c>
      <c r="E26" s="5" t="s">
        <v>180</v>
      </c>
      <c r="F26" s="5">
        <v>3</v>
      </c>
      <c r="G26" s="5">
        <v>12</v>
      </c>
      <c r="H26" s="5">
        <v>10</v>
      </c>
      <c r="I26" s="5">
        <v>1</v>
      </c>
      <c r="J26" s="5">
        <v>3</v>
      </c>
      <c r="K26" s="10">
        <f>J26-L26-M26-N26</f>
        <v>2</v>
      </c>
      <c r="L26" s="5">
        <v>1</v>
      </c>
      <c r="M26" s="5">
        <v>0</v>
      </c>
      <c r="N26" s="5">
        <v>0</v>
      </c>
      <c r="O26" s="5">
        <v>1</v>
      </c>
      <c r="P26" s="5">
        <v>0</v>
      </c>
      <c r="Q26" s="5">
        <v>0</v>
      </c>
      <c r="R26" s="5">
        <v>1</v>
      </c>
      <c r="S26" s="5">
        <v>1</v>
      </c>
      <c r="T26" s="5">
        <v>0.3</v>
      </c>
      <c r="U26" s="7">
        <f t="shared" ref="U26:U28" si="9">(J26+R26+Z26)/(H26+R26+Z26+AB26)</f>
        <v>0.41666666666666669</v>
      </c>
      <c r="V26" s="5">
        <v>0.4</v>
      </c>
      <c r="W26" s="5">
        <v>0.81699999999999995</v>
      </c>
      <c r="X26" s="5">
        <v>4</v>
      </c>
      <c r="Y26" s="5">
        <v>0</v>
      </c>
      <c r="Z26" s="5">
        <v>1</v>
      </c>
      <c r="AA26" s="5">
        <v>0</v>
      </c>
      <c r="AB26" s="5">
        <v>0</v>
      </c>
      <c r="AC26" s="5">
        <v>0</v>
      </c>
      <c r="AD26" s="7"/>
      <c r="AE26" s="7"/>
      <c r="AF26" s="11"/>
      <c r="AG26" s="11"/>
      <c r="AH26" s="3"/>
      <c r="AI26" s="3"/>
      <c r="AJ26" s="3"/>
      <c r="AK26" s="3"/>
      <c r="AL26" s="3"/>
    </row>
    <row r="27" spans="1:40" x14ac:dyDescent="0.3">
      <c r="B27" s="10" t="s">
        <v>457</v>
      </c>
      <c r="C27" s="5">
        <v>29</v>
      </c>
      <c r="D27" s="5">
        <v>2017</v>
      </c>
      <c r="E27" s="5" t="s">
        <v>517</v>
      </c>
      <c r="F27" s="5">
        <v>90</v>
      </c>
      <c r="G27" s="5">
        <v>369</v>
      </c>
      <c r="H27" s="5">
        <v>333</v>
      </c>
      <c r="I27" s="5">
        <v>47</v>
      </c>
      <c r="J27" s="5">
        <v>102</v>
      </c>
      <c r="K27" s="10">
        <f>J27-L27-M27-N27</f>
        <v>70</v>
      </c>
      <c r="L27" s="5">
        <v>16</v>
      </c>
      <c r="M27" s="5">
        <v>0</v>
      </c>
      <c r="N27" s="5">
        <v>16</v>
      </c>
      <c r="O27" s="5">
        <v>64</v>
      </c>
      <c r="P27" s="5">
        <v>0</v>
      </c>
      <c r="Q27" s="5">
        <v>2</v>
      </c>
      <c r="R27" s="5">
        <v>24</v>
      </c>
      <c r="S27" s="5">
        <v>33</v>
      </c>
      <c r="T27" s="5">
        <v>0.30599999999999999</v>
      </c>
      <c r="U27" s="7">
        <f t="shared" si="9"/>
        <v>0.36585365853658536</v>
      </c>
      <c r="V27" s="5">
        <v>0.498</v>
      </c>
      <c r="W27" s="5">
        <v>0.86399999999999999</v>
      </c>
      <c r="X27" s="5">
        <v>166</v>
      </c>
      <c r="Y27" s="5">
        <v>14</v>
      </c>
      <c r="Z27" s="5">
        <v>9</v>
      </c>
      <c r="AA27" s="5">
        <v>0</v>
      </c>
      <c r="AB27" s="5">
        <v>3</v>
      </c>
      <c r="AC27" s="5">
        <v>0</v>
      </c>
      <c r="AD27" s="7"/>
      <c r="AE27" s="7"/>
      <c r="AF27" s="11"/>
      <c r="AG27" s="11"/>
      <c r="AH27" s="3"/>
      <c r="AI27" s="3"/>
      <c r="AJ27" s="3"/>
      <c r="AK27" s="3"/>
      <c r="AL27" s="3"/>
    </row>
    <row r="28" spans="1:40" s="10" customFormat="1" x14ac:dyDescent="0.3">
      <c r="B28" s="10" t="s">
        <v>457</v>
      </c>
      <c r="C28" s="5">
        <v>30</v>
      </c>
      <c r="D28" s="5">
        <v>2018</v>
      </c>
      <c r="E28" s="10" t="s">
        <v>456</v>
      </c>
      <c r="F28" s="10">
        <v>36</v>
      </c>
      <c r="G28" s="10">
        <v>123</v>
      </c>
      <c r="H28" s="10">
        <v>116</v>
      </c>
      <c r="I28" s="10">
        <v>9</v>
      </c>
      <c r="J28" s="10">
        <v>31</v>
      </c>
      <c r="K28" s="10">
        <f>J28-L28-M28-N28</f>
        <v>21</v>
      </c>
      <c r="L28" s="10">
        <v>8</v>
      </c>
      <c r="M28" s="10">
        <v>0</v>
      </c>
      <c r="N28" s="10">
        <v>2</v>
      </c>
      <c r="O28" s="10">
        <v>11</v>
      </c>
      <c r="P28" s="10">
        <v>1</v>
      </c>
      <c r="Q28" s="10">
        <v>0</v>
      </c>
      <c r="R28" s="10">
        <v>6</v>
      </c>
      <c r="S28" s="10">
        <v>15</v>
      </c>
      <c r="T28" s="10">
        <v>0.26700000000000002</v>
      </c>
      <c r="U28" s="7">
        <f t="shared" si="9"/>
        <v>0.30894308943089432</v>
      </c>
      <c r="V28" s="10">
        <v>0.38800000000000001</v>
      </c>
      <c r="W28" s="10">
        <v>0.69699999999999995</v>
      </c>
      <c r="X28" s="10">
        <v>45</v>
      </c>
      <c r="Y28" s="10">
        <v>2</v>
      </c>
      <c r="Z28" s="10">
        <v>1</v>
      </c>
      <c r="AA28" s="10">
        <v>0</v>
      </c>
      <c r="AB28" s="10">
        <v>0</v>
      </c>
      <c r="AC28" s="10">
        <v>0</v>
      </c>
      <c r="AD28" s="7"/>
      <c r="AE28" s="7"/>
      <c r="AF28" s="11"/>
      <c r="AG28" s="11"/>
      <c r="AH28" s="3"/>
      <c r="AI28" s="3"/>
      <c r="AJ28" s="3"/>
      <c r="AK28" s="3"/>
      <c r="AL28" s="3"/>
    </row>
    <row r="29" spans="1:40" x14ac:dyDescent="0.3">
      <c r="B29" s="10" t="s">
        <v>457</v>
      </c>
      <c r="C29" s="5">
        <v>30</v>
      </c>
      <c r="D29" s="5">
        <v>2018</v>
      </c>
      <c r="E29" s="5" t="s">
        <v>455</v>
      </c>
      <c r="F29" s="5">
        <v>91</v>
      </c>
      <c r="G29" s="5">
        <v>394</v>
      </c>
      <c r="H29" s="5">
        <v>357</v>
      </c>
      <c r="I29" s="5">
        <v>66</v>
      </c>
      <c r="J29" s="5">
        <v>119</v>
      </c>
      <c r="K29" s="10">
        <f>J29-L29-M29-N29</f>
        <v>82</v>
      </c>
      <c r="L29" s="5">
        <v>19</v>
      </c>
      <c r="M29" s="5">
        <v>1</v>
      </c>
      <c r="N29" s="5">
        <v>17</v>
      </c>
      <c r="O29" s="5">
        <v>59</v>
      </c>
      <c r="P29" s="5">
        <v>2</v>
      </c>
      <c r="Q29" s="5">
        <v>2</v>
      </c>
      <c r="R29" s="5">
        <v>33</v>
      </c>
      <c r="S29" s="5">
        <v>34</v>
      </c>
      <c r="T29" s="5">
        <v>0.33300000000000002</v>
      </c>
      <c r="U29" s="7">
        <f t="shared" ref="U29" si="10">(J29+R29+Z29)/(H29+R29+Z29+AB29)</f>
        <v>0.39593908629441626</v>
      </c>
      <c r="V29" s="5">
        <v>0.53500000000000003</v>
      </c>
      <c r="W29" s="5">
        <v>0.93100000000000005</v>
      </c>
      <c r="X29" s="5">
        <v>191</v>
      </c>
      <c r="Y29" s="5">
        <v>11</v>
      </c>
      <c r="Z29" s="5">
        <v>4</v>
      </c>
      <c r="AA29" s="5">
        <v>0</v>
      </c>
      <c r="AB29" s="5">
        <v>0</v>
      </c>
      <c r="AC29" s="5">
        <v>3</v>
      </c>
      <c r="AD29" s="7"/>
      <c r="AE29" s="7"/>
      <c r="AF29" s="11"/>
      <c r="AG29" s="11"/>
      <c r="AH29" s="3"/>
      <c r="AI29" s="3"/>
      <c r="AJ29" s="3"/>
      <c r="AK29" s="3"/>
      <c r="AL29" s="3"/>
    </row>
    <row r="30" spans="1:40" s="10" customFormat="1" x14ac:dyDescent="0.3"/>
    <row r="31" spans="1:40" x14ac:dyDescent="0.3">
      <c r="B31" s="10" t="s">
        <v>146</v>
      </c>
      <c r="C31" s="10" t="s">
        <v>176</v>
      </c>
      <c r="D31" s="10" t="s">
        <v>173</v>
      </c>
      <c r="E31" s="10" t="s">
        <v>171</v>
      </c>
      <c r="F31" s="10" t="s">
        <v>148</v>
      </c>
      <c r="G31" s="10" t="s">
        <v>149</v>
      </c>
      <c r="H31" s="10" t="s">
        <v>150</v>
      </c>
      <c r="I31" s="10" t="s">
        <v>151</v>
      </c>
      <c r="J31" s="10" t="s">
        <v>152</v>
      </c>
      <c r="K31" s="10" t="s">
        <v>184</v>
      </c>
      <c r="L31" s="10" t="s">
        <v>153</v>
      </c>
      <c r="M31" s="10" t="s">
        <v>154</v>
      </c>
      <c r="N31" s="10" t="s">
        <v>155</v>
      </c>
      <c r="O31" s="10" t="s">
        <v>156</v>
      </c>
      <c r="P31" s="10" t="s">
        <v>157</v>
      </c>
      <c r="Q31" s="10" t="s">
        <v>158</v>
      </c>
      <c r="R31" s="10" t="s">
        <v>159</v>
      </c>
      <c r="S31" s="10" t="s">
        <v>160</v>
      </c>
      <c r="T31" s="10" t="s">
        <v>161</v>
      </c>
      <c r="U31" s="10" t="s">
        <v>162</v>
      </c>
      <c r="V31" s="10" t="s">
        <v>163</v>
      </c>
      <c r="W31" s="10" t="s">
        <v>164</v>
      </c>
      <c r="X31" s="10" t="s">
        <v>165</v>
      </c>
      <c r="Y31" s="10" t="s">
        <v>166</v>
      </c>
      <c r="Z31" s="10" t="s">
        <v>167</v>
      </c>
      <c r="AA31" s="10" t="s">
        <v>168</v>
      </c>
      <c r="AB31" s="10" t="s">
        <v>169</v>
      </c>
      <c r="AC31" s="10" t="s">
        <v>170</v>
      </c>
      <c r="AD31" s="10" t="s">
        <v>185</v>
      </c>
      <c r="AE31" s="10" t="s">
        <v>504</v>
      </c>
      <c r="AF31" s="10" t="s">
        <v>496</v>
      </c>
      <c r="AG31" s="10" t="s">
        <v>502</v>
      </c>
      <c r="AH31" s="5" t="s">
        <v>461</v>
      </c>
      <c r="AI31" s="10" t="s">
        <v>431</v>
      </c>
      <c r="AJ31" s="10" t="s">
        <v>501</v>
      </c>
      <c r="AK31" s="10" t="s">
        <v>432</v>
      </c>
      <c r="AL31" s="10" t="s">
        <v>499</v>
      </c>
      <c r="AM31" s="10" t="s">
        <v>433</v>
      </c>
      <c r="AN31" s="10"/>
    </row>
    <row r="32" spans="1:40" s="10" customFormat="1" x14ac:dyDescent="0.3">
      <c r="A32" s="10" t="s">
        <v>523</v>
      </c>
      <c r="B32" s="10" t="s">
        <v>457</v>
      </c>
      <c r="C32" s="10">
        <v>29</v>
      </c>
      <c r="D32" s="10">
        <v>2017</v>
      </c>
      <c r="E32" s="10" t="s">
        <v>458</v>
      </c>
      <c r="F32" s="10">
        <f>F26</f>
        <v>3</v>
      </c>
      <c r="G32" s="10">
        <f t="shared" ref="G32:Q32" si="11">G26</f>
        <v>12</v>
      </c>
      <c r="H32" s="10">
        <f t="shared" si="11"/>
        <v>10</v>
      </c>
      <c r="I32" s="9">
        <f t="shared" si="11"/>
        <v>1</v>
      </c>
      <c r="J32" s="9">
        <f>K32+L32+M32+N32</f>
        <v>3.0345310550306861</v>
      </c>
      <c r="K32" s="9">
        <f>K26*(C5/C9)</f>
        <v>2.0681198910081746</v>
      </c>
      <c r="L32" s="9">
        <f>L26*(C5/C9)*(1000/1070)</f>
        <v>0.96641116402251148</v>
      </c>
      <c r="M32" s="9">
        <f>M26*(C5/C9)</f>
        <v>0</v>
      </c>
      <c r="N32" s="9">
        <f>N26*(C5/C9)</f>
        <v>0</v>
      </c>
      <c r="O32" s="10">
        <f t="shared" si="11"/>
        <v>1</v>
      </c>
      <c r="P32" s="10">
        <f t="shared" si="11"/>
        <v>0</v>
      </c>
      <c r="Q32" s="10">
        <f t="shared" si="11"/>
        <v>0</v>
      </c>
      <c r="R32" s="9">
        <f>R26*(C5/C9)*(1000/1020)</f>
        <v>1.0137842602981249</v>
      </c>
      <c r="S32" s="9">
        <f>S26*(C9/C5)</f>
        <v>0.96706192358366272</v>
      </c>
      <c r="T32" s="7">
        <f>J32/H32</f>
        <v>0.30345310550306859</v>
      </c>
      <c r="U32" s="7">
        <f t="shared" ref="U32:U35" si="12">(J32+R32+Z32)/(H32+R32+Z32+AB32)</f>
        <v>0.42021025231924175</v>
      </c>
      <c r="V32" s="7">
        <f>X32/H32</f>
        <v>0.40009422190531974</v>
      </c>
      <c r="W32" s="8">
        <f>U32+V32</f>
        <v>0.82030447422456154</v>
      </c>
      <c r="X32" s="9">
        <f>K32+2*L32+3*M32+4*N32</f>
        <v>4.0009422190531971</v>
      </c>
      <c r="Y32" s="10">
        <f t="shared" ref="Y32:AC32" si="13">Y26</f>
        <v>0</v>
      </c>
      <c r="Z32" s="10">
        <f t="shared" si="13"/>
        <v>1</v>
      </c>
      <c r="AA32" s="10">
        <f t="shared" si="13"/>
        <v>0</v>
      </c>
      <c r="AB32" s="10">
        <f t="shared" si="13"/>
        <v>0</v>
      </c>
      <c r="AC32" s="10">
        <f t="shared" si="13"/>
        <v>0</v>
      </c>
      <c r="AD32" s="7">
        <f>(((R32-AC32)*0.72)+(Z32*$J$4)+($K$4*K32)+($L$4*L32)+($M$4*M32)+($N$4*N32))/(H32+R32-AC32+AB32+Z32)</f>
        <v>0.38454023826202188</v>
      </c>
      <c r="AE32" s="11">
        <f>(AD32-$G$5)/$H$5*G32</f>
        <v>0.24656596093369437</v>
      </c>
      <c r="AF32" s="11">
        <f t="shared" ref="AF32:AF35" si="14">(AD32-$G$5)/$H$5*G32+AI32+AG32</f>
        <v>0.14761543619606321</v>
      </c>
      <c r="AG32" s="11">
        <f t="shared" ref="AG32:AG35" si="15">AH32*(G32/667)</f>
        <v>-9.8950524737631176E-2</v>
      </c>
      <c r="AH32" s="10">
        <v>-5.5</v>
      </c>
      <c r="AI32" s="3">
        <f>(P32*$O$4)+(Q32*$P$4)/(K32+R32+Z32-AC32)</f>
        <v>0</v>
      </c>
      <c r="AJ32" s="3">
        <f>G32/(VLOOKUP(D32,$F$3:$AD$5,25,0))</f>
        <v>0.65934065934065933</v>
      </c>
      <c r="AK32" s="3">
        <f>AF32+20*(G32/600)</f>
        <v>0.54761543619606323</v>
      </c>
      <c r="AL32" s="3">
        <f>(VLOOKUP(D32,$F$3:$AD$5,24,0))</f>
        <v>10.77</v>
      </c>
      <c r="AM32" s="3">
        <f t="shared" ref="AM32:AM34" si="16">AK32/AL32</f>
        <v>5.0846372905855454E-2</v>
      </c>
      <c r="AN32" s="3"/>
    </row>
    <row r="33" spans="1:40" x14ac:dyDescent="0.3">
      <c r="A33" s="10" t="s">
        <v>523</v>
      </c>
      <c r="B33" s="10" t="s">
        <v>457</v>
      </c>
      <c r="C33" s="10">
        <v>29</v>
      </c>
      <c r="D33" s="10">
        <v>2017</v>
      </c>
      <c r="E33" s="10" t="s">
        <v>458</v>
      </c>
      <c r="F33" s="10">
        <f t="shared" ref="F33:S35" si="17">F27</f>
        <v>90</v>
      </c>
      <c r="G33" s="10">
        <f t="shared" si="17"/>
        <v>369</v>
      </c>
      <c r="H33" s="10">
        <f t="shared" si="17"/>
        <v>333</v>
      </c>
      <c r="I33" s="9">
        <f t="shared" si="17"/>
        <v>47</v>
      </c>
      <c r="J33" s="9">
        <f t="shared" ref="J33:J35" si="18">K33+L33+M33+N33</f>
        <v>96.167944852137012</v>
      </c>
      <c r="K33" s="9">
        <f>K27*(C10/C9)*(D9/D10)*(1000/980)</f>
        <v>69.109723728649172</v>
      </c>
      <c r="L33" s="9">
        <f>L27*(C10/C9)*(D9/D10)*(1000/970)</f>
        <v>15.959358881667434</v>
      </c>
      <c r="M33" s="9">
        <f>M27*(C10/C9)*(D9/D10)</f>
        <v>0</v>
      </c>
      <c r="N33" s="9">
        <f>N27*(C10/C9)*(1000/1310)</f>
        <v>11.098862241820415</v>
      </c>
      <c r="O33" s="10">
        <f t="shared" si="17"/>
        <v>64</v>
      </c>
      <c r="P33" s="10">
        <f t="shared" si="17"/>
        <v>0</v>
      </c>
      <c r="Q33" s="10">
        <f t="shared" si="17"/>
        <v>2</v>
      </c>
      <c r="R33" s="9">
        <f>R27*(C10/C9)*(1000/1030)</f>
        <v>21.174043014735062</v>
      </c>
      <c r="S33" s="10">
        <f t="shared" si="17"/>
        <v>33</v>
      </c>
      <c r="T33" s="7">
        <f>J33/H33*(C9/C10)</f>
        <v>0.31780178163831851</v>
      </c>
      <c r="U33" s="7">
        <f t="shared" si="12"/>
        <v>0.34503261571107047</v>
      </c>
      <c r="V33" s="7">
        <f t="shared" ref="V33:V35" si="19">X33/H33</f>
        <v>0.43670837975755461</v>
      </c>
      <c r="W33" s="8">
        <f t="shared" ref="W33:W35" si="20">U33+V33</f>
        <v>0.78174099546862508</v>
      </c>
      <c r="X33" s="9">
        <f t="shared" ref="X33:X35" si="21">K33+2*L33+3*M33+4*N33</f>
        <v>145.42389045926569</v>
      </c>
      <c r="Y33" s="10">
        <f t="shared" ref="Y33:AC33" si="22">Y27</f>
        <v>14</v>
      </c>
      <c r="Z33" s="10">
        <f t="shared" si="22"/>
        <v>9</v>
      </c>
      <c r="AA33" s="10">
        <f t="shared" si="22"/>
        <v>0</v>
      </c>
      <c r="AB33" s="10">
        <f t="shared" si="22"/>
        <v>3</v>
      </c>
      <c r="AC33" s="10">
        <f t="shared" si="22"/>
        <v>0</v>
      </c>
      <c r="AD33" s="7">
        <f>(((R33-AC33)*0.72)+(Z33*$J$4)+($K$4*K33)+($L$4*L33)+($M$4*M33)+($N$4*N33))/(H33+R33-AC33+AB33+Z33)</f>
        <v>0.3476647164082684</v>
      </c>
      <c r="AE33" s="11">
        <f>(AD33-$G$5)/$H$5*G33</f>
        <v>-4.8219869146298588</v>
      </c>
      <c r="AF33" s="11">
        <f t="shared" si="14"/>
        <v>-7.8551268730163564</v>
      </c>
      <c r="AG33" s="11">
        <f t="shared" si="15"/>
        <v>-3.0427286356821588</v>
      </c>
      <c r="AH33" s="10">
        <v>-5.5</v>
      </c>
      <c r="AI33" s="3">
        <f>(P33*$O$4)+(Q33*$P$4)/(K33+R33+Z33-AC33)</f>
        <v>9.5886772956610897E-3</v>
      </c>
      <c r="AJ33" s="3">
        <f>G33/(VLOOKUP(D33,$F$3:$AD$5,25,0))</f>
        <v>20.274725274725274</v>
      </c>
      <c r="AK33" s="3">
        <f>AF33+20*(G33/600)</f>
        <v>4.4448731269836443</v>
      </c>
      <c r="AL33" s="3">
        <f t="shared" ref="AL33:AL35" si="23">(VLOOKUP(D33,$F$3:$AD$5,24,0))</f>
        <v>10.77</v>
      </c>
      <c r="AM33" s="3">
        <f t="shared" si="16"/>
        <v>0.41270873973849997</v>
      </c>
      <c r="AN33" s="3"/>
    </row>
    <row r="34" spans="1:40" x14ac:dyDescent="0.3">
      <c r="A34" s="10" t="s">
        <v>523</v>
      </c>
      <c r="B34" s="10" t="s">
        <v>457</v>
      </c>
      <c r="C34" s="10">
        <v>30</v>
      </c>
      <c r="D34" s="10">
        <v>2018</v>
      </c>
      <c r="E34" s="10" t="s">
        <v>458</v>
      </c>
      <c r="F34" s="10">
        <f t="shared" si="17"/>
        <v>36</v>
      </c>
      <c r="G34" s="10">
        <f t="shared" si="17"/>
        <v>123</v>
      </c>
      <c r="H34" s="10">
        <f t="shared" si="17"/>
        <v>116</v>
      </c>
      <c r="I34" s="9">
        <f t="shared" si="17"/>
        <v>9</v>
      </c>
      <c r="J34" s="9">
        <f t="shared" si="18"/>
        <v>52.538609691685721</v>
      </c>
      <c r="K34" s="9">
        <f>K28*(C3/C9)*(D9/D3)</f>
        <v>35.084097101808283</v>
      </c>
      <c r="L34" s="9">
        <f>L28*(C3/C9)*(D9/D3)*(1000/910)</f>
        <v>14.687220136811421</v>
      </c>
      <c r="M34" s="9">
        <f>M28*(C3/C9)*(D9/D3)</f>
        <v>0</v>
      </c>
      <c r="N34" s="9">
        <f>N28*(C3/C9)*(1000/1090)</f>
        <v>2.7672924530660201</v>
      </c>
      <c r="O34" s="10">
        <f t="shared" si="17"/>
        <v>11</v>
      </c>
      <c r="P34" s="10">
        <f t="shared" si="17"/>
        <v>1</v>
      </c>
      <c r="Q34" s="10">
        <f t="shared" si="17"/>
        <v>0</v>
      </c>
      <c r="R34" s="9">
        <f>R28*(C3/C9)</f>
        <v>9.0490463215258856</v>
      </c>
      <c r="S34" s="9">
        <f>S28*(C9/C3)</f>
        <v>9.9457994579945801</v>
      </c>
      <c r="T34" s="7">
        <f t="shared" ref="T34:T35" si="24">J34/H34</f>
        <v>0.45291904906625624</v>
      </c>
      <c r="U34" s="7">
        <f t="shared" si="12"/>
        <v>0.49653414952115565</v>
      </c>
      <c r="V34" s="7">
        <f t="shared" si="19"/>
        <v>0.65110092403185515</v>
      </c>
      <c r="W34" s="8">
        <f t="shared" si="20"/>
        <v>1.1476350735530108</v>
      </c>
      <c r="X34" s="9">
        <f t="shared" si="21"/>
        <v>75.527707187695199</v>
      </c>
      <c r="Y34" s="10">
        <f t="shared" ref="Y34:AC34" si="25">Y28</f>
        <v>2</v>
      </c>
      <c r="Z34" s="10">
        <f t="shared" si="25"/>
        <v>1</v>
      </c>
      <c r="AA34" s="10">
        <f t="shared" si="25"/>
        <v>0</v>
      </c>
      <c r="AB34" s="10">
        <f t="shared" si="25"/>
        <v>0</v>
      </c>
      <c r="AC34" s="10">
        <f t="shared" si="25"/>
        <v>0</v>
      </c>
      <c r="AD34" s="7">
        <f>(((R34-AC34)*0.72)+(Z34*$J$3)+($K$3*K34)+($L$3*L34)+($M$3*M34)+($N$3*N34))/(H34+R34-AC34+AB34+Z34)</f>
        <v>0.49921894704315201</v>
      </c>
      <c r="AE34" s="11">
        <f t="shared" ref="AE34:AE35" si="26">(AD34-$G$5)/$H$5*G34</f>
        <v>15.385533715868458</v>
      </c>
      <c r="AF34" s="11">
        <f t="shared" si="14"/>
        <v>14.571290837307739</v>
      </c>
      <c r="AG34" s="11">
        <f t="shared" si="15"/>
        <v>-1.0142428785607196</v>
      </c>
      <c r="AH34" s="10">
        <v>-5.5</v>
      </c>
      <c r="AI34" s="3">
        <f>(P34*$O$3)+(Q34*$P$3)/(K34+R34+Z34-AC34)</f>
        <v>0.2</v>
      </c>
      <c r="AJ34" s="3">
        <f t="shared" ref="AJ34:AJ35" si="27">G34/(VLOOKUP(D34,$F$3:$AD$5,25,0))</f>
        <v>6.9491525423728815</v>
      </c>
      <c r="AK34" s="3">
        <f>AF34+20*(G34/600)</f>
        <v>18.671290837307737</v>
      </c>
      <c r="AL34" s="3">
        <f t="shared" si="23"/>
        <v>11.18</v>
      </c>
      <c r="AM34" s="3">
        <f t="shared" si="16"/>
        <v>1.6700617922457726</v>
      </c>
      <c r="AN34" s="3"/>
    </row>
    <row r="35" spans="1:40" x14ac:dyDescent="0.3">
      <c r="A35" s="10" t="s">
        <v>523</v>
      </c>
      <c r="B35" s="10" t="s">
        <v>457</v>
      </c>
      <c r="C35" s="10">
        <v>30</v>
      </c>
      <c r="D35" s="10">
        <v>2018</v>
      </c>
      <c r="E35" s="10" t="s">
        <v>458</v>
      </c>
      <c r="F35" s="10">
        <f t="shared" si="17"/>
        <v>91</v>
      </c>
      <c r="G35" s="10">
        <f t="shared" si="17"/>
        <v>394</v>
      </c>
      <c r="H35" s="10">
        <f t="shared" si="17"/>
        <v>357</v>
      </c>
      <c r="I35" s="9">
        <f t="shared" si="17"/>
        <v>66</v>
      </c>
      <c r="J35" s="9">
        <f t="shared" si="18"/>
        <v>134.53717571599066</v>
      </c>
      <c r="K35" s="9">
        <f>K29*(C8/C9)*(D9/D8)*(1000/1060)</f>
        <v>93.948636699009455</v>
      </c>
      <c r="L35" s="9">
        <f>L29*(C8/C9)*(D9/D8)*(1000/1180)</f>
        <v>19.55483198757803</v>
      </c>
      <c r="M35" s="9">
        <f>M29*(C8/C9)*(D9/D8)*(1000/1145)</f>
        <v>1.0606619970279052</v>
      </c>
      <c r="N35" s="9">
        <f>N29*(C8/C9)*(1000/930)</f>
        <v>19.973045032375257</v>
      </c>
      <c r="O35" s="10">
        <f t="shared" si="17"/>
        <v>59</v>
      </c>
      <c r="P35" s="9">
        <f>P29</f>
        <v>2</v>
      </c>
      <c r="Q35" s="10">
        <f t="shared" si="17"/>
        <v>2</v>
      </c>
      <c r="R35" s="9">
        <f>R29*(C8/C9)</f>
        <v>36.05722070844687</v>
      </c>
      <c r="S35" s="9">
        <f>S29*(C9/C8)</f>
        <v>31.117206982543639</v>
      </c>
      <c r="T35" s="7">
        <f t="shared" si="24"/>
        <v>0.37685483393834918</v>
      </c>
      <c r="U35" s="7">
        <f t="shared" si="12"/>
        <v>0.43972099566132694</v>
      </c>
      <c r="V35" s="7">
        <f t="shared" si="19"/>
        <v>0.60541307225420238</v>
      </c>
      <c r="W35" s="8">
        <f t="shared" si="20"/>
        <v>1.0451340679155292</v>
      </c>
      <c r="X35" s="9">
        <f t="shared" si="21"/>
        <v>216.13246679475026</v>
      </c>
      <c r="Y35" s="10">
        <f t="shared" ref="Y35:AC35" si="28">Y29</f>
        <v>11</v>
      </c>
      <c r="Z35" s="10">
        <f t="shared" si="28"/>
        <v>4</v>
      </c>
      <c r="AA35" s="10">
        <f t="shared" si="28"/>
        <v>0</v>
      </c>
      <c r="AB35" s="10">
        <f t="shared" si="28"/>
        <v>0</v>
      </c>
      <c r="AC35" s="10">
        <f t="shared" si="28"/>
        <v>3</v>
      </c>
      <c r="AD35" s="7">
        <f>(((R35-AC35)*0.72)+(Z35*$J$3)+($K$3*K35)+($L$3*L35)+($M$3*M35)+($N$3*N35))/(H35+R35-AC35+AB35+Z35)</f>
        <v>0.44726749366866492</v>
      </c>
      <c r="AE35" s="11">
        <f t="shared" si="26"/>
        <v>30.624788063312653</v>
      </c>
      <c r="AF35" s="11">
        <f t="shared" si="14"/>
        <v>27.783423615630721</v>
      </c>
      <c r="AG35" s="11">
        <f t="shared" si="15"/>
        <v>-3.2488755622188905</v>
      </c>
      <c r="AH35" s="10">
        <v>-5.5</v>
      </c>
      <c r="AI35" s="3">
        <f>(P35*$O$3)+(Q35*$P$3)/(K35+R35+Z35-AC35)</f>
        <v>0.4075111145369596</v>
      </c>
      <c r="AJ35" s="3">
        <f t="shared" si="27"/>
        <v>22.25988700564972</v>
      </c>
      <c r="AK35" s="3">
        <f>AF35+20*(G35/600)</f>
        <v>40.91675694896405</v>
      </c>
      <c r="AL35" s="3">
        <f t="shared" si="23"/>
        <v>11.18</v>
      </c>
      <c r="AM35" s="3">
        <f t="shared" ref="AM35" si="29">AK35/AL35</f>
        <v>3.6598172584046558</v>
      </c>
      <c r="AN35" s="10"/>
    </row>
    <row r="37" spans="1:40" x14ac:dyDescent="0.3">
      <c r="B37" s="10" t="s">
        <v>146</v>
      </c>
      <c r="C37" s="10" t="s">
        <v>176</v>
      </c>
      <c r="D37" s="10" t="s">
        <v>173</v>
      </c>
      <c r="E37" s="10" t="s">
        <v>171</v>
      </c>
      <c r="F37" s="10" t="s">
        <v>148</v>
      </c>
      <c r="G37" s="10" t="s">
        <v>149</v>
      </c>
      <c r="H37" s="10" t="s">
        <v>150</v>
      </c>
      <c r="I37" s="10" t="s">
        <v>151</v>
      </c>
      <c r="J37" s="10" t="s">
        <v>152</v>
      </c>
      <c r="K37" s="10" t="s">
        <v>184</v>
      </c>
      <c r="L37" s="10" t="s">
        <v>153</v>
      </c>
      <c r="M37" s="10" t="s">
        <v>154</v>
      </c>
      <c r="N37" s="10" t="s">
        <v>155</v>
      </c>
      <c r="O37" s="10" t="s">
        <v>156</v>
      </c>
      <c r="P37" s="10" t="s">
        <v>157</v>
      </c>
      <c r="Q37" s="10" t="s">
        <v>158</v>
      </c>
      <c r="R37" s="10" t="s">
        <v>159</v>
      </c>
      <c r="S37" s="10" t="s">
        <v>160</v>
      </c>
      <c r="T37" s="10" t="s">
        <v>161</v>
      </c>
      <c r="U37" s="10" t="s">
        <v>162</v>
      </c>
      <c r="V37" s="10" t="s">
        <v>163</v>
      </c>
      <c r="W37" s="10" t="s">
        <v>164</v>
      </c>
      <c r="X37" s="10" t="s">
        <v>165</v>
      </c>
      <c r="Y37" s="10" t="s">
        <v>166</v>
      </c>
      <c r="Z37" s="10" t="s">
        <v>167</v>
      </c>
      <c r="AA37" s="10" t="s">
        <v>168</v>
      </c>
      <c r="AB37" s="10" t="s">
        <v>169</v>
      </c>
      <c r="AC37" s="10" t="s">
        <v>170</v>
      </c>
    </row>
    <row r="38" spans="1:40" x14ac:dyDescent="0.3">
      <c r="B38" s="5" t="s">
        <v>476</v>
      </c>
      <c r="C38" s="5">
        <v>27</v>
      </c>
      <c r="D38" s="5">
        <v>2016</v>
      </c>
      <c r="E38" s="5" t="s">
        <v>478</v>
      </c>
      <c r="F38" s="5">
        <v>39</v>
      </c>
      <c r="G38" s="5">
        <v>49</v>
      </c>
      <c r="H38" s="5">
        <v>46</v>
      </c>
      <c r="I38" s="5">
        <v>8</v>
      </c>
      <c r="J38" s="5">
        <v>10</v>
      </c>
      <c r="K38" s="10">
        <f>J38-L38-M38-N38</f>
        <v>8</v>
      </c>
      <c r="L38" s="5">
        <v>2</v>
      </c>
      <c r="M38" s="5">
        <v>0</v>
      </c>
      <c r="N38" s="5">
        <v>0</v>
      </c>
      <c r="O38" s="5">
        <v>5</v>
      </c>
      <c r="P38" s="5">
        <v>1</v>
      </c>
      <c r="Q38" s="5">
        <v>0</v>
      </c>
      <c r="R38" s="5">
        <v>3</v>
      </c>
      <c r="S38" s="5">
        <v>8</v>
      </c>
      <c r="T38" s="5">
        <v>0.217</v>
      </c>
      <c r="U38" s="7">
        <f t="shared" ref="U38:U40" si="30">(J38+R38+Z38)/(H38+R38+Z38+AB38)</f>
        <v>0.26530612244897961</v>
      </c>
      <c r="V38" s="5">
        <v>0.26100000000000001</v>
      </c>
      <c r="W38" s="5">
        <v>0.52600000000000002</v>
      </c>
      <c r="X38" s="5">
        <v>12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</row>
    <row r="39" spans="1:40" x14ac:dyDescent="0.3">
      <c r="B39" s="10" t="s">
        <v>476</v>
      </c>
      <c r="C39" s="10">
        <v>27</v>
      </c>
      <c r="D39" s="10">
        <v>2016</v>
      </c>
      <c r="E39" s="5" t="s">
        <v>477</v>
      </c>
      <c r="F39" s="5">
        <v>100</v>
      </c>
      <c r="G39" s="5">
        <v>435</v>
      </c>
      <c r="H39" s="5">
        <v>390</v>
      </c>
      <c r="I39" s="5">
        <v>62</v>
      </c>
      <c r="J39" s="5">
        <v>105</v>
      </c>
      <c r="K39" s="10">
        <f t="shared" ref="K39:K41" si="31">J39-L39-M39-N39</f>
        <v>63</v>
      </c>
      <c r="L39" s="5">
        <v>20</v>
      </c>
      <c r="M39" s="5">
        <v>6</v>
      </c>
      <c r="N39" s="5">
        <v>16</v>
      </c>
      <c r="O39" s="5">
        <v>66</v>
      </c>
      <c r="P39" s="5">
        <v>18</v>
      </c>
      <c r="Q39" s="5">
        <v>4</v>
      </c>
      <c r="R39" s="5">
        <v>37</v>
      </c>
      <c r="S39" s="5">
        <v>78</v>
      </c>
      <c r="T39" s="5">
        <v>0.26900000000000002</v>
      </c>
      <c r="U39" s="7">
        <f t="shared" si="30"/>
        <v>0.335632183908046</v>
      </c>
      <c r="V39" s="5">
        <v>0.47399999999999998</v>
      </c>
      <c r="W39" s="5">
        <v>0.81</v>
      </c>
      <c r="X39" s="5">
        <v>185</v>
      </c>
      <c r="Y39" s="5">
        <v>4</v>
      </c>
      <c r="Z39" s="5">
        <v>4</v>
      </c>
      <c r="AA39" s="5">
        <v>0</v>
      </c>
      <c r="AB39" s="5">
        <v>4</v>
      </c>
      <c r="AC39" s="5">
        <v>1</v>
      </c>
    </row>
    <row r="40" spans="1:40" x14ac:dyDescent="0.3">
      <c r="B40" s="10" t="s">
        <v>476</v>
      </c>
      <c r="C40" s="5">
        <v>28</v>
      </c>
      <c r="D40" s="5">
        <v>2017</v>
      </c>
      <c r="E40" s="10" t="s">
        <v>478</v>
      </c>
      <c r="F40" s="5">
        <v>36</v>
      </c>
      <c r="G40" s="5">
        <v>77</v>
      </c>
      <c r="H40" s="5">
        <v>72</v>
      </c>
      <c r="I40" s="5">
        <v>13</v>
      </c>
      <c r="J40" s="10">
        <v>16</v>
      </c>
      <c r="K40" s="10">
        <f t="shared" si="31"/>
        <v>12</v>
      </c>
      <c r="L40" s="5">
        <v>3</v>
      </c>
      <c r="M40" s="5">
        <v>0</v>
      </c>
      <c r="N40" s="5">
        <v>1</v>
      </c>
      <c r="O40" s="5">
        <v>7</v>
      </c>
      <c r="P40" s="5">
        <v>3</v>
      </c>
      <c r="Q40" s="5">
        <v>0</v>
      </c>
      <c r="R40" s="5">
        <v>4</v>
      </c>
      <c r="S40" s="5">
        <v>23</v>
      </c>
      <c r="T40" s="5">
        <v>0.222</v>
      </c>
      <c r="U40" s="7">
        <f t="shared" si="30"/>
        <v>0.25974025974025972</v>
      </c>
      <c r="V40" s="5">
        <v>0.30599999999999999</v>
      </c>
      <c r="W40" s="5">
        <v>0.56499999999999995</v>
      </c>
      <c r="X40" s="5">
        <v>22</v>
      </c>
      <c r="Y40" s="5">
        <v>0</v>
      </c>
      <c r="Z40" s="5">
        <v>0</v>
      </c>
      <c r="AA40" s="5">
        <v>0</v>
      </c>
      <c r="AB40" s="5">
        <v>1</v>
      </c>
      <c r="AC40" s="5">
        <v>0</v>
      </c>
    </row>
    <row r="41" spans="1:40" x14ac:dyDescent="0.3">
      <c r="B41" s="10" t="s">
        <v>476</v>
      </c>
      <c r="C41" s="10">
        <v>28</v>
      </c>
      <c r="D41" s="10">
        <v>2017</v>
      </c>
      <c r="E41" s="10" t="s">
        <v>477</v>
      </c>
      <c r="F41" s="5">
        <v>95</v>
      </c>
      <c r="G41" s="5">
        <v>399</v>
      </c>
      <c r="H41" s="5">
        <v>366</v>
      </c>
      <c r="I41" s="5">
        <v>55</v>
      </c>
      <c r="J41" s="10">
        <v>96</v>
      </c>
      <c r="K41" s="10">
        <f t="shared" si="31"/>
        <v>60</v>
      </c>
      <c r="L41" s="5">
        <v>24</v>
      </c>
      <c r="M41" s="5">
        <v>2</v>
      </c>
      <c r="N41" s="5">
        <v>10</v>
      </c>
      <c r="O41" s="5">
        <v>44</v>
      </c>
      <c r="P41" s="5">
        <v>16</v>
      </c>
      <c r="Q41" s="5">
        <v>6</v>
      </c>
      <c r="R41" s="5">
        <v>31</v>
      </c>
      <c r="S41" s="5">
        <v>80</v>
      </c>
      <c r="T41" s="5">
        <v>0.26200000000000001</v>
      </c>
      <c r="U41" s="7">
        <f t="shared" ref="U41" si="32">(J41+R41+Z41)/(H41+R41+Z41+AB41)</f>
        <v>0.32330827067669171</v>
      </c>
      <c r="V41" s="5">
        <v>0.42099999999999999</v>
      </c>
      <c r="W41" s="5">
        <v>0.74399999999999999</v>
      </c>
      <c r="X41" s="5">
        <v>154</v>
      </c>
      <c r="Y41" s="5">
        <v>5</v>
      </c>
      <c r="Z41" s="5">
        <v>2</v>
      </c>
      <c r="AA41" s="5">
        <v>0</v>
      </c>
      <c r="AB41" s="5">
        <v>0</v>
      </c>
      <c r="AC41" s="5">
        <v>1</v>
      </c>
    </row>
    <row r="43" spans="1:40" x14ac:dyDescent="0.3">
      <c r="B43" s="10" t="s">
        <v>146</v>
      </c>
      <c r="C43" s="10" t="s">
        <v>176</v>
      </c>
      <c r="D43" s="10" t="s">
        <v>173</v>
      </c>
      <c r="E43" s="10" t="s">
        <v>171</v>
      </c>
      <c r="F43" s="10" t="s">
        <v>148</v>
      </c>
      <c r="G43" s="10" t="s">
        <v>149</v>
      </c>
      <c r="H43" s="10" t="s">
        <v>150</v>
      </c>
      <c r="I43" s="10" t="s">
        <v>151</v>
      </c>
      <c r="J43" s="10" t="s">
        <v>152</v>
      </c>
      <c r="K43" s="10" t="s">
        <v>184</v>
      </c>
      <c r="L43" s="10" t="s">
        <v>153</v>
      </c>
      <c r="M43" s="10" t="s">
        <v>154</v>
      </c>
      <c r="N43" s="10" t="s">
        <v>155</v>
      </c>
      <c r="O43" s="10" t="s">
        <v>156</v>
      </c>
      <c r="P43" s="10" t="s">
        <v>157</v>
      </c>
      <c r="Q43" s="10" t="s">
        <v>158</v>
      </c>
      <c r="R43" s="10" t="s">
        <v>159</v>
      </c>
      <c r="S43" s="10" t="s">
        <v>160</v>
      </c>
      <c r="T43" s="10" t="s">
        <v>161</v>
      </c>
      <c r="U43" s="10" t="s">
        <v>162</v>
      </c>
      <c r="V43" s="10" t="s">
        <v>163</v>
      </c>
      <c r="W43" s="10" t="s">
        <v>164</v>
      </c>
      <c r="X43" s="10" t="s">
        <v>165</v>
      </c>
      <c r="Y43" s="10" t="s">
        <v>166</v>
      </c>
      <c r="Z43" s="10" t="s">
        <v>167</v>
      </c>
      <c r="AA43" s="10" t="s">
        <v>168</v>
      </c>
      <c r="AB43" s="10" t="s">
        <v>169</v>
      </c>
      <c r="AC43" s="10" t="s">
        <v>170</v>
      </c>
      <c r="AD43" s="10" t="s">
        <v>185</v>
      </c>
      <c r="AE43" s="10" t="s">
        <v>504</v>
      </c>
      <c r="AF43" s="10" t="s">
        <v>496</v>
      </c>
      <c r="AG43" s="10" t="s">
        <v>502</v>
      </c>
      <c r="AH43" s="10" t="s">
        <v>461</v>
      </c>
      <c r="AI43" s="10" t="s">
        <v>431</v>
      </c>
      <c r="AJ43" s="10" t="s">
        <v>501</v>
      </c>
      <c r="AK43" s="10" t="s">
        <v>432</v>
      </c>
      <c r="AL43" s="10" t="s">
        <v>499</v>
      </c>
      <c r="AM43" s="10" t="s">
        <v>433</v>
      </c>
    </row>
    <row r="44" spans="1:40" x14ac:dyDescent="0.3">
      <c r="A44" s="10" t="s">
        <v>523</v>
      </c>
      <c r="B44" s="10" t="s">
        <v>476</v>
      </c>
      <c r="C44" s="10">
        <v>27</v>
      </c>
      <c r="D44" s="10">
        <v>2016</v>
      </c>
      <c r="E44" s="5" t="s">
        <v>479</v>
      </c>
      <c r="F44" s="5">
        <f>F38</f>
        <v>39</v>
      </c>
      <c r="G44" s="10">
        <f t="shared" ref="G44:Q44" si="33">G38</f>
        <v>49</v>
      </c>
      <c r="H44" s="10">
        <f t="shared" si="33"/>
        <v>46</v>
      </c>
      <c r="I44" s="10">
        <f t="shared" si="33"/>
        <v>8</v>
      </c>
      <c r="J44" s="9">
        <f>K44+L44+M44+N44</f>
        <v>15.785021089536894</v>
      </c>
      <c r="K44" s="9">
        <f>K38*(C3/C9)*(D9/D3)*(1000/1060)</f>
        <v>12.608839928772067</v>
      </c>
      <c r="L44" s="9">
        <f>L38*(C3/C9)*(D9/D3)*(1000/1052)</f>
        <v>3.1761811607648269</v>
      </c>
      <c r="M44" s="9">
        <f>M38*(C3/C9)*(D9/D3)</f>
        <v>0</v>
      </c>
      <c r="N44" s="9">
        <f>N38*(C3/C9)</f>
        <v>0</v>
      </c>
      <c r="O44" s="10">
        <f t="shared" si="33"/>
        <v>5</v>
      </c>
      <c r="P44" s="9">
        <f>P38*(C3/C9)</f>
        <v>1.5081743869209809</v>
      </c>
      <c r="Q44" s="9">
        <f t="shared" si="33"/>
        <v>0</v>
      </c>
      <c r="R44" s="9">
        <f>R38*(C3/C9)*(1000/1029)</f>
        <v>4.3970098744051924</v>
      </c>
      <c r="S44" s="9">
        <f>S38*(C9/C3)</f>
        <v>5.3044263775971094</v>
      </c>
      <c r="T44" s="7">
        <f>J44/H44</f>
        <v>0.34315263238123683</v>
      </c>
      <c r="U44" s="7">
        <f t="shared" ref="U44:U46" si="34">(J44+R44+Z44)/(H44+R44+Z44+AB44)</f>
        <v>0.40046088079903736</v>
      </c>
      <c r="V44" s="7">
        <f>X44/H44</f>
        <v>0.4122000489196026</v>
      </c>
      <c r="W44" s="8">
        <f>U44+V44</f>
        <v>0.81266092971864001</v>
      </c>
      <c r="X44" s="9">
        <f>K44+2*L44+3*M44+4*N44</f>
        <v>18.961202250301721</v>
      </c>
      <c r="Y44" s="10">
        <f t="shared" ref="Y44:AC46" si="35">Y38</f>
        <v>0</v>
      </c>
      <c r="Z44" s="10">
        <f t="shared" si="35"/>
        <v>0</v>
      </c>
      <c r="AA44" s="10">
        <f t="shared" si="35"/>
        <v>0</v>
      </c>
      <c r="AB44" s="10">
        <f t="shared" si="35"/>
        <v>0</v>
      </c>
      <c r="AC44" s="10">
        <f t="shared" si="35"/>
        <v>0</v>
      </c>
      <c r="AD44" s="7">
        <f>(((R44-AC44)*0.72)+(Z44*$J$5)+($K$5*K44)+($L$5*L44)+($M$5*M44)+($N$5*N44))/(H44+R44-AC44+AB44+Z44)</f>
        <v>0.37922628083719734</v>
      </c>
      <c r="AE44" s="11">
        <f>(AD44-$G$5)/$H$5*G44</f>
        <v>0.76945101278274397</v>
      </c>
      <c r="AF44" s="11">
        <f t="shared" ref="AF44:AF47" si="36">(AD44-$G$5)/$H$5*G44+AI44+AG44</f>
        <v>1.0710858901669402</v>
      </c>
      <c r="AG44" s="11">
        <f t="shared" ref="AG44:AG47" si="37">AH44*(G44/667)</f>
        <v>0</v>
      </c>
      <c r="AH44" s="10">
        <v>0</v>
      </c>
      <c r="AI44" s="3">
        <f>(P44*$O$5)+(Q44*$P$5)/(K44+R44+Z44-AC44)</f>
        <v>0.3016348773841962</v>
      </c>
      <c r="AJ44" s="3">
        <f>G44/(VLOOKUP(D44,$F$3:$AD$5,25,0))</f>
        <v>2.8</v>
      </c>
      <c r="AK44" s="3">
        <f>AF44+20*(G44/600)</f>
        <v>2.7044192235002735</v>
      </c>
      <c r="AL44" s="3">
        <f>(VLOOKUP(D44,$F$3:$AD$5,24,0))</f>
        <v>11.42</v>
      </c>
      <c r="AM44" s="3">
        <f t="shared" ref="AM44:AM46" si="38">AK44/AL44</f>
        <v>0.23681429277585583</v>
      </c>
      <c r="AN44" s="10"/>
    </row>
    <row r="45" spans="1:40" x14ac:dyDescent="0.3">
      <c r="A45" s="10" t="s">
        <v>523</v>
      </c>
      <c r="B45" s="10" t="s">
        <v>476</v>
      </c>
      <c r="C45" s="10">
        <v>27</v>
      </c>
      <c r="D45" s="10">
        <v>2016</v>
      </c>
      <c r="E45" s="10" t="s">
        <v>479</v>
      </c>
      <c r="F45" s="10">
        <f t="shared" ref="F45:Q47" si="39">F39</f>
        <v>100</v>
      </c>
      <c r="G45" s="10">
        <f t="shared" si="39"/>
        <v>435</v>
      </c>
      <c r="H45" s="10">
        <f t="shared" si="39"/>
        <v>390</v>
      </c>
      <c r="I45" s="10">
        <f t="shared" si="39"/>
        <v>62</v>
      </c>
      <c r="J45" s="9">
        <f t="shared" ref="J45:J46" si="40">K45+L45+M45+N45</f>
        <v>120.8831171681782</v>
      </c>
      <c r="K45" s="9">
        <f>K39*(C5/C9)*(D9/D5)</f>
        <v>66.355914831155474</v>
      </c>
      <c r="L45" s="9">
        <f>L39*(C5/C9)*(D9/D5)*(1000/800)</f>
        <v>26.331712234585506</v>
      </c>
      <c r="M45" s="9">
        <f>M39*(C5/C9)*(D9/D5)*(1000/1030)</f>
        <v>6.1355445983500205</v>
      </c>
      <c r="N45" s="9">
        <f>N39*(C5/C9)*(1000/750)</f>
        <v>22.059945504087196</v>
      </c>
      <c r="O45" s="10">
        <f t="shared" si="39"/>
        <v>66</v>
      </c>
      <c r="P45" s="9">
        <f>P39*(C5/C9)</f>
        <v>18.61307901907357</v>
      </c>
      <c r="Q45" s="9">
        <f>Q39*(C9/C5)</f>
        <v>3.8682476943346509</v>
      </c>
      <c r="R45" s="9">
        <f>R39*(C5/C9)*(1000/980)</f>
        <v>39.041038758827789</v>
      </c>
      <c r="S45" s="9">
        <f>S39*(C9/C5)</f>
        <v>75.430830039525688</v>
      </c>
      <c r="T45" s="7">
        <f t="shared" ref="T45:T47" si="41">J45/H45</f>
        <v>0.30995671068763642</v>
      </c>
      <c r="U45" s="7">
        <f t="shared" si="34"/>
        <v>0.37507726137696695</v>
      </c>
      <c r="V45" s="7">
        <f t="shared" ref="V45:V47" si="42">X45/H45</f>
        <v>0.57863014131211621</v>
      </c>
      <c r="W45" s="8">
        <f t="shared" ref="W45:W47" si="43">U45+V45</f>
        <v>0.95370740268908316</v>
      </c>
      <c r="X45" s="9">
        <f t="shared" ref="X45:X47" si="44">K45+2*L45+3*M45+4*N45</f>
        <v>225.66575511172533</v>
      </c>
      <c r="Y45" s="10">
        <f t="shared" si="35"/>
        <v>4</v>
      </c>
      <c r="Z45" s="10">
        <f t="shared" si="35"/>
        <v>4</v>
      </c>
      <c r="AA45" s="10">
        <f t="shared" si="35"/>
        <v>0</v>
      </c>
      <c r="AB45" s="10">
        <f t="shared" si="35"/>
        <v>4</v>
      </c>
      <c r="AC45" s="10">
        <f t="shared" si="35"/>
        <v>1</v>
      </c>
      <c r="AD45" s="7">
        <f>(((R45-AC45)*0.72)+(Z45*$J$5)+($K$5*K45)+($L$5*L45)+($M$5*M45)+($N$5*N45))/(H45+R45-AC45+AB45+Z45)</f>
        <v>0.40854468132228366</v>
      </c>
      <c r="AE45" s="11">
        <f>(AD45-$G$5)/$H$5*G45</f>
        <v>18.456642092245577</v>
      </c>
      <c r="AF45" s="11">
        <f t="shared" si="36"/>
        <v>22.196922438699914</v>
      </c>
      <c r="AG45" s="11">
        <f t="shared" si="37"/>
        <v>0</v>
      </c>
      <c r="AH45" s="10">
        <v>0</v>
      </c>
      <c r="AI45" s="3">
        <f>(P45*$O$5)+(Q45*$P$5)/(K45+R45+Z45-AC45)</f>
        <v>3.7402803464543384</v>
      </c>
      <c r="AJ45" s="3">
        <f>G45/(VLOOKUP(D45,$F$3:$AD$5,25,0))</f>
        <v>24.857142857142858</v>
      </c>
      <c r="AK45" s="3">
        <f>AF45+20*(G45/600)</f>
        <v>36.696922438699914</v>
      </c>
      <c r="AL45" s="3">
        <f t="shared" ref="AL45:AL47" si="45">(VLOOKUP(D45,$F$3:$AD$5,24,0))</f>
        <v>11.42</v>
      </c>
      <c r="AM45" s="3">
        <f t="shared" si="38"/>
        <v>3.2133907564535829</v>
      </c>
      <c r="AN45" s="10"/>
    </row>
    <row r="46" spans="1:40" x14ac:dyDescent="0.3">
      <c r="A46" s="10" t="s">
        <v>523</v>
      </c>
      <c r="B46" s="10" t="s">
        <v>476</v>
      </c>
      <c r="C46" s="10">
        <v>28</v>
      </c>
      <c r="D46" s="10">
        <v>2017</v>
      </c>
      <c r="E46" s="10" t="s">
        <v>479</v>
      </c>
      <c r="F46" s="10">
        <f t="shared" si="39"/>
        <v>36</v>
      </c>
      <c r="G46" s="10">
        <f t="shared" si="39"/>
        <v>77</v>
      </c>
      <c r="H46" s="10">
        <f t="shared" si="39"/>
        <v>72</v>
      </c>
      <c r="I46" s="10">
        <f t="shared" si="39"/>
        <v>13</v>
      </c>
      <c r="J46" s="9">
        <f t="shared" si="40"/>
        <v>23.793272955554251</v>
      </c>
      <c r="K46" s="9">
        <f>K40*(C3/C9)*(D9/D3)*(1000/1100)</f>
        <v>18.225504987952352</v>
      </c>
      <c r="L46" s="9">
        <f>L40*(C3/C9)*(D9/D3)*(1000/1185)</f>
        <v>4.2295475710437955</v>
      </c>
      <c r="M46" s="9">
        <f>M40*(C3/C9)</f>
        <v>0</v>
      </c>
      <c r="N46" s="9">
        <f>N40*(C3/C9)*(1000/1127)</f>
        <v>1.3382203965581019</v>
      </c>
      <c r="O46" s="10">
        <f t="shared" si="39"/>
        <v>7</v>
      </c>
      <c r="P46" s="9">
        <f>P40*(C3/C9)</f>
        <v>4.5245231607629428</v>
      </c>
      <c r="Q46" s="9">
        <f t="shared" si="39"/>
        <v>0</v>
      </c>
      <c r="R46" s="9">
        <f>R40*(C3/C9)*(1000/1184)</f>
        <v>5.0951837395979087</v>
      </c>
      <c r="S46" s="9">
        <f>S40*(C9/C3)</f>
        <v>15.25022583559169</v>
      </c>
      <c r="T46" s="7">
        <f t="shared" si="41"/>
        <v>0.33046212438269795</v>
      </c>
      <c r="U46" s="7">
        <f t="shared" si="34"/>
        <v>0.36991342246505732</v>
      </c>
      <c r="V46" s="7">
        <f t="shared" si="42"/>
        <v>0.444965023837116</v>
      </c>
      <c r="W46" s="8">
        <f t="shared" si="43"/>
        <v>0.81487844630217332</v>
      </c>
      <c r="X46" s="9">
        <f t="shared" si="44"/>
        <v>32.037481716272353</v>
      </c>
      <c r="Y46" s="10">
        <f t="shared" si="35"/>
        <v>0</v>
      </c>
      <c r="Z46" s="10">
        <f t="shared" si="35"/>
        <v>0</v>
      </c>
      <c r="AA46" s="10">
        <f t="shared" si="35"/>
        <v>0</v>
      </c>
      <c r="AB46" s="10">
        <f t="shared" si="35"/>
        <v>1</v>
      </c>
      <c r="AC46" s="10">
        <f t="shared" si="35"/>
        <v>0</v>
      </c>
      <c r="AD46" s="7">
        <f>(((R46-AC46)*0.72)+(Z46*$J$4)+($K$4*K46)+($L$4*L46)+($M$4*M46)+($N$4*N46))/(H46+R46-AC46+AB46+Z46)</f>
        <v>0.36407536829607057</v>
      </c>
      <c r="AE46" s="11">
        <f t="shared" ref="AE46:AE47" si="46">(AD46-$G$5)/$H$5*G46</f>
        <v>0.14567307091835421</v>
      </c>
      <c r="AF46" s="11">
        <f t="shared" si="36"/>
        <v>1.0505777030709429</v>
      </c>
      <c r="AG46" s="11">
        <f t="shared" si="37"/>
        <v>0</v>
      </c>
      <c r="AH46" s="10">
        <v>0</v>
      </c>
      <c r="AI46" s="3">
        <f>(P46*$O$3)+(Q46*$P$3)/(K46+R46+Z46-AC46)</f>
        <v>0.90490463215258865</v>
      </c>
      <c r="AJ46" s="3">
        <f t="shared" ref="AJ46:AJ47" si="47">G46/(VLOOKUP(D46,$F$3:$AD$5,25,0))</f>
        <v>4.2307692307692308</v>
      </c>
      <c r="AK46" s="3">
        <f>AF46+20*(G46/600)</f>
        <v>3.6172443697376093</v>
      </c>
      <c r="AL46" s="3">
        <f t="shared" si="45"/>
        <v>10.77</v>
      </c>
      <c r="AM46" s="3">
        <f t="shared" si="38"/>
        <v>0.33586298697656541</v>
      </c>
      <c r="AN46" s="10"/>
    </row>
    <row r="47" spans="1:40" x14ac:dyDescent="0.3">
      <c r="A47" s="10" t="s">
        <v>523</v>
      </c>
      <c r="B47" s="10" t="s">
        <v>476</v>
      </c>
      <c r="C47" s="10">
        <v>28</v>
      </c>
      <c r="D47" s="10">
        <v>2017</v>
      </c>
      <c r="E47" s="10" t="s">
        <v>479</v>
      </c>
      <c r="F47" s="10">
        <f t="shared" si="39"/>
        <v>95</v>
      </c>
      <c r="G47" s="10">
        <f t="shared" si="39"/>
        <v>399</v>
      </c>
      <c r="H47" s="10">
        <f t="shared" si="39"/>
        <v>366</v>
      </c>
      <c r="I47" s="10">
        <f t="shared" si="39"/>
        <v>55</v>
      </c>
      <c r="J47" s="9">
        <f>K47+L47+M47+N47</f>
        <v>109.40456294346829</v>
      </c>
      <c r="K47" s="9">
        <f>K41*(C5/C9)*(D9/D5)*(1000/1030)</f>
        <v>61.355445983500211</v>
      </c>
      <c r="L47" s="9">
        <f>L41*(C5/C9)*(D9/D5)*(1000/820)</f>
        <v>30.827370420978149</v>
      </c>
      <c r="M47" s="9">
        <f>M41*(C5/C9)*(D9/D5)*(1000/860)</f>
        <v>2.449461603217256</v>
      </c>
      <c r="N47" s="9">
        <f>N41*(C5/C9)*(1000/700)</f>
        <v>14.772284935772676</v>
      </c>
      <c r="O47" s="10">
        <f>O41</f>
        <v>44</v>
      </c>
      <c r="P47" s="9">
        <f>P41*(C5/C9)</f>
        <v>16.544959128065397</v>
      </c>
      <c r="Q47" s="9">
        <f>Q41*(C9/C5)</f>
        <v>5.8023715415019765</v>
      </c>
      <c r="R47" s="9">
        <f>R41*(C5/C9)*(1000/1020)</f>
        <v>31.427312069241864</v>
      </c>
      <c r="S47" s="9">
        <f>S41*(C9/C5)</f>
        <v>77.364953886693016</v>
      </c>
      <c r="T47" s="7">
        <f t="shared" si="41"/>
        <v>0.29891957088379317</v>
      </c>
      <c r="U47" s="7">
        <f t="shared" ref="U47" si="48">(J47+R47+Z47)/(H47+R47+Z47+AB47)</f>
        <v>0.35759165859932446</v>
      </c>
      <c r="V47" s="7">
        <f t="shared" si="42"/>
        <v>0.51761669775464203</v>
      </c>
      <c r="W47" s="8">
        <f t="shared" si="43"/>
        <v>0.87520835635396654</v>
      </c>
      <c r="X47" s="9">
        <f t="shared" si="44"/>
        <v>189.44771137819899</v>
      </c>
      <c r="Y47" s="10">
        <f>Y41</f>
        <v>5</v>
      </c>
      <c r="Z47" s="10">
        <f>Z41</f>
        <v>2</v>
      </c>
      <c r="AA47" s="10">
        <f>AA41</f>
        <v>0</v>
      </c>
      <c r="AB47" s="10">
        <f>AB41</f>
        <v>0</v>
      </c>
      <c r="AC47" s="10">
        <f>AC41</f>
        <v>1</v>
      </c>
      <c r="AD47" s="7">
        <f>(((R47-AC47)*0.72)+(Z47*$J$4)+($K$4*K47)+($L$4*L47)+($M$4*M47)+($N$4*N47))/(H47+R47-AC47+AB47+Z47)</f>
        <v>0.37900563727178327</v>
      </c>
      <c r="AE47" s="11">
        <f t="shared" si="46"/>
        <v>6.1852773668564529</v>
      </c>
      <c r="AF47" s="11">
        <f t="shared" si="36"/>
        <v>9.5247094019248095</v>
      </c>
      <c r="AG47" s="11">
        <f t="shared" si="37"/>
        <v>0</v>
      </c>
      <c r="AH47" s="10">
        <v>0</v>
      </c>
      <c r="AI47" s="3">
        <f>(P47*$O$3)+(Q47*$P$3)/(K47+R47+Z47-AC47)</f>
        <v>3.3394320350683557</v>
      </c>
      <c r="AJ47" s="3">
        <f t="shared" si="47"/>
        <v>21.923076923076923</v>
      </c>
      <c r="AK47" s="3">
        <f>AF47+20*(G47/600)</f>
        <v>22.82470940192481</v>
      </c>
      <c r="AL47" s="3">
        <f t="shared" si="45"/>
        <v>10.77</v>
      </c>
      <c r="AM47" s="3">
        <f t="shared" ref="AM47" si="49">AK47/AL47</f>
        <v>2.1192859240413009</v>
      </c>
      <c r="AN47" s="10"/>
    </row>
    <row r="48" spans="1:40" x14ac:dyDescent="0.3">
      <c r="F48" s="10"/>
    </row>
    <row r="49" spans="1:40" x14ac:dyDescent="0.3">
      <c r="B49" s="10" t="s">
        <v>146</v>
      </c>
      <c r="C49" s="10" t="s">
        <v>176</v>
      </c>
      <c r="D49" s="10" t="s">
        <v>173</v>
      </c>
      <c r="E49" s="10" t="s">
        <v>171</v>
      </c>
      <c r="F49" s="10" t="s">
        <v>148</v>
      </c>
      <c r="G49" s="10" t="s">
        <v>149</v>
      </c>
      <c r="H49" s="10" t="s">
        <v>150</v>
      </c>
      <c r="I49" s="10" t="s">
        <v>151</v>
      </c>
      <c r="J49" s="10" t="s">
        <v>152</v>
      </c>
      <c r="K49" s="10" t="s">
        <v>184</v>
      </c>
      <c r="L49" s="10" t="s">
        <v>153</v>
      </c>
      <c r="M49" s="10" t="s">
        <v>154</v>
      </c>
      <c r="N49" s="10" t="s">
        <v>155</v>
      </c>
      <c r="O49" s="10" t="s">
        <v>156</v>
      </c>
      <c r="P49" s="10" t="s">
        <v>157</v>
      </c>
      <c r="Q49" s="10" t="s">
        <v>158</v>
      </c>
      <c r="R49" s="10" t="s">
        <v>159</v>
      </c>
      <c r="S49" s="10" t="s">
        <v>160</v>
      </c>
      <c r="T49" s="10" t="s">
        <v>161</v>
      </c>
      <c r="U49" s="10" t="s">
        <v>162</v>
      </c>
      <c r="V49" s="10" t="s">
        <v>163</v>
      </c>
      <c r="W49" s="10" t="s">
        <v>164</v>
      </c>
      <c r="X49" s="10" t="s">
        <v>165</v>
      </c>
      <c r="Y49" s="10" t="s">
        <v>166</v>
      </c>
      <c r="Z49" s="10" t="s">
        <v>167</v>
      </c>
      <c r="AA49" s="10" t="s">
        <v>168</v>
      </c>
      <c r="AB49" s="10" t="s">
        <v>169</v>
      </c>
      <c r="AC49" s="10" t="s">
        <v>170</v>
      </c>
    </row>
    <row r="50" spans="1:40" x14ac:dyDescent="0.3">
      <c r="B50" s="5" t="s">
        <v>481</v>
      </c>
      <c r="C50" s="5">
        <v>28</v>
      </c>
      <c r="D50" s="5">
        <v>2016</v>
      </c>
      <c r="E50" s="5" t="s">
        <v>482</v>
      </c>
      <c r="F50" s="5">
        <v>24</v>
      </c>
      <c r="G50" s="5">
        <v>58</v>
      </c>
      <c r="H50" s="5">
        <v>55</v>
      </c>
      <c r="I50" s="5">
        <v>2</v>
      </c>
      <c r="J50" s="5">
        <v>13</v>
      </c>
      <c r="K50" s="5">
        <f>J50-L50-M50-N50</f>
        <v>12</v>
      </c>
      <c r="L50" s="5">
        <v>0</v>
      </c>
      <c r="M50" s="5">
        <v>0</v>
      </c>
      <c r="N50" s="5">
        <v>1</v>
      </c>
      <c r="O50" s="5">
        <v>7</v>
      </c>
      <c r="P50" s="5">
        <v>0</v>
      </c>
      <c r="Q50" s="5">
        <v>0</v>
      </c>
      <c r="R50" s="5">
        <v>3</v>
      </c>
      <c r="S50" s="5">
        <v>24</v>
      </c>
      <c r="T50" s="5">
        <v>0.23599999999999999</v>
      </c>
      <c r="U50" s="7">
        <f t="shared" ref="U50:U53" si="50">(J50+R50+Z50)/(H50+R50+Z50+AB50)</f>
        <v>0.27586206896551724</v>
      </c>
      <c r="V50" s="5">
        <v>0.29099999999999998</v>
      </c>
      <c r="W50" s="5">
        <v>0.56699999999999995</v>
      </c>
      <c r="X50" s="5">
        <v>16</v>
      </c>
      <c r="Y50" s="5">
        <v>3</v>
      </c>
      <c r="Z50" s="5">
        <v>0</v>
      </c>
      <c r="AA50" s="5">
        <v>0</v>
      </c>
      <c r="AB50" s="5">
        <v>0</v>
      </c>
      <c r="AC50" s="5">
        <v>0</v>
      </c>
    </row>
    <row r="51" spans="1:40" x14ac:dyDescent="0.3">
      <c r="B51" s="10" t="s">
        <v>481</v>
      </c>
      <c r="C51" s="10">
        <v>28</v>
      </c>
      <c r="D51" s="10">
        <v>2016</v>
      </c>
      <c r="E51" s="10" t="s">
        <v>483</v>
      </c>
      <c r="F51" s="5">
        <v>73</v>
      </c>
      <c r="G51" s="5">
        <v>301</v>
      </c>
      <c r="H51" s="5">
        <v>270</v>
      </c>
      <c r="I51" s="5">
        <v>32</v>
      </c>
      <c r="J51" s="5">
        <v>68</v>
      </c>
      <c r="K51" s="10">
        <f t="shared" ref="K51:K54" si="51">J51-L51-M51-N51</f>
        <v>47</v>
      </c>
      <c r="L51" s="5">
        <v>12</v>
      </c>
      <c r="M51" s="5">
        <v>1</v>
      </c>
      <c r="N51" s="5">
        <v>8</v>
      </c>
      <c r="O51" s="5">
        <v>37</v>
      </c>
      <c r="P51" s="5">
        <v>0</v>
      </c>
      <c r="Q51" s="5">
        <v>1</v>
      </c>
      <c r="R51" s="5">
        <v>26</v>
      </c>
      <c r="S51" s="5">
        <v>62</v>
      </c>
      <c r="T51" s="5">
        <v>0.252</v>
      </c>
      <c r="U51" s="7">
        <f t="shared" si="50"/>
        <v>0.31772575250836121</v>
      </c>
      <c r="V51" s="5">
        <v>0.39300000000000002</v>
      </c>
      <c r="W51" s="5">
        <v>0.71</v>
      </c>
      <c r="X51" s="5">
        <v>106</v>
      </c>
      <c r="Y51" s="5">
        <v>8</v>
      </c>
      <c r="Z51" s="5">
        <v>1</v>
      </c>
      <c r="AA51" s="5">
        <v>2</v>
      </c>
      <c r="AB51" s="5">
        <v>2</v>
      </c>
      <c r="AC51" s="5">
        <v>1</v>
      </c>
    </row>
    <row r="52" spans="1:40" x14ac:dyDescent="0.3">
      <c r="B52" s="10" t="s">
        <v>481</v>
      </c>
      <c r="C52" s="5">
        <v>29</v>
      </c>
      <c r="D52" s="5">
        <v>2017</v>
      </c>
      <c r="E52" s="5" t="s">
        <v>484</v>
      </c>
      <c r="F52" s="5">
        <v>64</v>
      </c>
      <c r="G52" s="5">
        <v>254</v>
      </c>
      <c r="H52" s="5">
        <v>215</v>
      </c>
      <c r="I52" s="5">
        <v>30</v>
      </c>
      <c r="J52" s="5">
        <v>64</v>
      </c>
      <c r="K52" s="10">
        <f t="shared" si="51"/>
        <v>38</v>
      </c>
      <c r="L52" s="5">
        <v>17</v>
      </c>
      <c r="M52" s="5">
        <v>4</v>
      </c>
      <c r="N52" s="5">
        <v>5</v>
      </c>
      <c r="O52" s="5">
        <v>28</v>
      </c>
      <c r="P52" s="5">
        <v>3</v>
      </c>
      <c r="Q52" s="5">
        <v>1</v>
      </c>
      <c r="R52" s="5">
        <v>38</v>
      </c>
      <c r="S52" s="5">
        <v>44</v>
      </c>
      <c r="T52" s="5">
        <v>0.29799999999999999</v>
      </c>
      <c r="U52" s="7">
        <f t="shared" si="50"/>
        <v>0.40157480314960631</v>
      </c>
      <c r="V52" s="5">
        <v>0.48399999999999999</v>
      </c>
      <c r="W52" s="5">
        <v>0.88500000000000001</v>
      </c>
      <c r="X52" s="5">
        <v>104</v>
      </c>
      <c r="Y52" s="5">
        <v>4</v>
      </c>
      <c r="Z52" s="5">
        <v>0</v>
      </c>
      <c r="AA52" s="5">
        <v>0</v>
      </c>
      <c r="AB52" s="5">
        <v>1</v>
      </c>
      <c r="AC52" s="5">
        <v>2</v>
      </c>
    </row>
    <row r="53" spans="1:40" x14ac:dyDescent="0.3">
      <c r="B53" s="10" t="s">
        <v>481</v>
      </c>
      <c r="C53" s="5">
        <v>30</v>
      </c>
      <c r="D53" s="5">
        <v>2018</v>
      </c>
      <c r="E53" s="5" t="s">
        <v>483</v>
      </c>
      <c r="F53" s="5">
        <v>22</v>
      </c>
      <c r="G53" s="5">
        <v>82</v>
      </c>
      <c r="H53" s="5">
        <v>71</v>
      </c>
      <c r="I53" s="5">
        <v>10</v>
      </c>
      <c r="J53" s="5">
        <v>22</v>
      </c>
      <c r="K53" s="10">
        <f t="shared" si="51"/>
        <v>15</v>
      </c>
      <c r="L53" s="5">
        <v>4</v>
      </c>
      <c r="M53" s="5">
        <v>0</v>
      </c>
      <c r="N53" s="5">
        <v>3</v>
      </c>
      <c r="O53" s="5">
        <v>7</v>
      </c>
      <c r="P53" s="5">
        <v>1</v>
      </c>
      <c r="Q53" s="5">
        <v>0</v>
      </c>
      <c r="R53" s="5">
        <v>10</v>
      </c>
      <c r="S53" s="5">
        <v>13</v>
      </c>
      <c r="T53" s="5">
        <v>0.31</v>
      </c>
      <c r="U53" s="7">
        <f t="shared" si="50"/>
        <v>0.40243902439024393</v>
      </c>
      <c r="V53" s="5">
        <v>0.49299999999999999</v>
      </c>
      <c r="W53" s="5">
        <v>0.89500000000000002</v>
      </c>
      <c r="X53" s="5">
        <v>35</v>
      </c>
      <c r="Y53" s="5">
        <v>1</v>
      </c>
      <c r="Z53" s="5">
        <v>1</v>
      </c>
      <c r="AA53" s="5">
        <v>0</v>
      </c>
      <c r="AB53" s="5">
        <v>0</v>
      </c>
      <c r="AC53" s="5">
        <v>0</v>
      </c>
    </row>
    <row r="54" spans="1:40" x14ac:dyDescent="0.3">
      <c r="B54" s="10" t="s">
        <v>481</v>
      </c>
      <c r="C54" s="5">
        <v>30</v>
      </c>
      <c r="D54" s="5">
        <v>2018</v>
      </c>
      <c r="E54" s="5" t="s">
        <v>484</v>
      </c>
      <c r="F54" s="5">
        <v>78</v>
      </c>
      <c r="G54" s="5">
        <v>289</v>
      </c>
      <c r="H54" s="5">
        <v>252</v>
      </c>
      <c r="I54" s="5">
        <v>41</v>
      </c>
      <c r="J54" s="5">
        <v>65</v>
      </c>
      <c r="K54" s="10">
        <f t="shared" si="51"/>
        <v>28</v>
      </c>
      <c r="L54" s="5">
        <v>24</v>
      </c>
      <c r="M54" s="5">
        <v>0</v>
      </c>
      <c r="N54" s="5">
        <v>13</v>
      </c>
      <c r="O54" s="5">
        <v>39</v>
      </c>
      <c r="P54" s="5">
        <v>3</v>
      </c>
      <c r="Q54" s="5">
        <v>0</v>
      </c>
      <c r="R54" s="5">
        <v>34</v>
      </c>
      <c r="S54" s="5">
        <v>65</v>
      </c>
      <c r="T54" s="5">
        <v>0.25800000000000001</v>
      </c>
      <c r="U54" s="7">
        <f t="shared" ref="U54" si="52">(J54+R54+Z54)/(H54+R54+Z54+AB54)</f>
        <v>0.34948096885813151</v>
      </c>
      <c r="V54" s="5">
        <v>0.50800000000000001</v>
      </c>
      <c r="W54" s="5">
        <v>0.85699999999999998</v>
      </c>
      <c r="X54" s="5">
        <v>128</v>
      </c>
      <c r="Y54" s="5">
        <v>5</v>
      </c>
      <c r="Z54" s="5">
        <v>2</v>
      </c>
      <c r="AA54" s="5">
        <v>0</v>
      </c>
      <c r="AB54" s="5">
        <v>1</v>
      </c>
      <c r="AC54" s="5">
        <v>1</v>
      </c>
    </row>
    <row r="55" spans="1:40" x14ac:dyDescent="0.3">
      <c r="B55" s="10"/>
    </row>
    <row r="56" spans="1:40" x14ac:dyDescent="0.3">
      <c r="B56" s="10" t="s">
        <v>146</v>
      </c>
      <c r="C56" s="10" t="s">
        <v>176</v>
      </c>
      <c r="D56" s="10" t="s">
        <v>173</v>
      </c>
      <c r="E56" s="10" t="s">
        <v>171</v>
      </c>
      <c r="F56" s="10" t="s">
        <v>148</v>
      </c>
      <c r="G56" s="10" t="s">
        <v>149</v>
      </c>
      <c r="H56" s="10" t="s">
        <v>150</v>
      </c>
      <c r="I56" s="10" t="s">
        <v>151</v>
      </c>
      <c r="J56" s="10" t="s">
        <v>152</v>
      </c>
      <c r="K56" s="10" t="s">
        <v>184</v>
      </c>
      <c r="L56" s="10" t="s">
        <v>153</v>
      </c>
      <c r="M56" s="10" t="s">
        <v>154</v>
      </c>
      <c r="N56" s="10" t="s">
        <v>155</v>
      </c>
      <c r="O56" s="10" t="s">
        <v>156</v>
      </c>
      <c r="P56" s="10" t="s">
        <v>157</v>
      </c>
      <c r="Q56" s="10" t="s">
        <v>158</v>
      </c>
      <c r="R56" s="10" t="s">
        <v>159</v>
      </c>
      <c r="S56" s="10" t="s">
        <v>160</v>
      </c>
      <c r="T56" s="10" t="s">
        <v>161</v>
      </c>
      <c r="U56" s="10" t="s">
        <v>162</v>
      </c>
      <c r="V56" s="10" t="s">
        <v>163</v>
      </c>
      <c r="W56" s="10" t="s">
        <v>164</v>
      </c>
      <c r="X56" s="10" t="s">
        <v>165</v>
      </c>
      <c r="Y56" s="10" t="s">
        <v>166</v>
      </c>
      <c r="Z56" s="10" t="s">
        <v>167</v>
      </c>
      <c r="AA56" s="10" t="s">
        <v>168</v>
      </c>
      <c r="AB56" s="10" t="s">
        <v>169</v>
      </c>
      <c r="AC56" s="10" t="s">
        <v>170</v>
      </c>
      <c r="AD56" s="10" t="s">
        <v>185</v>
      </c>
      <c r="AE56" s="10" t="s">
        <v>504</v>
      </c>
      <c r="AF56" s="10" t="s">
        <v>496</v>
      </c>
      <c r="AG56" s="10" t="s">
        <v>502</v>
      </c>
      <c r="AH56" s="10" t="s">
        <v>461</v>
      </c>
      <c r="AI56" s="10" t="s">
        <v>431</v>
      </c>
      <c r="AJ56" s="10" t="s">
        <v>501</v>
      </c>
      <c r="AK56" s="10" t="s">
        <v>432</v>
      </c>
      <c r="AL56" s="10" t="s">
        <v>499</v>
      </c>
      <c r="AM56" s="10" t="s">
        <v>433</v>
      </c>
    </row>
    <row r="57" spans="1:40" x14ac:dyDescent="0.3">
      <c r="A57" s="10" t="s">
        <v>523</v>
      </c>
      <c r="B57" s="10" t="s">
        <v>481</v>
      </c>
      <c r="C57" s="10">
        <v>28</v>
      </c>
      <c r="D57" s="10">
        <v>2016</v>
      </c>
      <c r="E57" s="10" t="s">
        <v>175</v>
      </c>
      <c r="F57" s="5">
        <f>F50</f>
        <v>24</v>
      </c>
      <c r="G57" s="10">
        <f t="shared" ref="G57:Q57" si="53">G50</f>
        <v>58</v>
      </c>
      <c r="H57" s="10">
        <f t="shared" si="53"/>
        <v>55</v>
      </c>
      <c r="I57" s="10">
        <f t="shared" si="53"/>
        <v>2</v>
      </c>
      <c r="J57" s="9">
        <f>K57+L57+M57+N57</f>
        <v>20.847777767064649</v>
      </c>
      <c r="K57" s="9">
        <f>K50*(C3/C9)*(D9/D3)*(1000/1030)</f>
        <v>19.464131540531639</v>
      </c>
      <c r="L57" s="9">
        <f>L50*(C3/C9)*(D9/D3)</f>
        <v>0</v>
      </c>
      <c r="M57" s="9">
        <f>M50*(C3/C9)*(D9/D3)</f>
        <v>0</v>
      </c>
      <c r="N57" s="9">
        <f>N50*(C3/C9)*(1000/1090)</f>
        <v>1.3836462265330101</v>
      </c>
      <c r="O57" s="9">
        <f t="shared" si="53"/>
        <v>7</v>
      </c>
      <c r="P57" s="9">
        <f t="shared" si="53"/>
        <v>0</v>
      </c>
      <c r="Q57" s="9">
        <f t="shared" si="53"/>
        <v>0</v>
      </c>
      <c r="R57" s="9">
        <f>R50*(C3/C9)*(1000/1080)</f>
        <v>4.1893732970027244</v>
      </c>
      <c r="S57" s="9">
        <f>S50*(C9/C3)</f>
        <v>15.913279132791327</v>
      </c>
      <c r="T57" s="7">
        <f>J57/H57</f>
        <v>0.37905050485572089</v>
      </c>
      <c r="U57" s="7">
        <f t="shared" ref="U57:U60" si="54">(J57+R57+Z57)/(H57+R57+Z57+AB57)</f>
        <v>0.42300077986017842</v>
      </c>
      <c r="V57" s="7">
        <f>X57/H57</f>
        <v>0.45452211721206687</v>
      </c>
      <c r="W57" s="8">
        <f>U57+V57</f>
        <v>0.87752289707224529</v>
      </c>
      <c r="X57" s="9">
        <f>K57+2*L57+3*M57+4*N57</f>
        <v>24.998716446663678</v>
      </c>
      <c r="Y57" s="10">
        <f t="shared" ref="Y57:AC57" si="55">Y50</f>
        <v>3</v>
      </c>
      <c r="Z57" s="10">
        <f t="shared" si="55"/>
        <v>0</v>
      </c>
      <c r="AA57" s="10">
        <f t="shared" si="55"/>
        <v>0</v>
      </c>
      <c r="AB57" s="10">
        <f t="shared" si="55"/>
        <v>0</v>
      </c>
      <c r="AC57" s="10">
        <f t="shared" si="55"/>
        <v>0</v>
      </c>
      <c r="AD57" s="7">
        <f>(((R57-AC57)*0.72)+(Z57*$J$5)+($K$5*K57)+($L$5*L57)+($M$5*M57)+($N$5*N57))/(H57+R57-AC57+AB57+Z57)</f>
        <v>0.4057594826279341</v>
      </c>
      <c r="AE57" s="11">
        <f>(AD57-$G$5)/$H$5*G57</f>
        <v>2.313628069662879</v>
      </c>
      <c r="AF57" s="11">
        <f t="shared" ref="AF57:AF61" si="56">(AD57-$G$5)/$H$5*G57+AI57+AG57</f>
        <v>2.348410678358531</v>
      </c>
      <c r="AG57" s="11">
        <f t="shared" ref="AG57:AG61" si="57">AH57*(G57/667)</f>
        <v>3.4782608695652174E-2</v>
      </c>
      <c r="AH57" s="5">
        <v>0.4</v>
      </c>
      <c r="AI57" s="3">
        <f>(P57*$O$5)+(Q57*$P$5)/(K57+R57+Z57-AC57)</f>
        <v>0</v>
      </c>
      <c r="AJ57" s="3">
        <f>G57/(VLOOKUP(D57,$F$3:$AD$5,25,0))</f>
        <v>3.3142857142857145</v>
      </c>
      <c r="AK57" s="3">
        <f>AF57+20*(G57/600)</f>
        <v>4.2817440116918641</v>
      </c>
      <c r="AL57" s="3">
        <f>(VLOOKUP(D57,$F$3:$AD$5,24,0))</f>
        <v>11.42</v>
      </c>
      <c r="AM57" s="3">
        <f t="shared" ref="AM57:AM60" si="58">AK57/AL57</f>
        <v>0.37493380137406868</v>
      </c>
      <c r="AN57" s="10"/>
    </row>
    <row r="58" spans="1:40" x14ac:dyDescent="0.3">
      <c r="A58" s="10" t="s">
        <v>523</v>
      </c>
      <c r="B58" s="10" t="s">
        <v>481</v>
      </c>
      <c r="C58" s="10">
        <v>28</v>
      </c>
      <c r="D58" s="10">
        <v>2016</v>
      </c>
      <c r="E58" s="10" t="s">
        <v>175</v>
      </c>
      <c r="F58" s="10">
        <f t="shared" ref="F58:S61" si="59">F51</f>
        <v>73</v>
      </c>
      <c r="G58" s="10">
        <f t="shared" si="59"/>
        <v>301</v>
      </c>
      <c r="H58" s="10">
        <f t="shared" si="59"/>
        <v>270</v>
      </c>
      <c r="I58" s="10">
        <f t="shared" si="59"/>
        <v>32</v>
      </c>
      <c r="J58" s="9">
        <f t="shared" ref="J58:J61" si="60">K58+L58+M58+N58</f>
        <v>76.468977980895772</v>
      </c>
      <c r="K58" s="9">
        <f>K51*(C6/C9)*(D9/D6)*(1000/986)</f>
        <v>55.634531194965845</v>
      </c>
      <c r="L58" s="9">
        <f>L51*(C6/C9)*(D9/D6)*(1000/1060)</f>
        <v>13.212921981108709</v>
      </c>
      <c r="M58" s="9">
        <f>M51*(C6/C9)*(D9/D6)*(1000/1230)</f>
        <v>0.94889548102813226</v>
      </c>
      <c r="N58" s="9">
        <f>N51*(C6/C9)*(1000/1310)</f>
        <v>6.6726293237930827</v>
      </c>
      <c r="O58" s="9">
        <f t="shared" si="59"/>
        <v>37</v>
      </c>
      <c r="P58" s="9">
        <f t="shared" si="59"/>
        <v>0</v>
      </c>
      <c r="Q58" s="9">
        <f>Q51*(C9/C6)</f>
        <v>0.91521197007481292</v>
      </c>
      <c r="R58" s="9">
        <f>R51*(C6/C9)*(1000/1230)</f>
        <v>23.096519793535808</v>
      </c>
      <c r="S58" s="9">
        <f>S51*(C9/C6)</f>
        <v>56.743142144638398</v>
      </c>
      <c r="T58" s="7">
        <f t="shared" ref="T58:T61" si="61">J58/H58</f>
        <v>0.28321843696628063</v>
      </c>
      <c r="U58" s="7">
        <f t="shared" si="54"/>
        <v>0.33963755414806823</v>
      </c>
      <c r="V58" s="7">
        <f t="shared" ref="V58:V61" si="62">X58/H58</f>
        <v>0.41332436627940733</v>
      </c>
      <c r="W58" s="8">
        <f t="shared" ref="W58:W61" si="63">U58+V58</f>
        <v>0.75296192042747556</v>
      </c>
      <c r="X58" s="9">
        <f t="shared" ref="X58:X61" si="64">K58+2*L58+3*M58+4*N58</f>
        <v>111.59757889543998</v>
      </c>
      <c r="Y58" s="10">
        <f t="shared" ref="Y58:AC58" si="65">Y51</f>
        <v>8</v>
      </c>
      <c r="Z58" s="10">
        <f t="shared" si="65"/>
        <v>1</v>
      </c>
      <c r="AA58" s="10">
        <f t="shared" si="65"/>
        <v>2</v>
      </c>
      <c r="AB58" s="10">
        <f t="shared" si="65"/>
        <v>2</v>
      </c>
      <c r="AC58" s="10">
        <f t="shared" si="65"/>
        <v>1</v>
      </c>
      <c r="AD58" s="7">
        <f>(((R58-AC58)*0.72)+(Z58*$J$5)+($K$5*K58)+($L$5*L58)+($M$5*M58)+($N$5*N58))/(H58+R58-AC58+AB58+Z58)</f>
        <v>0.33946862171646563</v>
      </c>
      <c r="AE58" s="11">
        <f>(AD58-$G$5)/$H$5*G58</f>
        <v>-6.1822651443426082</v>
      </c>
      <c r="AF58" s="11">
        <f t="shared" si="56"/>
        <v>-5.996001253684291</v>
      </c>
      <c r="AG58" s="11">
        <f t="shared" si="57"/>
        <v>0.18050974512743628</v>
      </c>
      <c r="AH58" s="10">
        <v>0.4</v>
      </c>
      <c r="AI58" s="3">
        <f>(P58*$O$5)+(Q58*$P$5)/(K58+R58+Z58-AC58)</f>
        <v>5.7541455308807651E-3</v>
      </c>
      <c r="AJ58" s="3">
        <f>G58/(VLOOKUP(D58,$F$3:$AD$5,25,0))</f>
        <v>17.2</v>
      </c>
      <c r="AK58" s="3">
        <f>AF58+20*(G58/600)</f>
        <v>4.0373320796490439</v>
      </c>
      <c r="AL58" s="3">
        <f t="shared" ref="AL58:AL61" si="66">(VLOOKUP(D58,$F$3:$AD$5,24,0))</f>
        <v>11.42</v>
      </c>
      <c r="AM58" s="3">
        <f t="shared" si="58"/>
        <v>0.35353170574860282</v>
      </c>
      <c r="AN58" s="10"/>
    </row>
    <row r="59" spans="1:40" x14ac:dyDescent="0.3">
      <c r="A59" s="10" t="s">
        <v>523</v>
      </c>
      <c r="B59" s="10" t="s">
        <v>481</v>
      </c>
      <c r="C59" s="10">
        <v>29</v>
      </c>
      <c r="D59" s="10">
        <v>2017</v>
      </c>
      <c r="E59" s="10" t="s">
        <v>175</v>
      </c>
      <c r="F59" s="10">
        <f t="shared" si="59"/>
        <v>64</v>
      </c>
      <c r="G59" s="10">
        <f t="shared" si="59"/>
        <v>254</v>
      </c>
      <c r="H59" s="10">
        <f t="shared" si="59"/>
        <v>215</v>
      </c>
      <c r="I59" s="10">
        <f t="shared" si="59"/>
        <v>30</v>
      </c>
      <c r="J59" s="9">
        <f t="shared" si="60"/>
        <v>69.458438440865805</v>
      </c>
      <c r="K59" s="9">
        <f>K52*(C12/C9)*(D9/D12)*(1000/1010)</f>
        <v>38.163141927271752</v>
      </c>
      <c r="L59" s="9">
        <f>L52*(C12/C9)*(D9/D12)*(1000/875)</f>
        <v>19.707102162143034</v>
      </c>
      <c r="M59" s="9">
        <f>M52*(C12/C9)*(D9/D12)*(1000/935)</f>
        <v>4.3394059495124653</v>
      </c>
      <c r="N59" s="9">
        <f>N52*(C12/C9)*(1000/655)</f>
        <v>7.2487884019385573</v>
      </c>
      <c r="O59" s="9">
        <f t="shared" si="59"/>
        <v>28</v>
      </c>
      <c r="P59" s="9">
        <f>P52*(C12/C9)</f>
        <v>2.8487738419618527</v>
      </c>
      <c r="Q59" s="9">
        <f>Q52*(C9/C12)</f>
        <v>1.0530846484935439</v>
      </c>
      <c r="R59" s="9">
        <f t="shared" si="59"/>
        <v>38</v>
      </c>
      <c r="S59" s="9">
        <f t="shared" si="59"/>
        <v>44</v>
      </c>
      <c r="T59" s="7">
        <f t="shared" si="61"/>
        <v>0.32306250437612005</v>
      </c>
      <c r="U59" s="7">
        <f t="shared" si="54"/>
        <v>0.42306471827112524</v>
      </c>
      <c r="V59" s="7">
        <f t="shared" si="62"/>
        <v>0.5562358963155789</v>
      </c>
      <c r="W59" s="8">
        <f t="shared" si="63"/>
        <v>0.97930061458670414</v>
      </c>
      <c r="X59" s="9">
        <f t="shared" si="64"/>
        <v>119.59071770784946</v>
      </c>
      <c r="Y59" s="10">
        <f t="shared" ref="Y59:AC59" si="67">Y52</f>
        <v>4</v>
      </c>
      <c r="Z59" s="10">
        <f t="shared" si="67"/>
        <v>0</v>
      </c>
      <c r="AA59" s="10">
        <f t="shared" si="67"/>
        <v>0</v>
      </c>
      <c r="AB59" s="10">
        <f t="shared" si="67"/>
        <v>1</v>
      </c>
      <c r="AC59" s="10">
        <f t="shared" si="67"/>
        <v>2</v>
      </c>
      <c r="AD59" s="7">
        <f>(((R59-AC59)*0.72)+(Z59*$J$4)+($K$4*K59)+($L$4*L59)+($M$4*M59)+($N$4*N59))/(H59+R59-AC59+AB59+Z59)</f>
        <v>0.42321117226247862</v>
      </c>
      <c r="AE59" s="11">
        <f t="shared" ref="AE59:AE61" si="68">(AD59-$G$5)/$H$5*G59</f>
        <v>14.172869420847377</v>
      </c>
      <c r="AF59" s="11">
        <f t="shared" si="56"/>
        <v>14.901934215251728</v>
      </c>
      <c r="AG59" s="11">
        <f t="shared" si="57"/>
        <v>0.15232383808095953</v>
      </c>
      <c r="AH59" s="10">
        <v>0.4</v>
      </c>
      <c r="AI59" s="3">
        <f>(P59*$O$3)+(Q59*$P$3)/(K59+R59+Z59-AC59)</f>
        <v>0.57674095632339051</v>
      </c>
      <c r="AJ59" s="3">
        <f t="shared" ref="AJ59:AJ61" si="69">G59/(VLOOKUP(D59,$F$3:$AD$5,25,0))</f>
        <v>13.956043956043956</v>
      </c>
      <c r="AK59" s="3">
        <f>AF59+20*(G59/600)</f>
        <v>23.368600881918397</v>
      </c>
      <c r="AL59" s="3">
        <f t="shared" si="66"/>
        <v>10.77</v>
      </c>
      <c r="AM59" s="3">
        <f t="shared" si="58"/>
        <v>2.1697865257120146</v>
      </c>
      <c r="AN59" s="10"/>
    </row>
    <row r="60" spans="1:40" x14ac:dyDescent="0.3">
      <c r="A60" s="10" t="s">
        <v>523</v>
      </c>
      <c r="B60" s="10" t="s">
        <v>481</v>
      </c>
      <c r="C60" s="10">
        <v>30</v>
      </c>
      <c r="D60" s="10">
        <v>2018</v>
      </c>
      <c r="E60" s="10" t="s">
        <v>175</v>
      </c>
      <c r="F60" s="10">
        <f t="shared" si="59"/>
        <v>22</v>
      </c>
      <c r="G60" s="10">
        <f t="shared" si="59"/>
        <v>82</v>
      </c>
      <c r="H60" s="10">
        <f t="shared" si="59"/>
        <v>71</v>
      </c>
      <c r="I60" s="10">
        <f t="shared" si="59"/>
        <v>10</v>
      </c>
      <c r="J60" s="9">
        <f t="shared" si="60"/>
        <v>27.391569952054475</v>
      </c>
      <c r="K60" s="9">
        <f>K53*(C6/C9)*(D9/D6)*(1000/970)</f>
        <v>18.048578994813443</v>
      </c>
      <c r="L60" s="9">
        <f>L53*(C6/C9)*(D9/D6)*(1000/890)</f>
        <v>5.2455795130993383</v>
      </c>
      <c r="M60" s="9">
        <f>M53*(C6/C9)</f>
        <v>0</v>
      </c>
      <c r="N60" s="9">
        <f>N53*(C6/C9)*(1000/800)</f>
        <v>4.0974114441416898</v>
      </c>
      <c r="O60" s="9">
        <f t="shared" si="59"/>
        <v>7</v>
      </c>
      <c r="P60" s="9">
        <f>P53*(C6/C9)</f>
        <v>1.0926430517711172</v>
      </c>
      <c r="Q60" s="9">
        <f t="shared" si="59"/>
        <v>0</v>
      </c>
      <c r="R60" s="9">
        <f>R53*(C6/C9)*(1000/1130)</f>
        <v>9.6694075377974968</v>
      </c>
      <c r="S60" s="9">
        <f>S53*(C9/C6)</f>
        <v>11.897755610972569</v>
      </c>
      <c r="T60" s="7">
        <f t="shared" si="61"/>
        <v>0.3857967598880912</v>
      </c>
      <c r="U60" s="7">
        <f t="shared" si="54"/>
        <v>0.46603714459709938</v>
      </c>
      <c r="V60" s="7">
        <f t="shared" si="62"/>
        <v>0.63280822250111102</v>
      </c>
      <c r="W60" s="8">
        <f t="shared" si="63"/>
        <v>1.0988453670982103</v>
      </c>
      <c r="X60" s="9">
        <f t="shared" si="64"/>
        <v>44.929383797578879</v>
      </c>
      <c r="Y60" s="10">
        <f t="shared" ref="Y60:AC60" si="70">Y53</f>
        <v>1</v>
      </c>
      <c r="Z60" s="10">
        <f t="shared" si="70"/>
        <v>1</v>
      </c>
      <c r="AA60" s="10">
        <f t="shared" si="70"/>
        <v>0</v>
      </c>
      <c r="AB60" s="10">
        <f t="shared" si="70"/>
        <v>0</v>
      </c>
      <c r="AC60" s="10">
        <f t="shared" si="70"/>
        <v>0</v>
      </c>
      <c r="AD60" s="7">
        <f>(((R60-AC60)*0.72)+(Z60*$J$3)+($K$3*K60)+($L$3*L60)+($M$3*M60)+($N$3*N60))/(H60+R60-AC60+AB60+Z60)</f>
        <v>0.47072178026626382</v>
      </c>
      <c r="AE60" s="11">
        <f t="shared" si="68"/>
        <v>8.126878743695201</v>
      </c>
      <c r="AF60" s="11">
        <f t="shared" si="56"/>
        <v>8.3945827663432766</v>
      </c>
      <c r="AG60" s="11">
        <f t="shared" si="57"/>
        <v>4.9175412293853075E-2</v>
      </c>
      <c r="AH60" s="10">
        <v>0.4</v>
      </c>
      <c r="AI60" s="3">
        <f>(P60*$O$3)+(Q60*$P$3)/(K60+R60+Z60-AC60)</f>
        <v>0.21852861035422344</v>
      </c>
      <c r="AJ60" s="3">
        <f t="shared" si="69"/>
        <v>4.6327683615819213</v>
      </c>
      <c r="AK60" s="3">
        <f>AF60+20*(G60/600)</f>
        <v>11.127916099676611</v>
      </c>
      <c r="AL60" s="3">
        <f t="shared" si="66"/>
        <v>11.18</v>
      </c>
      <c r="AM60" s="3">
        <f t="shared" si="58"/>
        <v>0.99534133270810476</v>
      </c>
      <c r="AN60" s="10"/>
    </row>
    <row r="61" spans="1:40" x14ac:dyDescent="0.3">
      <c r="A61" s="10" t="s">
        <v>523</v>
      </c>
      <c r="B61" s="10" t="s">
        <v>481</v>
      </c>
      <c r="C61" s="10">
        <v>30</v>
      </c>
      <c r="D61" s="10">
        <v>2018</v>
      </c>
      <c r="E61" s="10" t="s">
        <v>175</v>
      </c>
      <c r="F61" s="10">
        <f t="shared" si="59"/>
        <v>78</v>
      </c>
      <c r="G61" s="10">
        <f t="shared" si="59"/>
        <v>289</v>
      </c>
      <c r="H61" s="10">
        <f t="shared" si="59"/>
        <v>252</v>
      </c>
      <c r="I61" s="10">
        <f t="shared" si="59"/>
        <v>41</v>
      </c>
      <c r="J61" s="9">
        <f t="shared" si="60"/>
        <v>75.222331936330306</v>
      </c>
      <c r="K61" s="9">
        <f>K54*(C12/C9)*(D9/D12)*(1000/995)</f>
        <v>28.544132602571938</v>
      </c>
      <c r="L61" s="9">
        <f>L54*(C12/C9)*(D9/D12)*(1000/915)</f>
        <v>26.605538116682983</v>
      </c>
      <c r="M61" s="9">
        <f>M54*(C12/C9)*(D9/D12)</f>
        <v>0</v>
      </c>
      <c r="N61" s="9">
        <f>N54*(C12/C9)*(1000/615)</f>
        <v>20.072661217075385</v>
      </c>
      <c r="O61" s="9">
        <f t="shared" si="59"/>
        <v>39</v>
      </c>
      <c r="P61" s="9">
        <f>P54*(C12/C9)</f>
        <v>2.8487738419618527</v>
      </c>
      <c r="Q61" s="9">
        <f t="shared" si="59"/>
        <v>0</v>
      </c>
      <c r="R61" s="9">
        <f>R54*(C12/C9)*(1000/1045)</f>
        <v>30.895792863382134</v>
      </c>
      <c r="S61" s="9">
        <f>S54*(C9/C12)</f>
        <v>68.450502152080347</v>
      </c>
      <c r="T61" s="7">
        <f t="shared" si="61"/>
        <v>0.29850131720765993</v>
      </c>
      <c r="U61" s="7">
        <f t="shared" ref="U61" si="71">(J61+R61+Z61)/(H61+R61+Z61+AB61)</f>
        <v>0.37817319281566919</v>
      </c>
      <c r="V61" s="7">
        <f t="shared" si="62"/>
        <v>0.64303910200095016</v>
      </c>
      <c r="W61" s="8">
        <f t="shared" si="63"/>
        <v>1.0212122948166193</v>
      </c>
      <c r="X61" s="9">
        <f t="shared" si="64"/>
        <v>162.04585370423945</v>
      </c>
      <c r="Y61" s="10">
        <f t="shared" ref="Y61:AC61" si="72">Y54</f>
        <v>5</v>
      </c>
      <c r="Z61" s="10">
        <f t="shared" si="72"/>
        <v>2</v>
      </c>
      <c r="AA61" s="10">
        <f t="shared" si="72"/>
        <v>0</v>
      </c>
      <c r="AB61" s="10">
        <f t="shared" si="72"/>
        <v>1</v>
      </c>
      <c r="AC61" s="10">
        <f t="shared" si="72"/>
        <v>1</v>
      </c>
      <c r="AD61" s="7">
        <f>(((R61-AC61)*0.72)+(Z61*$J$3)+($K$3*K61)+($L$3*L61)+($M$3*M61)+($N$3*N61))/(H61+R61-AC61+AB61+Z61)</f>
        <v>0.41983976623476565</v>
      </c>
      <c r="AE61" s="11">
        <f t="shared" si="68"/>
        <v>15.237641241428694</v>
      </c>
      <c r="AF61" s="11">
        <f t="shared" si="56"/>
        <v>15.9807093531494</v>
      </c>
      <c r="AG61" s="11">
        <f t="shared" si="57"/>
        <v>0.17331334332833584</v>
      </c>
      <c r="AH61" s="10">
        <v>0.4</v>
      </c>
      <c r="AI61" s="3">
        <f>(P61*$O$3)+(Q61*$P$3)/(K61+R61+Z61-AC61)</f>
        <v>0.5697547683923706</v>
      </c>
      <c r="AJ61" s="3">
        <f t="shared" si="69"/>
        <v>16.327683615819211</v>
      </c>
      <c r="AK61" s="3">
        <f>AF61+20*(G61/600)</f>
        <v>25.614042686482733</v>
      </c>
      <c r="AL61" s="3">
        <f t="shared" si="66"/>
        <v>11.18</v>
      </c>
      <c r="AM61" s="3">
        <f t="shared" ref="AM61" si="73">AK61/AL61</f>
        <v>2.2910592742828921</v>
      </c>
    </row>
    <row r="63" spans="1:40" x14ac:dyDescent="0.3">
      <c r="B63" s="10" t="s">
        <v>146</v>
      </c>
      <c r="C63" s="10" t="s">
        <v>176</v>
      </c>
      <c r="D63" s="10" t="s">
        <v>173</v>
      </c>
      <c r="E63" s="10" t="s">
        <v>171</v>
      </c>
      <c r="F63" s="10" t="s">
        <v>148</v>
      </c>
      <c r="G63" s="10" t="s">
        <v>149</v>
      </c>
      <c r="H63" s="10" t="s">
        <v>150</v>
      </c>
      <c r="I63" s="10" t="s">
        <v>151</v>
      </c>
      <c r="J63" s="10" t="s">
        <v>152</v>
      </c>
      <c r="K63" s="10" t="s">
        <v>184</v>
      </c>
      <c r="L63" s="10" t="s">
        <v>153</v>
      </c>
      <c r="M63" s="10" t="s">
        <v>154</v>
      </c>
      <c r="N63" s="10" t="s">
        <v>155</v>
      </c>
      <c r="O63" s="10" t="s">
        <v>156</v>
      </c>
      <c r="P63" s="10" t="s">
        <v>157</v>
      </c>
      <c r="Q63" s="10" t="s">
        <v>158</v>
      </c>
      <c r="R63" s="10" t="s">
        <v>159</v>
      </c>
      <c r="S63" s="10" t="s">
        <v>160</v>
      </c>
      <c r="T63" s="10" t="s">
        <v>161</v>
      </c>
      <c r="U63" s="10" t="s">
        <v>162</v>
      </c>
      <c r="V63" s="10" t="s">
        <v>163</v>
      </c>
      <c r="W63" s="10" t="s">
        <v>164</v>
      </c>
      <c r="X63" s="10" t="s">
        <v>165</v>
      </c>
      <c r="Y63" s="10" t="s">
        <v>166</v>
      </c>
      <c r="Z63" s="10" t="s">
        <v>167</v>
      </c>
      <c r="AA63" s="10" t="s">
        <v>168</v>
      </c>
      <c r="AB63" s="10" t="s">
        <v>169</v>
      </c>
      <c r="AC63" s="10" t="s">
        <v>170</v>
      </c>
    </row>
    <row r="64" spans="1:40" x14ac:dyDescent="0.3">
      <c r="B64" s="5" t="s">
        <v>485</v>
      </c>
      <c r="C64" s="5">
        <v>28</v>
      </c>
      <c r="D64" s="5">
        <v>2016</v>
      </c>
      <c r="E64" s="10" t="s">
        <v>487</v>
      </c>
      <c r="F64" s="5">
        <v>114</v>
      </c>
      <c r="G64" s="5">
        <v>224</v>
      </c>
      <c r="H64" s="5">
        <v>200</v>
      </c>
      <c r="I64" s="5">
        <v>35</v>
      </c>
      <c r="J64" s="5">
        <v>47</v>
      </c>
      <c r="K64" s="5">
        <f>J64-L64-M64-N64</f>
        <v>25</v>
      </c>
      <c r="L64" s="5">
        <v>7</v>
      </c>
      <c r="M64" s="5">
        <v>3</v>
      </c>
      <c r="N64" s="5">
        <v>12</v>
      </c>
      <c r="O64" s="5">
        <v>28</v>
      </c>
      <c r="P64" s="5">
        <v>5</v>
      </c>
      <c r="Q64" s="5">
        <v>2</v>
      </c>
      <c r="R64" s="5">
        <v>18</v>
      </c>
      <c r="S64" s="5">
        <v>64</v>
      </c>
      <c r="T64" s="5">
        <v>0.23499999999999999</v>
      </c>
      <c r="U64" s="7">
        <f t="shared" ref="U64:U68" si="74">(J64+R64+Z64)/(H64+R64+Z64+AB64)</f>
        <v>0.29545454545454547</v>
      </c>
      <c r="V64" s="5">
        <v>0.48</v>
      </c>
      <c r="W64" s="5">
        <v>0.77500000000000002</v>
      </c>
      <c r="X64" s="9">
        <f>K64+2*L64+3*M64+4*N64</f>
        <v>96</v>
      </c>
      <c r="Y64" s="5">
        <v>1</v>
      </c>
      <c r="Z64" s="5">
        <v>0</v>
      </c>
      <c r="AA64" s="5">
        <v>4</v>
      </c>
      <c r="AB64" s="5">
        <v>2</v>
      </c>
      <c r="AC64" s="5">
        <v>2</v>
      </c>
    </row>
    <row r="65" spans="1:40" x14ac:dyDescent="0.3">
      <c r="B65" s="10" t="s">
        <v>485</v>
      </c>
      <c r="C65" s="5">
        <v>28</v>
      </c>
      <c r="D65" s="5">
        <v>2016</v>
      </c>
      <c r="E65" s="5" t="s">
        <v>486</v>
      </c>
      <c r="F65" s="5">
        <v>13</v>
      </c>
      <c r="G65" s="5">
        <v>50</v>
      </c>
      <c r="H65" s="5">
        <v>40</v>
      </c>
      <c r="I65" s="5">
        <v>8</v>
      </c>
      <c r="J65" s="5">
        <v>13</v>
      </c>
      <c r="K65" s="10">
        <f t="shared" ref="K65:K69" si="75">J65-L65-M65-N65</f>
        <v>9</v>
      </c>
      <c r="L65" s="5">
        <v>3</v>
      </c>
      <c r="M65" s="5">
        <v>0</v>
      </c>
      <c r="N65" s="5">
        <v>1</v>
      </c>
      <c r="O65" s="5">
        <v>11</v>
      </c>
      <c r="P65" s="5">
        <v>2</v>
      </c>
      <c r="Q65" s="5">
        <v>1</v>
      </c>
      <c r="R65" s="5">
        <v>6</v>
      </c>
      <c r="S65" s="5">
        <v>12</v>
      </c>
      <c r="T65" s="5">
        <v>0.32500000000000001</v>
      </c>
      <c r="U65" s="7">
        <f t="shared" si="74"/>
        <v>0.4375</v>
      </c>
      <c r="V65" s="5">
        <v>0.47499999999999998</v>
      </c>
      <c r="W65" s="5">
        <v>0.91300000000000003</v>
      </c>
      <c r="X65" s="5">
        <v>19</v>
      </c>
      <c r="Y65" s="5">
        <v>0</v>
      </c>
      <c r="Z65" s="5">
        <v>2</v>
      </c>
      <c r="AA65" s="5">
        <v>2</v>
      </c>
      <c r="AB65" s="5">
        <v>0</v>
      </c>
      <c r="AC65" s="5">
        <v>0</v>
      </c>
    </row>
    <row r="66" spans="1:40" x14ac:dyDescent="0.3">
      <c r="B66" s="10" t="s">
        <v>485</v>
      </c>
      <c r="C66" s="5">
        <v>29</v>
      </c>
      <c r="D66" s="5">
        <v>2017</v>
      </c>
      <c r="E66" s="5" t="s">
        <v>487</v>
      </c>
      <c r="F66" s="5">
        <v>41</v>
      </c>
      <c r="G66" s="5">
        <v>61</v>
      </c>
      <c r="H66" s="5">
        <v>52</v>
      </c>
      <c r="I66" s="5">
        <v>10</v>
      </c>
      <c r="J66" s="5">
        <v>18</v>
      </c>
      <c r="K66" s="10">
        <f t="shared" si="75"/>
        <v>12</v>
      </c>
      <c r="L66" s="5">
        <v>2</v>
      </c>
      <c r="M66" s="5">
        <v>2</v>
      </c>
      <c r="N66" s="5">
        <v>2</v>
      </c>
      <c r="O66" s="5">
        <v>10</v>
      </c>
      <c r="P66" s="5">
        <v>1</v>
      </c>
      <c r="Q66" s="5">
        <v>0</v>
      </c>
      <c r="R66" s="5">
        <v>9</v>
      </c>
      <c r="S66" s="5">
        <v>20</v>
      </c>
      <c r="T66" s="5">
        <v>0.34599999999999997</v>
      </c>
      <c r="U66" s="7">
        <f t="shared" si="74"/>
        <v>0.44262295081967212</v>
      </c>
      <c r="V66" s="5">
        <v>0.57699999999999996</v>
      </c>
      <c r="W66" s="5">
        <v>1.02</v>
      </c>
      <c r="X66" s="5">
        <v>30</v>
      </c>
      <c r="Y66" s="5">
        <v>0</v>
      </c>
      <c r="Z66" s="5">
        <v>0</v>
      </c>
      <c r="AA66" s="5">
        <v>0</v>
      </c>
      <c r="AB66" s="5">
        <v>0</v>
      </c>
      <c r="AC66" s="5">
        <v>2</v>
      </c>
    </row>
    <row r="67" spans="1:40" x14ac:dyDescent="0.3">
      <c r="B67" s="10" t="s">
        <v>485</v>
      </c>
      <c r="C67" s="5">
        <v>29</v>
      </c>
      <c r="D67" s="5">
        <v>2017</v>
      </c>
      <c r="E67" s="5" t="s">
        <v>486</v>
      </c>
      <c r="F67" s="5">
        <v>52</v>
      </c>
      <c r="G67" s="5">
        <v>211</v>
      </c>
      <c r="H67" s="5">
        <v>190</v>
      </c>
      <c r="I67" s="5">
        <v>31</v>
      </c>
      <c r="J67" s="5">
        <v>53</v>
      </c>
      <c r="K67" s="10">
        <f t="shared" si="75"/>
        <v>29</v>
      </c>
      <c r="L67" s="5">
        <v>13</v>
      </c>
      <c r="M67" s="5">
        <v>5</v>
      </c>
      <c r="N67" s="5">
        <v>6</v>
      </c>
      <c r="O67" s="5">
        <v>25</v>
      </c>
      <c r="P67" s="5">
        <v>11</v>
      </c>
      <c r="Q67" s="5">
        <v>0</v>
      </c>
      <c r="R67" s="5">
        <v>19</v>
      </c>
      <c r="S67" s="5">
        <v>57</v>
      </c>
      <c r="T67" s="5">
        <v>0.27900000000000003</v>
      </c>
      <c r="U67" s="7">
        <f t="shared" si="74"/>
        <v>0.34123222748815168</v>
      </c>
      <c r="V67" s="5">
        <v>0.495</v>
      </c>
      <c r="W67" s="5">
        <v>0.83599999999999997</v>
      </c>
      <c r="X67" s="5">
        <v>94</v>
      </c>
      <c r="Y67" s="5">
        <v>2</v>
      </c>
      <c r="Z67" s="5">
        <v>0</v>
      </c>
      <c r="AA67" s="5">
        <v>0</v>
      </c>
      <c r="AB67" s="5">
        <v>2</v>
      </c>
      <c r="AC67" s="5">
        <v>1</v>
      </c>
    </row>
    <row r="68" spans="1:40" x14ac:dyDescent="0.3">
      <c r="B68" s="10" t="s">
        <v>485</v>
      </c>
      <c r="C68" s="5">
        <v>30</v>
      </c>
      <c r="D68" s="5">
        <v>2018</v>
      </c>
      <c r="E68" s="5" t="s">
        <v>486</v>
      </c>
      <c r="F68" s="5">
        <v>1</v>
      </c>
      <c r="G68" s="5">
        <v>4</v>
      </c>
      <c r="H68" s="5">
        <v>4</v>
      </c>
      <c r="I68" s="5">
        <v>0</v>
      </c>
      <c r="J68" s="5">
        <v>1</v>
      </c>
      <c r="K68" s="10">
        <f t="shared" si="75"/>
        <v>1</v>
      </c>
      <c r="L68" s="5">
        <v>0</v>
      </c>
      <c r="M68" s="5">
        <v>0</v>
      </c>
      <c r="N68" s="5">
        <v>0</v>
      </c>
      <c r="O68" s="5">
        <v>0</v>
      </c>
      <c r="P68" s="5">
        <v>0</v>
      </c>
      <c r="Q68" s="5">
        <v>1</v>
      </c>
      <c r="R68" s="5">
        <v>0</v>
      </c>
      <c r="S68" s="5">
        <v>1</v>
      </c>
      <c r="T68" s="5">
        <v>0.25</v>
      </c>
      <c r="U68" s="7">
        <f t="shared" si="74"/>
        <v>0.25</v>
      </c>
      <c r="V68" s="5">
        <v>0.25</v>
      </c>
      <c r="W68" s="5">
        <v>0.5</v>
      </c>
      <c r="X68" s="5">
        <v>1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</row>
    <row r="69" spans="1:40" x14ac:dyDescent="0.3">
      <c r="B69" s="10" t="s">
        <v>485</v>
      </c>
      <c r="C69" s="5">
        <v>30</v>
      </c>
      <c r="D69" s="5">
        <v>2018</v>
      </c>
      <c r="E69" s="5" t="s">
        <v>483</v>
      </c>
      <c r="F69" s="5">
        <v>97</v>
      </c>
      <c r="G69" s="10">
        <v>352</v>
      </c>
      <c r="H69" s="10">
        <v>310</v>
      </c>
      <c r="I69" s="10">
        <v>46</v>
      </c>
      <c r="J69" s="10">
        <v>63</v>
      </c>
      <c r="K69" s="10">
        <f t="shared" si="75"/>
        <v>30</v>
      </c>
      <c r="L69" s="10">
        <v>20</v>
      </c>
      <c r="M69" s="10">
        <v>2</v>
      </c>
      <c r="N69" s="10">
        <v>11</v>
      </c>
      <c r="O69" s="10">
        <v>36</v>
      </c>
      <c r="P69" s="10">
        <v>14</v>
      </c>
      <c r="Q69" s="10">
        <v>0</v>
      </c>
      <c r="R69" s="10">
        <v>38</v>
      </c>
      <c r="S69" s="10">
        <v>121</v>
      </c>
      <c r="T69" s="7">
        <f>I69/G69</f>
        <v>0.13068181818181818</v>
      </c>
      <c r="U69" s="7">
        <f t="shared" ref="U69" si="76">(J69+R69+Z69)/(H69+R69+Z69+AB69)</f>
        <v>0.29829545454545453</v>
      </c>
      <c r="V69" s="7">
        <f>X69/G69</f>
        <v>0.43465909090909088</v>
      </c>
      <c r="W69" s="8">
        <f t="shared" ref="W69" si="77">U69+V69</f>
        <v>0.73295454545454541</v>
      </c>
      <c r="X69" s="9">
        <f>J69+2*L69+3*M69+4*N69</f>
        <v>153</v>
      </c>
      <c r="Y69" s="10">
        <v>2</v>
      </c>
      <c r="Z69" s="10">
        <v>4</v>
      </c>
      <c r="AA69" s="10">
        <v>0</v>
      </c>
      <c r="AB69" s="10">
        <v>0</v>
      </c>
      <c r="AC69" s="10">
        <v>0</v>
      </c>
    </row>
    <row r="71" spans="1:40" x14ac:dyDescent="0.3">
      <c r="B71" s="10" t="s">
        <v>146</v>
      </c>
      <c r="C71" s="10" t="s">
        <v>176</v>
      </c>
      <c r="D71" s="10" t="s">
        <v>173</v>
      </c>
      <c r="E71" s="10" t="s">
        <v>171</v>
      </c>
      <c r="F71" s="10" t="s">
        <v>148</v>
      </c>
      <c r="G71" s="10" t="s">
        <v>149</v>
      </c>
      <c r="H71" s="10" t="s">
        <v>150</v>
      </c>
      <c r="I71" s="10" t="s">
        <v>151</v>
      </c>
      <c r="J71" s="10" t="s">
        <v>152</v>
      </c>
      <c r="K71" s="10" t="s">
        <v>184</v>
      </c>
      <c r="L71" s="10" t="s">
        <v>153</v>
      </c>
      <c r="M71" s="10" t="s">
        <v>154</v>
      </c>
      <c r="N71" s="10" t="s">
        <v>155</v>
      </c>
      <c r="O71" s="10" t="s">
        <v>156</v>
      </c>
      <c r="P71" s="10" t="s">
        <v>157</v>
      </c>
      <c r="Q71" s="10" t="s">
        <v>158</v>
      </c>
      <c r="R71" s="10" t="s">
        <v>159</v>
      </c>
      <c r="S71" s="10" t="s">
        <v>160</v>
      </c>
      <c r="T71" s="10" t="s">
        <v>161</v>
      </c>
      <c r="U71" s="10" t="s">
        <v>162</v>
      </c>
      <c r="V71" s="10" t="s">
        <v>163</v>
      </c>
      <c r="W71" s="10" t="s">
        <v>164</v>
      </c>
      <c r="X71" s="10" t="s">
        <v>165</v>
      </c>
      <c r="Y71" s="10" t="s">
        <v>166</v>
      </c>
      <c r="Z71" s="10" t="s">
        <v>167</v>
      </c>
      <c r="AA71" s="10" t="s">
        <v>168</v>
      </c>
      <c r="AB71" s="10" t="s">
        <v>169</v>
      </c>
      <c r="AC71" s="10" t="s">
        <v>170</v>
      </c>
      <c r="AD71" s="10" t="s">
        <v>185</v>
      </c>
      <c r="AE71" s="10" t="s">
        <v>504</v>
      </c>
      <c r="AF71" s="10" t="s">
        <v>496</v>
      </c>
      <c r="AG71" s="10" t="s">
        <v>502</v>
      </c>
      <c r="AH71" s="10" t="s">
        <v>461</v>
      </c>
      <c r="AI71" s="10" t="s">
        <v>431</v>
      </c>
      <c r="AJ71" s="10" t="s">
        <v>501</v>
      </c>
      <c r="AK71" s="10" t="s">
        <v>432</v>
      </c>
      <c r="AL71" s="10" t="s">
        <v>499</v>
      </c>
      <c r="AM71" s="10" t="s">
        <v>433</v>
      </c>
    </row>
    <row r="72" spans="1:40" x14ac:dyDescent="0.3">
      <c r="A72" s="10" t="s">
        <v>523</v>
      </c>
      <c r="B72" s="10" t="s">
        <v>505</v>
      </c>
      <c r="C72" s="10">
        <v>28</v>
      </c>
      <c r="D72" s="10">
        <v>2016</v>
      </c>
      <c r="E72" s="10" t="s">
        <v>175</v>
      </c>
      <c r="F72" s="5">
        <f>F64</f>
        <v>114</v>
      </c>
      <c r="G72" s="10">
        <f t="shared" ref="G72:AC77" si="78">G64</f>
        <v>224</v>
      </c>
      <c r="H72" s="10">
        <f t="shared" si="78"/>
        <v>200</v>
      </c>
      <c r="I72" s="10">
        <f t="shared" si="78"/>
        <v>35</v>
      </c>
      <c r="J72" s="9">
        <f>K72+L72+M72+N72</f>
        <v>68.786325420810627</v>
      </c>
      <c r="K72" s="9">
        <f>K64*(C4/C9)*(D9/D4)*(1000/1010)</f>
        <v>36.982581091896655</v>
      </c>
      <c r="L72" s="9">
        <f>L64*(C4/C9)*(D9/D4)*(1000/950)</f>
        <v>11.00913045556671</v>
      </c>
      <c r="M72" s="9">
        <f>M64*(C4/C9)*(D9/D4)*(1000/1090)</f>
        <v>4.112191585631078</v>
      </c>
      <c r="N72" s="9">
        <f>N64*(C4/C9)*(1000/980)</f>
        <v>16.682422287716179</v>
      </c>
      <c r="O72" s="10">
        <f t="shared" si="78"/>
        <v>28</v>
      </c>
      <c r="P72" s="9">
        <f>P64*(C4/C9)</f>
        <v>6.8119891008174394</v>
      </c>
      <c r="Q72" s="9">
        <f>Q64*(C9/C4)</f>
        <v>1.468</v>
      </c>
      <c r="R72" s="9">
        <f>R64*(C4/C9)*(1000/880)</f>
        <v>27.867228139707706</v>
      </c>
      <c r="S72" s="9">
        <f>S64*(C9/C4)</f>
        <v>46.975999999999999</v>
      </c>
      <c r="T72" s="7">
        <f>J72/H72</f>
        <v>0.34393162710405312</v>
      </c>
      <c r="U72" s="7">
        <f t="shared" ref="U72:U76" si="79">(J72+R72+Z72)/(H72+R72+Z72+AB72)</f>
        <v>0.42047556906100009</v>
      </c>
      <c r="V72" s="7">
        <f>X72/H72</f>
        <v>0.69033552955394017</v>
      </c>
      <c r="W72" s="8">
        <f>U72+V72</f>
        <v>1.1108110986149402</v>
      </c>
      <c r="X72" s="9">
        <f>K72+2*L72+3*M72+4*N72</f>
        <v>138.06710591078803</v>
      </c>
      <c r="Y72" s="10">
        <f t="shared" si="78"/>
        <v>1</v>
      </c>
      <c r="Z72" s="10">
        <f t="shared" si="78"/>
        <v>0</v>
      </c>
      <c r="AA72" s="10">
        <f t="shared" si="78"/>
        <v>4</v>
      </c>
      <c r="AB72" s="10">
        <f t="shared" si="78"/>
        <v>2</v>
      </c>
      <c r="AC72" s="10">
        <f t="shared" si="78"/>
        <v>2</v>
      </c>
      <c r="AD72" s="7">
        <f>(((R72-AC72)*0.72)+(Z72*$J$5)+($K$5*K72)+($L$5*L72)+($M$5*M72)+($N$5*N72))/(H72+R72-AC72+AB72+Z72)</f>
        <v>0.46371674787930484</v>
      </c>
      <c r="AE72" s="11">
        <f>(AD72-$G$5)/$H$5*G72</f>
        <v>20.769873769338453</v>
      </c>
      <c r="AF72" s="11">
        <f t="shared" ref="AF72:AF77" si="80">(AD72-$G$5)/$H$5*G72+AI72+AG72</f>
        <v>21.606502104105232</v>
      </c>
      <c r="AG72" s="11">
        <f>AH72*(G72/667)</f>
        <v>-0.53733133433283364</v>
      </c>
      <c r="AH72" s="10">
        <v>-1.6</v>
      </c>
      <c r="AI72" s="3">
        <f>(P72*$O$5)+(Q72*$P$5)/(K72+R72+Z72-AC72)</f>
        <v>1.3739596690996114</v>
      </c>
      <c r="AJ72" s="3">
        <f>G72/(VLOOKUP(D72,$F$3:$AD$5,25,0))</f>
        <v>12.8</v>
      </c>
      <c r="AK72" s="3">
        <f t="shared" ref="AK72:AK77" si="81">AF72+20*(G72/600)</f>
        <v>29.0731687707719</v>
      </c>
      <c r="AL72" s="3">
        <f>(VLOOKUP(D72,$F$3:$AD$5,24,0))</f>
        <v>11.42</v>
      </c>
      <c r="AM72" s="3">
        <f t="shared" ref="AM72:AM76" si="82">AK72/AL72</f>
        <v>2.5458116261621631</v>
      </c>
      <c r="AN72" s="10"/>
    </row>
    <row r="73" spans="1:40" x14ac:dyDescent="0.3">
      <c r="A73" s="10" t="s">
        <v>523</v>
      </c>
      <c r="B73" s="10" t="s">
        <v>485</v>
      </c>
      <c r="C73" s="10">
        <v>28</v>
      </c>
      <c r="D73" s="10">
        <v>2016</v>
      </c>
      <c r="E73" s="10" t="s">
        <v>175</v>
      </c>
      <c r="F73" s="10">
        <f t="shared" ref="F73:O77" si="83">F65</f>
        <v>13</v>
      </c>
      <c r="G73" s="10">
        <f t="shared" si="83"/>
        <v>50</v>
      </c>
      <c r="H73" s="10">
        <f t="shared" si="83"/>
        <v>40</v>
      </c>
      <c r="I73" s="10">
        <f t="shared" si="83"/>
        <v>8</v>
      </c>
      <c r="J73" s="9">
        <f t="shared" ref="J73:J77" si="84">K73+L73+M73+N73</f>
        <v>14.520136656486381</v>
      </c>
      <c r="K73" s="9">
        <f>K65*(C5/C9)*(D9/D5)*(1000/960)</f>
        <v>9.8743920879695644</v>
      </c>
      <c r="L73" s="9">
        <f>L65*(C5/C9)*(D9/D5)*(1000/870)</f>
        <v>3.63196030821869</v>
      </c>
      <c r="M73" s="9">
        <f>M65*(C5/C9)</f>
        <v>0</v>
      </c>
      <c r="N73" s="9">
        <f>N65*(C5/C9)*(1000/1020)</f>
        <v>1.0137842602981249</v>
      </c>
      <c r="O73" s="10">
        <f t="shared" si="83"/>
        <v>11</v>
      </c>
      <c r="P73" s="9">
        <f>P65*(C5/C9)</f>
        <v>2.0681198910081746</v>
      </c>
      <c r="Q73" s="9">
        <f>Q65*(C9/C5)</f>
        <v>0.96706192358366272</v>
      </c>
      <c r="R73" s="9">
        <f>R65*(C5/C9)*(1000/1040)</f>
        <v>5.9657304548312728</v>
      </c>
      <c r="S73" s="9">
        <f>S65*(C9/C5)</f>
        <v>11.604743083003953</v>
      </c>
      <c r="T73" s="7">
        <f t="shared" ref="T73:T77" si="85">J73/H73</f>
        <v>0.3630034164121595</v>
      </c>
      <c r="U73" s="7">
        <f t="shared" si="79"/>
        <v>0.46879025708765787</v>
      </c>
      <c r="V73" s="7">
        <f t="shared" ref="V73:V77" si="86">X73/H73</f>
        <v>0.52983624363998605</v>
      </c>
      <c r="W73" s="8">
        <f t="shared" ref="W73:W77" si="87">U73+V73</f>
        <v>0.99862650072764392</v>
      </c>
      <c r="X73" s="9">
        <f t="shared" ref="X73:X77" si="88">K73+2*L73+3*M73+4*N73</f>
        <v>21.193449745599441</v>
      </c>
      <c r="Y73" s="10">
        <f t="shared" si="78"/>
        <v>0</v>
      </c>
      <c r="Z73" s="10">
        <f t="shared" si="78"/>
        <v>2</v>
      </c>
      <c r="AA73" s="10">
        <f t="shared" si="78"/>
        <v>2</v>
      </c>
      <c r="AB73" s="10">
        <f t="shared" si="78"/>
        <v>0</v>
      </c>
      <c r="AC73" s="10">
        <f t="shared" si="78"/>
        <v>0</v>
      </c>
      <c r="AD73" s="7">
        <f>(((R73-AC73)*0.72)+(Z73*$J$5)+($K$5*K73)+($L$5*L73)+($M$5*M73)+($N$5*N73))/(H73+R73-AC73+AB73+Z73)</f>
        <v>0.45266484740342511</v>
      </c>
      <c r="AE73" s="11">
        <f>(AD73-$G$5)/$H$5*G73</f>
        <v>4.132399608177991</v>
      </c>
      <c r="AF73" s="11">
        <f t="shared" si="80"/>
        <v>4.4529160880112295</v>
      </c>
      <c r="AG73" s="11">
        <f t="shared" ref="AG73:AG77" si="89">AH73*(G73/667)</f>
        <v>-0.11994002998500751</v>
      </c>
      <c r="AH73" s="10">
        <v>-1.6</v>
      </c>
      <c r="AI73" s="3">
        <f>(P73*$O$5)+(Q73*$P$5)/(K73+R73+Z73-AC73)</f>
        <v>0.44045650981824563</v>
      </c>
      <c r="AJ73" s="3">
        <f>G73/(VLOOKUP(D73,$F$3:$AD$5,25,0))</f>
        <v>2.8571428571428572</v>
      </c>
      <c r="AK73" s="3">
        <f t="shared" si="81"/>
        <v>6.1195827546778965</v>
      </c>
      <c r="AL73" s="3">
        <f t="shared" ref="AL73:AL77" si="90">(VLOOKUP(D73,$F$3:$AD$5,24,0))</f>
        <v>11.42</v>
      </c>
      <c r="AM73" s="3">
        <f t="shared" si="82"/>
        <v>0.53586539007687362</v>
      </c>
      <c r="AN73" s="10"/>
    </row>
    <row r="74" spans="1:40" x14ac:dyDescent="0.3">
      <c r="A74" s="10" t="s">
        <v>523</v>
      </c>
      <c r="B74" s="10" t="s">
        <v>485</v>
      </c>
      <c r="C74" s="10">
        <v>29</v>
      </c>
      <c r="D74" s="10">
        <v>2017</v>
      </c>
      <c r="E74" s="10" t="s">
        <v>175</v>
      </c>
      <c r="F74" s="10">
        <f t="shared" si="83"/>
        <v>41</v>
      </c>
      <c r="G74" s="10">
        <f t="shared" si="78"/>
        <v>61</v>
      </c>
      <c r="H74" s="10">
        <f t="shared" si="78"/>
        <v>52</v>
      </c>
      <c r="I74" s="10">
        <f t="shared" si="78"/>
        <v>10</v>
      </c>
      <c r="J74" s="9">
        <f t="shared" si="84"/>
        <v>24.785480532463385</v>
      </c>
      <c r="K74" s="9">
        <f>K66*(C4/C9)*(D9/D4)*(1000/1020)</f>
        <v>17.577603248383824</v>
      </c>
      <c r="L74" s="9">
        <f>L66*(C4/C9)*(D9/D4)*(1000/1250)</f>
        <v>2.3905540417802</v>
      </c>
      <c r="M74" s="9">
        <f>M66*(C4/C9)*(D9/D4)*(1000/1330)</f>
        <v>2.2467613174625938</v>
      </c>
      <c r="N74" s="9">
        <f>N66*(C4/C9)*(1000/1060)</f>
        <v>2.5705619248367695</v>
      </c>
      <c r="O74" s="10">
        <f t="shared" si="78"/>
        <v>10</v>
      </c>
      <c r="P74" s="9">
        <f>P66*(C4/C9)</f>
        <v>1.3623978201634879</v>
      </c>
      <c r="Q74" s="10">
        <f t="shared" si="78"/>
        <v>0</v>
      </c>
      <c r="R74" s="9">
        <f>R66*(C4/C9)*(1000/990)</f>
        <v>12.38543472875898</v>
      </c>
      <c r="S74" s="9">
        <f>S66*(C9/C4)</f>
        <v>14.68</v>
      </c>
      <c r="T74" s="7">
        <f t="shared" si="85"/>
        <v>0.47664385639352663</v>
      </c>
      <c r="U74" s="7">
        <f t="shared" si="79"/>
        <v>0.57731869665577118</v>
      </c>
      <c r="V74" s="7">
        <f t="shared" si="86"/>
        <v>0.75733159583998244</v>
      </c>
      <c r="W74" s="8">
        <f t="shared" si="87"/>
        <v>1.3346502924957537</v>
      </c>
      <c r="X74" s="9">
        <f t="shared" si="88"/>
        <v>39.381242983679087</v>
      </c>
      <c r="Y74" s="10">
        <f t="shared" si="78"/>
        <v>0</v>
      </c>
      <c r="Z74" s="10">
        <f t="shared" si="78"/>
        <v>0</v>
      </c>
      <c r="AA74" s="10">
        <f t="shared" si="78"/>
        <v>0</v>
      </c>
      <c r="AB74" s="10">
        <f t="shared" si="78"/>
        <v>0</v>
      </c>
      <c r="AC74" s="10">
        <f t="shared" si="78"/>
        <v>2</v>
      </c>
      <c r="AD74" s="7">
        <f>(((R74-AC74)*0.72)+(Z74*$J$4)+($K$4*K74)+($L$4*L74)+($M$4*M74)+($N$4*N74))/(H74+R74-AC74+AB74+Z74)</f>
        <v>0.56373336595614953</v>
      </c>
      <c r="AE74" s="11">
        <f t="shared" ref="AE74:AE77" si="91">(AD74-$G$5)/$H$5*G74</f>
        <v>11.217625636577139</v>
      </c>
      <c r="AF74" s="11">
        <f t="shared" si="80"/>
        <v>11.343778364028127</v>
      </c>
      <c r="AG74" s="11">
        <f t="shared" si="89"/>
        <v>-0.14632683658170917</v>
      </c>
      <c r="AH74" s="10">
        <v>-1.6</v>
      </c>
      <c r="AI74" s="3">
        <f>(P74*$O$3)+(Q74*$P$3)/(K74+R74+Z74-AC74)</f>
        <v>0.27247956403269757</v>
      </c>
      <c r="AJ74" s="3">
        <f t="shared" ref="AJ74:AJ77" si="92">G74/(VLOOKUP(D74,$F$3:$AD$5,25,0))</f>
        <v>3.3516483516483517</v>
      </c>
      <c r="AK74" s="3">
        <f t="shared" si="81"/>
        <v>13.37711169736146</v>
      </c>
      <c r="AL74" s="3">
        <f t="shared" si="90"/>
        <v>10.77</v>
      </c>
      <c r="AM74" s="3">
        <f t="shared" si="82"/>
        <v>1.2420716524941005</v>
      </c>
      <c r="AN74" s="10"/>
    </row>
    <row r="75" spans="1:40" x14ac:dyDescent="0.3">
      <c r="A75" s="10" t="s">
        <v>523</v>
      </c>
      <c r="B75" s="10" t="s">
        <v>485</v>
      </c>
      <c r="C75" s="10">
        <v>29</v>
      </c>
      <c r="D75" s="10">
        <v>2017</v>
      </c>
      <c r="E75" s="10" t="s">
        <v>175</v>
      </c>
      <c r="F75" s="10">
        <f t="shared" si="83"/>
        <v>52</v>
      </c>
      <c r="G75" s="10">
        <f t="shared" si="78"/>
        <v>211</v>
      </c>
      <c r="H75" s="10">
        <f t="shared" si="78"/>
        <v>190</v>
      </c>
      <c r="I75" s="10">
        <f t="shared" si="78"/>
        <v>31</v>
      </c>
      <c r="J75" s="9">
        <f t="shared" si="84"/>
        <v>60.113145192854027</v>
      </c>
      <c r="K75" s="9">
        <f>K67*(C6/C9)*(D9/D6)*(1000/970)</f>
        <v>34.893919389972652</v>
      </c>
      <c r="L75" s="9">
        <f>L67*(C6/C9)*(D9/D6)*(1000/1140)</f>
        <v>13.309507668105118</v>
      </c>
      <c r="M75" s="9">
        <f>M67*(C6/C9)*(D9/D6)*(1000/1090)</f>
        <v>5.3538598241495539</v>
      </c>
      <c r="N75" s="9">
        <f>N67*(C6/C9)</f>
        <v>6.5558583106267037</v>
      </c>
      <c r="O75" s="10">
        <f t="shared" si="78"/>
        <v>25</v>
      </c>
      <c r="P75" s="9">
        <f>P67*(C6/C9)</f>
        <v>12.019073569482289</v>
      </c>
      <c r="Q75" s="10">
        <f t="shared" si="78"/>
        <v>0</v>
      </c>
      <c r="R75" s="9">
        <f>R67*(C6/C9)*(1000/1040)</f>
        <v>19.961748061203103</v>
      </c>
      <c r="S75" s="9">
        <f>S67*(C9/C6)</f>
        <v>52.16708229426434</v>
      </c>
      <c r="T75" s="7">
        <f>J75/H75</f>
        <v>0.31638497469923171</v>
      </c>
      <c r="U75" s="7">
        <f t="shared" si="79"/>
        <v>0.37777992485198708</v>
      </c>
      <c r="V75" s="7">
        <f t="shared" si="86"/>
        <v>0.54630498653230719</v>
      </c>
      <c r="W75" s="8">
        <f t="shared" si="87"/>
        <v>0.92408491138429427</v>
      </c>
      <c r="X75" s="9">
        <f t="shared" si="88"/>
        <v>103.79794744113838</v>
      </c>
      <c r="Y75" s="10">
        <f t="shared" si="78"/>
        <v>2</v>
      </c>
      <c r="Z75" s="10">
        <f t="shared" si="78"/>
        <v>0</v>
      </c>
      <c r="AA75" s="10">
        <f t="shared" si="78"/>
        <v>0</v>
      </c>
      <c r="AB75" s="10">
        <f t="shared" si="78"/>
        <v>2</v>
      </c>
      <c r="AC75" s="10">
        <f t="shared" si="78"/>
        <v>1</v>
      </c>
      <c r="AD75" s="7">
        <f>(((R75-AC75)*0.72)+(Z75*$J$4)+($K$4*K75)+($L$4*L75)+($M$4*M75)+($N$4*N75))/(H75+R75-AC75+AB75+Z75)</f>
        <v>0.39608977956989466</v>
      </c>
      <c r="AE75" s="11">
        <f t="shared" si="91"/>
        <v>6.556922050362604</v>
      </c>
      <c r="AF75" s="11">
        <f t="shared" si="80"/>
        <v>8.454589837722331</v>
      </c>
      <c r="AG75" s="11">
        <f t="shared" si="89"/>
        <v>-0.50614692653673166</v>
      </c>
      <c r="AH75" s="10">
        <v>-1.6</v>
      </c>
      <c r="AI75" s="3">
        <f>(P75*$O$3)+(Q75*$P$3)/(K75+R75+Z75-AC75)</f>
        <v>2.4038147138964581</v>
      </c>
      <c r="AJ75" s="3">
        <f t="shared" si="92"/>
        <v>11.593406593406593</v>
      </c>
      <c r="AK75" s="3">
        <f t="shared" si="81"/>
        <v>15.487923171055664</v>
      </c>
      <c r="AL75" s="3">
        <f t="shared" si="90"/>
        <v>10.77</v>
      </c>
      <c r="AM75" s="3">
        <f t="shared" si="82"/>
        <v>1.4380615757711852</v>
      </c>
      <c r="AN75" s="10"/>
    </row>
    <row r="76" spans="1:40" x14ac:dyDescent="0.3">
      <c r="A76" s="10" t="s">
        <v>523</v>
      </c>
      <c r="B76" s="10" t="s">
        <v>485</v>
      </c>
      <c r="C76" s="10">
        <v>30</v>
      </c>
      <c r="D76" s="10">
        <v>2018</v>
      </c>
      <c r="E76" s="10" t="s">
        <v>175</v>
      </c>
      <c r="F76" s="10">
        <f t="shared" si="83"/>
        <v>1</v>
      </c>
      <c r="G76" s="10">
        <f t="shared" si="78"/>
        <v>4</v>
      </c>
      <c r="H76" s="10">
        <f t="shared" si="78"/>
        <v>4</v>
      </c>
      <c r="I76" s="10">
        <f t="shared" si="78"/>
        <v>0</v>
      </c>
      <c r="J76" s="9">
        <f t="shared" si="84"/>
        <v>1</v>
      </c>
      <c r="K76" s="9">
        <f t="shared" si="78"/>
        <v>1</v>
      </c>
      <c r="L76" s="9">
        <f t="shared" si="78"/>
        <v>0</v>
      </c>
      <c r="M76" s="9">
        <f t="shared" si="78"/>
        <v>0</v>
      </c>
      <c r="N76" s="9">
        <f t="shared" si="78"/>
        <v>0</v>
      </c>
      <c r="O76" s="10">
        <f t="shared" si="78"/>
        <v>0</v>
      </c>
      <c r="P76" s="9">
        <f t="shared" si="78"/>
        <v>0</v>
      </c>
      <c r="Q76" s="10">
        <f t="shared" si="78"/>
        <v>1</v>
      </c>
      <c r="R76" s="9">
        <f t="shared" si="78"/>
        <v>0</v>
      </c>
      <c r="S76" s="9">
        <f t="shared" si="78"/>
        <v>1</v>
      </c>
      <c r="T76" s="7">
        <f t="shared" si="85"/>
        <v>0.25</v>
      </c>
      <c r="U76" s="7">
        <f t="shared" si="79"/>
        <v>0.25</v>
      </c>
      <c r="V76" s="7">
        <f t="shared" si="86"/>
        <v>0.25</v>
      </c>
      <c r="W76" s="8">
        <f t="shared" si="87"/>
        <v>0.5</v>
      </c>
      <c r="X76" s="9">
        <f t="shared" si="88"/>
        <v>1</v>
      </c>
      <c r="Y76" s="10">
        <f t="shared" si="78"/>
        <v>0</v>
      </c>
      <c r="Z76" s="10">
        <f t="shared" si="78"/>
        <v>0</v>
      </c>
      <c r="AA76" s="10">
        <f t="shared" si="78"/>
        <v>0</v>
      </c>
      <c r="AB76" s="10">
        <f t="shared" si="78"/>
        <v>0</v>
      </c>
      <c r="AC76" s="10">
        <f t="shared" si="78"/>
        <v>0</v>
      </c>
      <c r="AD76" s="7">
        <f>(((R76-AC76)*0.72)+(Z76*$J$3)+($K$3*K76)+($L$3*L76)+($M$3*M76)+($N$3*N76))/(H76+R76-AC76+AB76+Z76)</f>
        <v>0.23</v>
      </c>
      <c r="AE76" s="11">
        <f t="shared" si="91"/>
        <v>-0.48131267092069274</v>
      </c>
      <c r="AF76" s="11">
        <f t="shared" si="80"/>
        <v>1.0921266805066498E-3</v>
      </c>
      <c r="AG76" s="11">
        <f t="shared" si="89"/>
        <v>-9.5952023988006008E-3</v>
      </c>
      <c r="AH76" s="10">
        <v>-1.6</v>
      </c>
      <c r="AI76" s="3">
        <f>(P76*$O$3)+(Q76*$P$3)/(K76+R76+Z76-AC76)</f>
        <v>0.49199999999999999</v>
      </c>
      <c r="AJ76" s="3">
        <f t="shared" si="92"/>
        <v>0.22598870056497175</v>
      </c>
      <c r="AK76" s="3">
        <f t="shared" si="81"/>
        <v>0.13442546001383998</v>
      </c>
      <c r="AL76" s="3">
        <f t="shared" si="90"/>
        <v>11.18</v>
      </c>
      <c r="AM76" s="3">
        <f t="shared" si="82"/>
        <v>1.2023744187284436E-2</v>
      </c>
    </row>
    <row r="77" spans="1:40" x14ac:dyDescent="0.3">
      <c r="A77" s="10" t="s">
        <v>523</v>
      </c>
      <c r="B77" s="10" t="s">
        <v>485</v>
      </c>
      <c r="C77" s="10">
        <v>30</v>
      </c>
      <c r="D77" s="10">
        <v>2018</v>
      </c>
      <c r="E77" s="10" t="s">
        <v>175</v>
      </c>
      <c r="F77" s="10">
        <f t="shared" si="83"/>
        <v>97</v>
      </c>
      <c r="G77" s="10">
        <f t="shared" si="78"/>
        <v>352</v>
      </c>
      <c r="H77" s="10">
        <f t="shared" si="78"/>
        <v>310</v>
      </c>
      <c r="I77" s="10">
        <f t="shared" si="78"/>
        <v>46</v>
      </c>
      <c r="J77" s="9">
        <f t="shared" si="84"/>
        <v>75.302754256086729</v>
      </c>
      <c r="K77" s="9">
        <f>K69*(C6/C9)*(D9/D6)*(1000/1060)</f>
        <v>33.032304952771774</v>
      </c>
      <c r="L77" s="9">
        <f>L69*(C6/C9)*(D9/D6)*(1000/910)</f>
        <v>25.651460256364896</v>
      </c>
      <c r="M77" s="9">
        <f>M69*(C6/C9)*(D9/D6)*(1000/1190)</f>
        <v>1.9615822548984918</v>
      </c>
      <c r="N77" s="9">
        <f>N69*(C6/C9)*(1000/820)</f>
        <v>14.657406792051573</v>
      </c>
      <c r="O77" s="10">
        <f t="shared" si="78"/>
        <v>36</v>
      </c>
      <c r="P77" s="9">
        <f>P69*(C6/C9)</f>
        <v>15.297002724795641</v>
      </c>
      <c r="Q77" s="10">
        <f t="shared" si="78"/>
        <v>0</v>
      </c>
      <c r="R77" s="9">
        <f>R69*(C6/C9)*(1000/1100)</f>
        <v>37.745850879365868</v>
      </c>
      <c r="S77" s="9">
        <f>S69*(C9/C6)</f>
        <v>110.74064837905236</v>
      </c>
      <c r="T77" s="7">
        <f t="shared" si="85"/>
        <v>0.24291211050350558</v>
      </c>
      <c r="U77" s="7">
        <f t="shared" ref="U77" si="93">(J77+R77+Z77)/(H77+R77+Z77+AB77)</f>
        <v>0.33276470736706815</v>
      </c>
      <c r="V77" s="7">
        <f t="shared" si="86"/>
        <v>0.4801599980593656</v>
      </c>
      <c r="W77" s="8">
        <f t="shared" si="87"/>
        <v>0.81292470542643369</v>
      </c>
      <c r="X77" s="9">
        <f t="shared" si="88"/>
        <v>148.84959939840334</v>
      </c>
      <c r="Y77" s="10">
        <f t="shared" si="78"/>
        <v>2</v>
      </c>
      <c r="Z77" s="10">
        <f t="shared" si="78"/>
        <v>4</v>
      </c>
      <c r="AA77" s="10">
        <f t="shared" si="78"/>
        <v>0</v>
      </c>
      <c r="AB77" s="10">
        <f t="shared" si="78"/>
        <v>0</v>
      </c>
      <c r="AC77" s="10">
        <f t="shared" si="78"/>
        <v>0</v>
      </c>
      <c r="AD77" s="7">
        <f>(((R77-AC77)*0.72)+(Z77*$J$3)+($K$3*K77)+($L$3*L77)+($M$3*M77)+($N$3*N77))/(H77+R77-AC77+AB77+Z77)</f>
        <v>0.34872836888065056</v>
      </c>
      <c r="AE77" s="11">
        <f t="shared" si="91"/>
        <v>-4.2585361476855041</v>
      </c>
      <c r="AF77" s="11">
        <f t="shared" si="80"/>
        <v>-2.0435134138208282</v>
      </c>
      <c r="AG77" s="11">
        <f t="shared" si="89"/>
        <v>-0.84437781109445287</v>
      </c>
      <c r="AH77" s="10">
        <v>-1.6</v>
      </c>
      <c r="AI77" s="3">
        <f>(P77*$O$3)+(Q77*$P$3)/(K77+R77+Z77-AC77)</f>
        <v>3.0594005449591286</v>
      </c>
      <c r="AJ77" s="3">
        <f t="shared" si="92"/>
        <v>19.887005649717516</v>
      </c>
      <c r="AK77" s="3">
        <f t="shared" si="81"/>
        <v>9.6898199195125052</v>
      </c>
      <c r="AL77" s="3">
        <f t="shared" si="90"/>
        <v>11.18</v>
      </c>
      <c r="AM77" s="3">
        <f t="shared" ref="AM77" si="94">AK77/AL77</f>
        <v>0.86671018958072499</v>
      </c>
    </row>
    <row r="79" spans="1:40" x14ac:dyDescent="0.3">
      <c r="B79" s="10" t="s">
        <v>146</v>
      </c>
      <c r="C79" s="10" t="s">
        <v>176</v>
      </c>
      <c r="D79" s="10" t="s">
        <v>173</v>
      </c>
      <c r="E79" s="10" t="s">
        <v>171</v>
      </c>
      <c r="F79" s="10" t="s">
        <v>148</v>
      </c>
      <c r="G79" s="10" t="s">
        <v>149</v>
      </c>
      <c r="H79" s="10" t="s">
        <v>150</v>
      </c>
      <c r="I79" s="10" t="s">
        <v>151</v>
      </c>
      <c r="J79" s="10" t="s">
        <v>152</v>
      </c>
      <c r="K79" s="10" t="s">
        <v>184</v>
      </c>
      <c r="L79" s="10" t="s">
        <v>153</v>
      </c>
      <c r="M79" s="10" t="s">
        <v>154</v>
      </c>
      <c r="N79" s="10" t="s">
        <v>155</v>
      </c>
      <c r="O79" s="10" t="s">
        <v>156</v>
      </c>
      <c r="P79" s="10" t="s">
        <v>157</v>
      </c>
      <c r="Q79" s="10" t="s">
        <v>158</v>
      </c>
      <c r="R79" s="10" t="s">
        <v>159</v>
      </c>
      <c r="S79" s="10" t="s">
        <v>160</v>
      </c>
      <c r="T79" s="10" t="s">
        <v>161</v>
      </c>
      <c r="U79" s="10" t="s">
        <v>162</v>
      </c>
      <c r="V79" s="10" t="s">
        <v>163</v>
      </c>
      <c r="W79" s="10" t="s">
        <v>164</v>
      </c>
      <c r="X79" s="10" t="s">
        <v>165</v>
      </c>
      <c r="Y79" s="10" t="s">
        <v>166</v>
      </c>
      <c r="Z79" s="10" t="s">
        <v>167</v>
      </c>
      <c r="AA79" s="10" t="s">
        <v>168</v>
      </c>
      <c r="AB79" s="10" t="s">
        <v>169</v>
      </c>
      <c r="AC79" s="10" t="s">
        <v>170</v>
      </c>
    </row>
    <row r="80" spans="1:40" x14ac:dyDescent="0.3">
      <c r="A80" s="10"/>
      <c r="B80" s="5" t="s">
        <v>490</v>
      </c>
      <c r="C80" s="5">
        <v>29</v>
      </c>
      <c r="D80" s="5">
        <v>2016</v>
      </c>
      <c r="E80" s="5" t="s">
        <v>487</v>
      </c>
      <c r="F80" s="5">
        <v>43</v>
      </c>
      <c r="G80" s="5">
        <v>89</v>
      </c>
      <c r="H80" s="5">
        <v>83</v>
      </c>
      <c r="I80" s="5">
        <v>8</v>
      </c>
      <c r="J80" s="5">
        <v>17</v>
      </c>
      <c r="K80" s="10">
        <f>J80-L80-M80-N80</f>
        <v>12</v>
      </c>
      <c r="L80" s="5">
        <v>2</v>
      </c>
      <c r="M80" s="5">
        <v>0</v>
      </c>
      <c r="N80" s="5">
        <v>3</v>
      </c>
      <c r="O80" s="5">
        <v>9</v>
      </c>
      <c r="P80" s="5">
        <v>0</v>
      </c>
      <c r="Q80" s="5">
        <v>1</v>
      </c>
      <c r="R80" s="5">
        <v>4</v>
      </c>
      <c r="S80" s="5">
        <v>25</v>
      </c>
      <c r="T80" s="5">
        <v>0.20499999999999999</v>
      </c>
      <c r="U80" s="7">
        <f t="shared" ref="U80:U81" si="95">(J80+R80+Z80)/(H80+R80+Z80+AB80)</f>
        <v>0.23595505617977527</v>
      </c>
      <c r="V80" s="5">
        <v>0.33700000000000002</v>
      </c>
      <c r="W80" s="5">
        <v>0.57299999999999995</v>
      </c>
      <c r="X80" s="5">
        <v>28</v>
      </c>
      <c r="Y80" s="5">
        <v>5</v>
      </c>
      <c r="Z80" s="5">
        <v>0</v>
      </c>
      <c r="AA80" s="5">
        <v>0</v>
      </c>
      <c r="AB80" s="5">
        <v>2</v>
      </c>
      <c r="AC80" s="5">
        <v>0</v>
      </c>
    </row>
    <row r="81" spans="1:40" x14ac:dyDescent="0.3">
      <c r="A81" s="10"/>
      <c r="B81" s="10" t="s">
        <v>490</v>
      </c>
      <c r="C81" s="5">
        <v>29</v>
      </c>
      <c r="D81" s="5">
        <v>2016</v>
      </c>
      <c r="E81" s="5" t="s">
        <v>483</v>
      </c>
      <c r="F81" s="5">
        <v>95</v>
      </c>
      <c r="G81" s="5">
        <v>390</v>
      </c>
      <c r="H81" s="5">
        <v>350</v>
      </c>
      <c r="I81" s="5">
        <v>56</v>
      </c>
      <c r="J81" s="5">
        <v>103</v>
      </c>
      <c r="K81" s="10">
        <f>J81-L81-M81-N81</f>
        <v>63</v>
      </c>
      <c r="L81" s="5">
        <v>18</v>
      </c>
      <c r="M81" s="5">
        <v>2</v>
      </c>
      <c r="N81" s="5">
        <v>20</v>
      </c>
      <c r="O81" s="5">
        <v>65</v>
      </c>
      <c r="P81" s="5">
        <v>0</v>
      </c>
      <c r="Q81" s="5">
        <v>0</v>
      </c>
      <c r="R81" s="5">
        <v>29</v>
      </c>
      <c r="S81" s="5">
        <v>78</v>
      </c>
      <c r="T81" s="5">
        <v>0.29399999999999998</v>
      </c>
      <c r="U81" s="7">
        <f t="shared" si="95"/>
        <v>0.35641025641025642</v>
      </c>
      <c r="V81" s="5">
        <v>0.52900000000000003</v>
      </c>
      <c r="W81" s="5">
        <v>0.88500000000000001</v>
      </c>
      <c r="X81" s="5">
        <v>185</v>
      </c>
      <c r="Y81" s="5">
        <v>7</v>
      </c>
      <c r="Z81" s="5">
        <v>7</v>
      </c>
      <c r="AA81" s="5">
        <v>0</v>
      </c>
      <c r="AB81" s="5">
        <v>4</v>
      </c>
      <c r="AC81" s="5">
        <v>1</v>
      </c>
    </row>
    <row r="83" spans="1:40" x14ac:dyDescent="0.3">
      <c r="B83" s="10" t="s">
        <v>146</v>
      </c>
      <c r="C83" s="10" t="s">
        <v>176</v>
      </c>
      <c r="D83" s="10" t="s">
        <v>173</v>
      </c>
      <c r="E83" s="10" t="s">
        <v>171</v>
      </c>
      <c r="F83" s="10" t="s">
        <v>148</v>
      </c>
      <c r="G83" s="10" t="s">
        <v>149</v>
      </c>
      <c r="H83" s="10" t="s">
        <v>150</v>
      </c>
      <c r="I83" s="10" t="s">
        <v>151</v>
      </c>
      <c r="J83" s="10" t="s">
        <v>152</v>
      </c>
      <c r="K83" s="10" t="s">
        <v>184</v>
      </c>
      <c r="L83" s="10" t="s">
        <v>153</v>
      </c>
      <c r="M83" s="10" t="s">
        <v>154</v>
      </c>
      <c r="N83" s="10" t="s">
        <v>155</v>
      </c>
      <c r="O83" s="10" t="s">
        <v>156</v>
      </c>
      <c r="P83" s="10" t="s">
        <v>157</v>
      </c>
      <c r="Q83" s="10" t="s">
        <v>158</v>
      </c>
      <c r="R83" s="10" t="s">
        <v>159</v>
      </c>
      <c r="S83" s="10" t="s">
        <v>160</v>
      </c>
      <c r="T83" s="10" t="s">
        <v>161</v>
      </c>
      <c r="U83" s="10" t="s">
        <v>162</v>
      </c>
      <c r="V83" s="10" t="s">
        <v>163</v>
      </c>
      <c r="W83" s="10" t="s">
        <v>164</v>
      </c>
      <c r="X83" s="10" t="s">
        <v>165</v>
      </c>
      <c r="Y83" s="10" t="s">
        <v>166</v>
      </c>
      <c r="Z83" s="10" t="s">
        <v>167</v>
      </c>
      <c r="AA83" s="10" t="s">
        <v>168</v>
      </c>
      <c r="AB83" s="10" t="s">
        <v>169</v>
      </c>
      <c r="AC83" s="10" t="s">
        <v>170</v>
      </c>
      <c r="AD83" s="10" t="s">
        <v>185</v>
      </c>
      <c r="AE83" s="10" t="s">
        <v>504</v>
      </c>
      <c r="AF83" s="10" t="s">
        <v>496</v>
      </c>
      <c r="AG83" s="10" t="s">
        <v>502</v>
      </c>
      <c r="AH83" s="10" t="s">
        <v>461</v>
      </c>
      <c r="AI83" s="10" t="s">
        <v>431</v>
      </c>
      <c r="AJ83" s="10" t="s">
        <v>501</v>
      </c>
      <c r="AK83" s="10" t="s">
        <v>432</v>
      </c>
      <c r="AL83" s="10" t="s">
        <v>499</v>
      </c>
      <c r="AM83" s="10" t="s">
        <v>433</v>
      </c>
    </row>
    <row r="84" spans="1:40" x14ac:dyDescent="0.3">
      <c r="A84" s="10" t="s">
        <v>523</v>
      </c>
      <c r="B84" s="10" t="s">
        <v>506</v>
      </c>
      <c r="C84" s="10">
        <v>29</v>
      </c>
      <c r="D84" s="10">
        <v>2016</v>
      </c>
      <c r="E84" s="5" t="s">
        <v>491</v>
      </c>
      <c r="F84" s="5">
        <f>F80</f>
        <v>43</v>
      </c>
      <c r="G84" s="10">
        <f t="shared" ref="G84:P84" si="96">G80</f>
        <v>89</v>
      </c>
      <c r="H84" s="10">
        <f t="shared" si="96"/>
        <v>83</v>
      </c>
      <c r="I84" s="10">
        <f t="shared" si="96"/>
        <v>8</v>
      </c>
      <c r="J84" s="9">
        <f>K84+L84+M84+N84</f>
        <v>24.711581947598241</v>
      </c>
      <c r="K84" s="9">
        <f>K80*(C4/C9)*(D9/D4)*(1000/990)</f>
        <v>18.110257892274245</v>
      </c>
      <c r="L84" s="9">
        <f>L80*(C4/C9)*(D9/D4)*(1000/890)</f>
        <v>3.3575197216014048</v>
      </c>
      <c r="M84" s="9">
        <f>M80*(C4/C9)*(D9/D4)</f>
        <v>0</v>
      </c>
      <c r="N84" s="9">
        <f>N80*(C4/C9)*(1000/1260)</f>
        <v>3.2438043337225899</v>
      </c>
      <c r="O84" s="10">
        <f t="shared" si="96"/>
        <v>9</v>
      </c>
      <c r="P84" s="10">
        <f t="shared" si="96"/>
        <v>0</v>
      </c>
      <c r="Q84" s="10">
        <f>Q80*(C9/C4)</f>
        <v>0.73399999999999999</v>
      </c>
      <c r="R84" s="9">
        <f>R80*(C4/C9)*(1000/940)</f>
        <v>5.7974375326105863</v>
      </c>
      <c r="S84" s="9">
        <f>S80*(C9/C4)</f>
        <v>18.350000000000001</v>
      </c>
      <c r="T84" s="7">
        <f>J84/H84</f>
        <v>0.29772990298311131</v>
      </c>
      <c r="U84" s="7">
        <f t="shared" ref="U84:U85" si="97">(J84+R84+Z84)/(H84+R84+Z84+AB84)</f>
        <v>0.33601189977692136</v>
      </c>
      <c r="V84" s="7">
        <f>X84/H84</f>
        <v>0.45542788759478808</v>
      </c>
      <c r="W84" s="8">
        <f>U84+V84</f>
        <v>0.79143978737170939</v>
      </c>
      <c r="X84" s="9">
        <f>K84+2*L84+3*M84+4*N84</f>
        <v>37.800514670367413</v>
      </c>
      <c r="Y84" s="10">
        <f t="shared" ref="Y84:AC85" si="98">Y80</f>
        <v>5</v>
      </c>
      <c r="Z84" s="10">
        <f t="shared" si="98"/>
        <v>0</v>
      </c>
      <c r="AA84" s="10">
        <f t="shared" si="98"/>
        <v>0</v>
      </c>
      <c r="AB84" s="10">
        <f t="shared" si="98"/>
        <v>2</v>
      </c>
      <c r="AC84" s="10">
        <f t="shared" si="98"/>
        <v>0</v>
      </c>
      <c r="AD84" s="7">
        <f>(((R84-AC84)*0.72)+(Z84*$J$5)+($K$5*K84)+($L$5*L84)+($M$5*M84)+($N$5*N84))/(H84+R84-AC84+AB84+Z84)</f>
        <v>0.34914092915237699</v>
      </c>
      <c r="AE84" s="11">
        <f>(AD84-$G$5)/$H$5*G84</f>
        <v>-1.0432609894607539</v>
      </c>
      <c r="AF84" s="11">
        <f t="shared" ref="AF84:AF85" si="99">AE84+AG84+AI84</f>
        <v>-2.629263190969882</v>
      </c>
      <c r="AG84" s="11">
        <f>AH84*(G84/667)</f>
        <v>-1.60119940029985</v>
      </c>
      <c r="AH84" s="10">
        <v>-12</v>
      </c>
      <c r="AI84" s="3">
        <f>(P84*$O$5)+(Q84*$P$5)/(K84+R84+Z84-AC84)</f>
        <v>1.5197198790721596E-2</v>
      </c>
      <c r="AJ84" s="3">
        <f>G84/(VLOOKUP(D84,$F$3:$AD$5,25,0))</f>
        <v>5.0857142857142854</v>
      </c>
      <c r="AK84" s="3">
        <f>AF84+20*(G84/600)</f>
        <v>0.33740347569678475</v>
      </c>
      <c r="AL84" s="3">
        <f>(VLOOKUP(D84,$F$3:$AD$5,24,0))</f>
        <v>11.42</v>
      </c>
      <c r="AM84" s="3">
        <f t="shared" ref="AM84:AM85" si="100">AK84/AL84</f>
        <v>2.9544962845602867E-2</v>
      </c>
      <c r="AN84" s="10"/>
    </row>
    <row r="85" spans="1:40" x14ac:dyDescent="0.3">
      <c r="A85" s="10" t="s">
        <v>523</v>
      </c>
      <c r="B85" s="10" t="s">
        <v>490</v>
      </c>
      <c r="C85" s="10">
        <v>29</v>
      </c>
      <c r="D85" s="10">
        <v>2016</v>
      </c>
      <c r="E85" s="5" t="s">
        <v>491</v>
      </c>
      <c r="F85" s="10">
        <f>F81</f>
        <v>95</v>
      </c>
      <c r="G85" s="10">
        <f t="shared" ref="G85:Q85" si="101">G81</f>
        <v>390</v>
      </c>
      <c r="H85" s="10">
        <f t="shared" si="101"/>
        <v>350</v>
      </c>
      <c r="I85" s="10">
        <f t="shared" si="101"/>
        <v>56</v>
      </c>
      <c r="J85" s="9">
        <f>K85+L85+M85+N85</f>
        <v>117.47647310180595</v>
      </c>
      <c r="K85" s="9">
        <f>K81*(C6/C9)*(D9/D6)*(1000/1020)</f>
        <v>72.088147867519567</v>
      </c>
      <c r="L85" s="9">
        <f>L81*(C6/C9)*(D9/D6)*(1000/1050)</f>
        <v>20.008138999964615</v>
      </c>
      <c r="M85" s="9">
        <f>M81*(C6/C9)*(D9/D6)*(1000/1240)</f>
        <v>1.88248619623323</v>
      </c>
      <c r="N85" s="9">
        <f>N81*(C6/C9)*(1000/930)</f>
        <v>23.497700038088539</v>
      </c>
      <c r="O85" s="10">
        <f t="shared" si="101"/>
        <v>65</v>
      </c>
      <c r="P85" s="10">
        <f t="shared" si="101"/>
        <v>0</v>
      </c>
      <c r="Q85" s="10">
        <f t="shared" si="101"/>
        <v>0</v>
      </c>
      <c r="R85" s="9">
        <f>R81*(C6/C9)*(1000/980)</f>
        <v>32.333314797308567</v>
      </c>
      <c r="S85" s="9">
        <f>S81*(C9/C6)</f>
        <v>71.386533665835401</v>
      </c>
      <c r="T85" s="7">
        <f>J85/H85</f>
        <v>0.33564706600515987</v>
      </c>
      <c r="U85" s="7">
        <f t="shared" si="97"/>
        <v>0.3986689710733537</v>
      </c>
      <c r="V85" s="7">
        <f>X85/H85</f>
        <v>0.60497909888143619</v>
      </c>
      <c r="W85" s="8">
        <f>U85+V85</f>
        <v>1.0036480699547898</v>
      </c>
      <c r="X85" s="9">
        <f>K85+2*L85+3*M85+4*N85</f>
        <v>211.74268460850266</v>
      </c>
      <c r="Y85" s="10">
        <f t="shared" si="98"/>
        <v>7</v>
      </c>
      <c r="Z85" s="10">
        <f t="shared" si="98"/>
        <v>7</v>
      </c>
      <c r="AA85" s="10">
        <f t="shared" si="98"/>
        <v>0</v>
      </c>
      <c r="AB85" s="10">
        <f t="shared" si="98"/>
        <v>4</v>
      </c>
      <c r="AC85" s="10">
        <f t="shared" si="98"/>
        <v>1</v>
      </c>
      <c r="AD85" s="7">
        <f>(((R85-AC85)*0.72)+(Z85*$J$5)+($K$5*K85)+($L$5*L85)+($M$5*M85)+($N$5*N85))/(H85+R85-AC85+AB85+Z85)</f>
        <v>0.43088824814552118</v>
      </c>
      <c r="AE85" s="11">
        <f>(AD85-$G$5)/$H$5*G85</f>
        <v>24.49080836531747</v>
      </c>
      <c r="AF85" s="11">
        <f t="shared" si="99"/>
        <v>17.474316611194531</v>
      </c>
      <c r="AG85" s="11">
        <f t="shared" ref="AG85" si="102">AH85*(G85/667)</f>
        <v>-7.0164917541229386</v>
      </c>
      <c r="AH85" s="10">
        <v>-12</v>
      </c>
      <c r="AI85" s="3">
        <f>(P85*$O$5)+(Q85*$P$5)/(K85+R85+Z85-AC85)</f>
        <v>0</v>
      </c>
      <c r="AJ85" s="3">
        <f>G85/(VLOOKUP(D85,$F$3:$AD$5,25,0))</f>
        <v>22.285714285714285</v>
      </c>
      <c r="AK85" s="3">
        <f>AF85+20*(G85/600)</f>
        <v>30.474316611194531</v>
      </c>
      <c r="AL85" s="3">
        <f>(VLOOKUP(D85,$F$3:$AD$5,24,0))</f>
        <v>11.42</v>
      </c>
      <c r="AM85" s="3">
        <f t="shared" si="100"/>
        <v>2.6685040815406769</v>
      </c>
      <c r="AN85" s="10"/>
    </row>
    <row r="86" spans="1:40" x14ac:dyDescent="0.3">
      <c r="AE86" s="11"/>
      <c r="AG86" s="11"/>
      <c r="AJ86" s="3"/>
      <c r="AN86" s="10"/>
    </row>
    <row r="87" spans="1:40" x14ac:dyDescent="0.3">
      <c r="B87" s="10" t="s">
        <v>146</v>
      </c>
      <c r="C87" s="10" t="s">
        <v>176</v>
      </c>
      <c r="D87" s="10" t="s">
        <v>173</v>
      </c>
      <c r="E87" s="10" t="s">
        <v>171</v>
      </c>
      <c r="F87" s="10" t="s">
        <v>148</v>
      </c>
      <c r="G87" s="10" t="s">
        <v>149</v>
      </c>
      <c r="H87" s="10" t="s">
        <v>150</v>
      </c>
      <c r="I87" s="10" t="s">
        <v>151</v>
      </c>
      <c r="J87" s="10" t="s">
        <v>152</v>
      </c>
      <c r="K87" s="10" t="s">
        <v>184</v>
      </c>
      <c r="L87" s="10" t="s">
        <v>153</v>
      </c>
      <c r="M87" s="10" t="s">
        <v>154</v>
      </c>
      <c r="N87" s="10" t="s">
        <v>155</v>
      </c>
      <c r="O87" s="10" t="s">
        <v>156</v>
      </c>
      <c r="P87" s="10" t="s">
        <v>157</v>
      </c>
      <c r="Q87" s="10" t="s">
        <v>158</v>
      </c>
      <c r="R87" s="10" t="s">
        <v>159</v>
      </c>
      <c r="S87" s="10" t="s">
        <v>160</v>
      </c>
      <c r="T87" s="10" t="s">
        <v>161</v>
      </c>
      <c r="U87" s="10" t="s">
        <v>162</v>
      </c>
      <c r="V87" s="10" t="s">
        <v>163</v>
      </c>
      <c r="W87" s="10" t="s">
        <v>164</v>
      </c>
      <c r="X87" s="10" t="s">
        <v>165</v>
      </c>
      <c r="Y87" s="10" t="s">
        <v>166</v>
      </c>
      <c r="Z87" s="10" t="s">
        <v>167</v>
      </c>
      <c r="AA87" s="10" t="s">
        <v>168</v>
      </c>
      <c r="AB87" s="10" t="s">
        <v>169</v>
      </c>
      <c r="AC87" s="10" t="s">
        <v>170</v>
      </c>
      <c r="AE87" s="11"/>
      <c r="AG87" s="11"/>
      <c r="AJ87" s="3"/>
      <c r="AN87" s="10"/>
    </row>
    <row r="88" spans="1:40" x14ac:dyDescent="0.3">
      <c r="B88" s="5" t="s">
        <v>494</v>
      </c>
      <c r="C88" s="5">
        <v>24</v>
      </c>
      <c r="D88" s="5">
        <v>2016</v>
      </c>
      <c r="E88" s="5" t="s">
        <v>487</v>
      </c>
      <c r="F88" s="5">
        <v>7</v>
      </c>
      <c r="G88" s="5">
        <v>25</v>
      </c>
      <c r="H88" s="5">
        <v>24</v>
      </c>
      <c r="I88" s="5">
        <v>2</v>
      </c>
      <c r="J88" s="5">
        <v>5</v>
      </c>
      <c r="K88" s="5">
        <f>J88-L88-M88-N88</f>
        <v>3</v>
      </c>
      <c r="L88" s="5">
        <v>2</v>
      </c>
      <c r="M88" s="5">
        <v>0</v>
      </c>
      <c r="N88" s="5">
        <v>0</v>
      </c>
      <c r="O88" s="5">
        <v>2</v>
      </c>
      <c r="P88" s="5">
        <v>0</v>
      </c>
      <c r="Q88" s="5">
        <v>0</v>
      </c>
      <c r="R88" s="5">
        <v>1</v>
      </c>
      <c r="S88" s="5">
        <v>4</v>
      </c>
      <c r="T88" s="5">
        <v>0.20799999999999999</v>
      </c>
      <c r="U88" s="7">
        <f t="shared" ref="U88:U92" si="103">(J88+R88+Z88)/(H88+R88+Z88+AB88)</f>
        <v>0.24</v>
      </c>
      <c r="V88" s="5">
        <v>0.29199999999999998</v>
      </c>
      <c r="W88" s="5">
        <v>0.53200000000000003</v>
      </c>
      <c r="X88" s="5">
        <v>7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E88" s="11"/>
      <c r="AG88" s="11"/>
      <c r="AJ88" s="3"/>
    </row>
    <row r="89" spans="1:40" x14ac:dyDescent="0.3">
      <c r="B89" s="10" t="s">
        <v>494</v>
      </c>
      <c r="C89" s="5">
        <v>24</v>
      </c>
      <c r="D89" s="5">
        <v>2016</v>
      </c>
      <c r="E89" s="5" t="s">
        <v>486</v>
      </c>
      <c r="F89" s="5">
        <v>134</v>
      </c>
      <c r="G89" s="5">
        <v>597</v>
      </c>
      <c r="H89" s="5">
        <v>535</v>
      </c>
      <c r="I89" s="5">
        <v>98</v>
      </c>
      <c r="J89" s="5">
        <v>172</v>
      </c>
      <c r="K89" s="10">
        <f t="shared" ref="K89:K93" si="104">J89-L89-M89-N89</f>
        <v>120</v>
      </c>
      <c r="L89" s="5">
        <v>32</v>
      </c>
      <c r="M89" s="5">
        <v>11</v>
      </c>
      <c r="N89" s="5">
        <v>9</v>
      </c>
      <c r="O89" s="5">
        <v>69</v>
      </c>
      <c r="P89" s="5">
        <v>10</v>
      </c>
      <c r="Q89" s="5">
        <v>5</v>
      </c>
      <c r="R89" s="5">
        <v>49</v>
      </c>
      <c r="S89" s="5">
        <v>82</v>
      </c>
      <c r="T89" s="5">
        <v>0.32100000000000001</v>
      </c>
      <c r="U89" s="7">
        <f t="shared" si="103"/>
        <v>0.3783783783783784</v>
      </c>
      <c r="V89" s="5">
        <v>0.47299999999999998</v>
      </c>
      <c r="W89" s="5">
        <v>0.85099999999999998</v>
      </c>
      <c r="X89" s="5">
        <v>253</v>
      </c>
      <c r="Y89" s="5">
        <v>10</v>
      </c>
      <c r="Z89" s="5">
        <v>3</v>
      </c>
      <c r="AA89" s="5">
        <v>5</v>
      </c>
      <c r="AB89" s="5">
        <v>5</v>
      </c>
      <c r="AC89" s="5">
        <v>0</v>
      </c>
      <c r="AE89" s="11"/>
      <c r="AG89" s="11"/>
      <c r="AJ89" s="3"/>
    </row>
    <row r="90" spans="1:40" x14ac:dyDescent="0.3">
      <c r="B90" s="10" t="s">
        <v>494</v>
      </c>
      <c r="C90" s="5">
        <v>25</v>
      </c>
      <c r="D90" s="5">
        <v>2017</v>
      </c>
      <c r="E90" s="10" t="s">
        <v>487</v>
      </c>
      <c r="F90" s="5">
        <v>89</v>
      </c>
      <c r="G90" s="5">
        <v>343</v>
      </c>
      <c r="H90" s="5">
        <v>307</v>
      </c>
      <c r="I90" s="5">
        <v>28</v>
      </c>
      <c r="J90" s="5">
        <v>83</v>
      </c>
      <c r="K90" s="10">
        <f t="shared" si="104"/>
        <v>64</v>
      </c>
      <c r="L90" s="5">
        <v>14</v>
      </c>
      <c r="M90" s="5">
        <v>1</v>
      </c>
      <c r="N90" s="5">
        <v>4</v>
      </c>
      <c r="O90" s="5">
        <v>21</v>
      </c>
      <c r="P90" s="5">
        <v>0</v>
      </c>
      <c r="Q90" s="5">
        <v>1</v>
      </c>
      <c r="R90" s="5">
        <v>28</v>
      </c>
      <c r="S90" s="5">
        <v>76</v>
      </c>
      <c r="T90" s="5">
        <v>0.27</v>
      </c>
      <c r="U90" s="7">
        <f t="shared" si="103"/>
        <v>0.33431952662721892</v>
      </c>
      <c r="V90" s="5">
        <v>0.36199999999999999</v>
      </c>
      <c r="W90" s="5">
        <v>0.69599999999999995</v>
      </c>
      <c r="X90" s="5">
        <v>111</v>
      </c>
      <c r="Y90" s="5">
        <v>6</v>
      </c>
      <c r="Z90" s="5">
        <v>2</v>
      </c>
      <c r="AA90" s="5">
        <v>5</v>
      </c>
      <c r="AB90" s="5">
        <v>1</v>
      </c>
      <c r="AC90" s="5">
        <v>0</v>
      </c>
    </row>
    <row r="91" spans="1:40" x14ac:dyDescent="0.3">
      <c r="B91" s="10" t="s">
        <v>494</v>
      </c>
      <c r="C91" s="5">
        <v>25</v>
      </c>
      <c r="D91" s="5">
        <v>2017</v>
      </c>
      <c r="E91" s="10" t="s">
        <v>486</v>
      </c>
      <c r="F91" s="5">
        <v>62</v>
      </c>
      <c r="G91" s="5">
        <v>277</v>
      </c>
      <c r="H91" s="5">
        <v>228</v>
      </c>
      <c r="I91" s="5">
        <v>44</v>
      </c>
      <c r="J91" s="5">
        <v>57</v>
      </c>
      <c r="K91" s="10">
        <f t="shared" si="104"/>
        <v>40</v>
      </c>
      <c r="L91" s="5">
        <v>9</v>
      </c>
      <c r="M91" s="5">
        <v>5</v>
      </c>
      <c r="N91" s="5">
        <v>3</v>
      </c>
      <c r="O91" s="5">
        <v>35</v>
      </c>
      <c r="P91" s="5">
        <v>1</v>
      </c>
      <c r="Q91" s="5">
        <v>1</v>
      </c>
      <c r="R91" s="5">
        <v>40</v>
      </c>
      <c r="S91" s="5">
        <v>33</v>
      </c>
      <c r="T91" s="5">
        <v>0.25</v>
      </c>
      <c r="U91" s="7">
        <f t="shared" si="103"/>
        <v>0.36861313868613138</v>
      </c>
      <c r="V91" s="5">
        <v>0.373</v>
      </c>
      <c r="W91" s="5">
        <v>0.74099999999999999</v>
      </c>
      <c r="X91" s="5">
        <v>85</v>
      </c>
      <c r="Y91" s="5">
        <v>2</v>
      </c>
      <c r="Z91" s="5">
        <v>4</v>
      </c>
      <c r="AA91" s="5">
        <v>3</v>
      </c>
      <c r="AB91" s="5">
        <v>2</v>
      </c>
      <c r="AC91" s="5">
        <v>0</v>
      </c>
    </row>
    <row r="92" spans="1:40" x14ac:dyDescent="0.3">
      <c r="B92" s="10" t="s">
        <v>494</v>
      </c>
      <c r="C92" s="5">
        <v>26</v>
      </c>
      <c r="D92" s="5">
        <v>2018</v>
      </c>
      <c r="E92" s="10" t="s">
        <v>487</v>
      </c>
      <c r="F92" s="5">
        <v>79</v>
      </c>
      <c r="G92" s="5">
        <v>218</v>
      </c>
      <c r="H92" s="5">
        <v>189</v>
      </c>
      <c r="I92" s="5">
        <v>15</v>
      </c>
      <c r="J92" s="5">
        <v>37</v>
      </c>
      <c r="K92" s="10">
        <f t="shared" si="104"/>
        <v>26</v>
      </c>
      <c r="L92" s="5">
        <v>8</v>
      </c>
      <c r="M92" s="5">
        <v>1</v>
      </c>
      <c r="N92" s="5">
        <v>2</v>
      </c>
      <c r="O92" s="5">
        <v>19</v>
      </c>
      <c r="P92" s="5">
        <v>1</v>
      </c>
      <c r="Q92" s="5">
        <v>1</v>
      </c>
      <c r="R92" s="5">
        <v>24</v>
      </c>
      <c r="S92" s="5">
        <v>46</v>
      </c>
      <c r="T92" s="5">
        <v>0.19600000000000001</v>
      </c>
      <c r="U92" s="7">
        <f t="shared" si="103"/>
        <v>0.2857142857142857</v>
      </c>
      <c r="V92" s="5">
        <v>0.28000000000000003</v>
      </c>
      <c r="W92" s="5">
        <v>0.56599999999999995</v>
      </c>
      <c r="X92" s="5">
        <v>53</v>
      </c>
      <c r="Y92" s="5">
        <v>5</v>
      </c>
      <c r="Z92" s="5">
        <v>1</v>
      </c>
      <c r="AA92" s="5">
        <v>1</v>
      </c>
      <c r="AB92" s="5">
        <v>3</v>
      </c>
      <c r="AC92" s="5">
        <v>1</v>
      </c>
    </row>
    <row r="93" spans="1:40" x14ac:dyDescent="0.3">
      <c r="B93" s="10" t="s">
        <v>494</v>
      </c>
      <c r="C93" s="5">
        <v>26</v>
      </c>
      <c r="D93" s="5">
        <v>2018</v>
      </c>
      <c r="E93" s="10" t="s">
        <v>486</v>
      </c>
      <c r="F93" s="5">
        <v>47</v>
      </c>
      <c r="G93" s="5">
        <v>199</v>
      </c>
      <c r="H93" s="5">
        <v>175</v>
      </c>
      <c r="I93" s="5">
        <v>33</v>
      </c>
      <c r="J93" s="5">
        <v>55</v>
      </c>
      <c r="K93" s="10">
        <f t="shared" si="104"/>
        <v>38</v>
      </c>
      <c r="L93" s="5">
        <v>10</v>
      </c>
      <c r="M93" s="5">
        <v>5</v>
      </c>
      <c r="N93" s="5">
        <v>2</v>
      </c>
      <c r="O93" s="5">
        <v>19</v>
      </c>
      <c r="P93" s="5">
        <v>0</v>
      </c>
      <c r="Q93" s="5">
        <v>1</v>
      </c>
      <c r="R93" s="5">
        <v>16</v>
      </c>
      <c r="S93" s="5">
        <v>26</v>
      </c>
      <c r="T93" s="5">
        <v>0.314</v>
      </c>
      <c r="U93" s="7">
        <f t="shared" ref="U93" si="105">(J93+R93+Z93)/(H93+R93+Z93+AB93)</f>
        <v>0.38578680203045684</v>
      </c>
      <c r="V93" s="5">
        <v>0.46300000000000002</v>
      </c>
      <c r="W93" s="5">
        <v>0.84899999999999998</v>
      </c>
      <c r="X93" s="5">
        <v>81</v>
      </c>
      <c r="Y93" s="5">
        <v>2</v>
      </c>
      <c r="Z93" s="5">
        <v>5</v>
      </c>
      <c r="AA93" s="5">
        <v>2</v>
      </c>
      <c r="AB93" s="5">
        <v>1</v>
      </c>
      <c r="AC93" s="5">
        <v>1</v>
      </c>
    </row>
    <row r="95" spans="1:40" x14ac:dyDescent="0.3">
      <c r="B95" s="10" t="s">
        <v>146</v>
      </c>
      <c r="C95" s="10" t="s">
        <v>176</v>
      </c>
      <c r="D95" s="10" t="s">
        <v>173</v>
      </c>
      <c r="E95" s="10" t="s">
        <v>171</v>
      </c>
      <c r="F95" s="10" t="s">
        <v>148</v>
      </c>
      <c r="G95" s="10" t="s">
        <v>149</v>
      </c>
      <c r="H95" s="10" t="s">
        <v>150</v>
      </c>
      <c r="I95" s="10" t="s">
        <v>151</v>
      </c>
      <c r="J95" s="10" t="s">
        <v>152</v>
      </c>
      <c r="K95" s="10" t="s">
        <v>184</v>
      </c>
      <c r="L95" s="10" t="s">
        <v>153</v>
      </c>
      <c r="M95" s="10" t="s">
        <v>154</v>
      </c>
      <c r="N95" s="10" t="s">
        <v>155</v>
      </c>
      <c r="O95" s="10" t="s">
        <v>156</v>
      </c>
      <c r="P95" s="10" t="s">
        <v>157</v>
      </c>
      <c r="Q95" s="10" t="s">
        <v>158</v>
      </c>
      <c r="R95" s="10" t="s">
        <v>159</v>
      </c>
      <c r="S95" s="10" t="s">
        <v>160</v>
      </c>
      <c r="T95" s="10" t="s">
        <v>161</v>
      </c>
      <c r="U95" s="10" t="s">
        <v>162</v>
      </c>
      <c r="V95" s="10" t="s">
        <v>163</v>
      </c>
      <c r="W95" s="10" t="s">
        <v>164</v>
      </c>
      <c r="X95" s="10" t="s">
        <v>165</v>
      </c>
      <c r="Y95" s="10" t="s">
        <v>166</v>
      </c>
      <c r="Z95" s="10" t="s">
        <v>167</v>
      </c>
      <c r="AA95" s="10" t="s">
        <v>168</v>
      </c>
      <c r="AB95" s="10" t="s">
        <v>169</v>
      </c>
      <c r="AC95" s="10" t="s">
        <v>170</v>
      </c>
      <c r="AD95" s="10" t="s">
        <v>185</v>
      </c>
      <c r="AE95" s="10" t="s">
        <v>504</v>
      </c>
      <c r="AF95" s="10" t="s">
        <v>496</v>
      </c>
      <c r="AG95" s="10" t="s">
        <v>502</v>
      </c>
      <c r="AH95" s="10" t="s">
        <v>461</v>
      </c>
      <c r="AI95" s="10" t="s">
        <v>431</v>
      </c>
      <c r="AJ95" s="10" t="s">
        <v>501</v>
      </c>
      <c r="AK95" s="10" t="s">
        <v>432</v>
      </c>
      <c r="AL95" s="10" t="s">
        <v>499</v>
      </c>
      <c r="AM95" s="10" t="s">
        <v>433</v>
      </c>
    </row>
    <row r="96" spans="1:40" x14ac:dyDescent="0.3">
      <c r="A96" s="10" t="s">
        <v>523</v>
      </c>
      <c r="B96" s="10" t="s">
        <v>494</v>
      </c>
      <c r="C96" s="10">
        <v>24</v>
      </c>
      <c r="D96" s="10">
        <v>2016</v>
      </c>
      <c r="E96" s="10" t="s">
        <v>491</v>
      </c>
      <c r="F96" s="5">
        <f>F88</f>
        <v>7</v>
      </c>
      <c r="G96" s="10">
        <f t="shared" ref="G96:Q96" si="106">G88</f>
        <v>25</v>
      </c>
      <c r="H96" s="10">
        <f t="shared" si="106"/>
        <v>24</v>
      </c>
      <c r="I96" s="10">
        <f t="shared" si="106"/>
        <v>2</v>
      </c>
      <c r="J96" s="9">
        <f>K96+L96+M96+N96</f>
        <v>7.1988275121790117</v>
      </c>
      <c r="K96" s="9">
        <f>K88*(C4/C9)*(D9/D4)</f>
        <v>4.4822888283378752</v>
      </c>
      <c r="L96" s="9">
        <f>L88*(C4/C9)*(D9/D4)*(1000/1100)</f>
        <v>2.7165386838411365</v>
      </c>
      <c r="M96" s="9">
        <f>M88*(C4/C9)*(D9/D4)</f>
        <v>0</v>
      </c>
      <c r="N96" s="9">
        <f t="shared" si="106"/>
        <v>0</v>
      </c>
      <c r="O96" s="10">
        <f t="shared" si="106"/>
        <v>2</v>
      </c>
      <c r="P96" s="10">
        <f t="shared" si="106"/>
        <v>0</v>
      </c>
      <c r="Q96" s="9">
        <f t="shared" si="106"/>
        <v>0</v>
      </c>
      <c r="R96" s="9">
        <f>R88*(C4/C9)</f>
        <v>1.3623978201634879</v>
      </c>
      <c r="S96" s="9">
        <f>S88*(C9/C4)</f>
        <v>2.9359999999999999</v>
      </c>
      <c r="T96" s="7">
        <f>J96/H96</f>
        <v>0.29995114634079217</v>
      </c>
      <c r="U96" s="7">
        <f t="shared" ref="U96:U100" si="107">(J96+R96+Z96)/(H96+R96+Z96+AB96)</f>
        <v>0.33755583336588924</v>
      </c>
      <c r="V96" s="7">
        <f>X96/H96</f>
        <v>0.41314025816750616</v>
      </c>
      <c r="W96" s="8">
        <f>U96+V96</f>
        <v>0.75069609153339534</v>
      </c>
      <c r="X96" s="9">
        <f>K96+2*L96+3*M96+4*N96</f>
        <v>9.9153661960201482</v>
      </c>
      <c r="Y96" s="10">
        <f t="shared" ref="Y96:AC101" si="108">Y88</f>
        <v>0</v>
      </c>
      <c r="Z96" s="10">
        <f t="shared" si="108"/>
        <v>0</v>
      </c>
      <c r="AA96" s="10">
        <f t="shared" si="108"/>
        <v>0</v>
      </c>
      <c r="AB96" s="10">
        <f t="shared" si="108"/>
        <v>0</v>
      </c>
      <c r="AC96" s="10">
        <f t="shared" si="108"/>
        <v>0</v>
      </c>
      <c r="AD96" s="7">
        <f>(((R96-AC96)*0.72)+(Z96*$J$5)+($K$5*K96)+($L$5*L96)+($M$5*M96)+($N$5*N96))/(H96+R96-AC96+AB96+Z96)</f>
        <v>0.34185887669127896</v>
      </c>
      <c r="AE96" s="11">
        <f>(AD96-$G$5)/$H$5*G96</f>
        <v>-0.45900463328899349</v>
      </c>
      <c r="AF96" s="11">
        <f>AE96+AG96+AI96</f>
        <v>-0.36530148486320635</v>
      </c>
      <c r="AG96" s="11">
        <f>AH96*(G96/667)</f>
        <v>9.3703148425787114E-2</v>
      </c>
      <c r="AH96" s="10">
        <v>2.5</v>
      </c>
      <c r="AI96" s="3">
        <f>(P96*$O$5)+(Q96*$P$5)/(K96+R96+Z96-AC96)</f>
        <v>0</v>
      </c>
      <c r="AJ96" s="3">
        <f t="shared" ref="AJ96:AJ101" si="109">G96/(VLOOKUP(D96,$F$3:$AD$5,25,0))</f>
        <v>1.4285714285714286</v>
      </c>
      <c r="AK96" s="3">
        <f t="shared" ref="AK96:AK101" si="110">AF96+20*(G96/600)</f>
        <v>0.46803184847012691</v>
      </c>
      <c r="AL96" s="3">
        <f>(VLOOKUP(D96,$F$3:$AD$5,24,0))</f>
        <v>11.42</v>
      </c>
      <c r="AM96" s="3">
        <f t="shared" ref="AM96:AM100" si="111">AK96/AL96</f>
        <v>4.0983524384424423E-2</v>
      </c>
      <c r="AN96" s="10"/>
    </row>
    <row r="97" spans="1:40" x14ac:dyDescent="0.3">
      <c r="A97" s="10" t="s">
        <v>523</v>
      </c>
      <c r="B97" s="10" t="s">
        <v>494</v>
      </c>
      <c r="C97" s="10">
        <v>24</v>
      </c>
      <c r="D97" s="10">
        <v>2016</v>
      </c>
      <c r="E97" s="10" t="s">
        <v>491</v>
      </c>
      <c r="F97" s="10">
        <f t="shared" ref="F97:P101" si="112">F89</f>
        <v>134</v>
      </c>
      <c r="G97" s="10">
        <f t="shared" si="112"/>
        <v>597</v>
      </c>
      <c r="H97" s="10">
        <f t="shared" si="112"/>
        <v>535</v>
      </c>
      <c r="I97" s="10">
        <f t="shared" si="112"/>
        <v>98</v>
      </c>
      <c r="J97" s="9">
        <f t="shared" ref="J97:J101" si="113">K97+L97+M97+N97</f>
        <v>178.13581114404323</v>
      </c>
      <c r="K97" s="9">
        <f>K89*(C5/C9)*(D9/D5)*(1000/1010)</f>
        <v>125.1408106198123</v>
      </c>
      <c r="L97" s="9">
        <f>L89*(C5/C9)*(D9/D5)*(1000/940)</f>
        <v>35.855948574754727</v>
      </c>
      <c r="M97" s="9">
        <f>M89*(C5/C9)*(D9/D5)*(1000/1400)</f>
        <v>8.2756809880125868</v>
      </c>
      <c r="N97" s="9">
        <f>N89*(C5/C9)*(1000/1050)</f>
        <v>8.8633709614636036</v>
      </c>
      <c r="O97" s="10">
        <f t="shared" si="112"/>
        <v>69</v>
      </c>
      <c r="P97" s="9">
        <f>P89*(C5/C9)</f>
        <v>10.340599455040874</v>
      </c>
      <c r="Q97" s="9">
        <f>Q89*(C9/C5)</f>
        <v>4.8353096179183135</v>
      </c>
      <c r="R97" s="9">
        <f>R89*(C5/C9)</f>
        <v>50.668937329700277</v>
      </c>
      <c r="S97" s="9">
        <f>S89*(C9/C5)</f>
        <v>79.299077733860344</v>
      </c>
      <c r="T97" s="7">
        <f>J97/H97</f>
        <v>0.33296413297952004</v>
      </c>
      <c r="U97" s="7">
        <f t="shared" si="107"/>
        <v>0.39046130578499227</v>
      </c>
      <c r="V97" s="7">
        <f>X97/H97</f>
        <v>0.48062286837236251</v>
      </c>
      <c r="W97" s="8">
        <f>U97+V97</f>
        <v>0.87108417415735473</v>
      </c>
      <c r="X97" s="9">
        <f>K97+2*L97+3*M97+4*N97</f>
        <v>257.13323457921393</v>
      </c>
      <c r="Y97" s="10">
        <f t="shared" si="108"/>
        <v>10</v>
      </c>
      <c r="Z97" s="10">
        <f t="shared" si="108"/>
        <v>3</v>
      </c>
      <c r="AA97" s="10">
        <f t="shared" si="108"/>
        <v>5</v>
      </c>
      <c r="AB97" s="10">
        <f t="shared" si="108"/>
        <v>5</v>
      </c>
      <c r="AC97" s="10">
        <f t="shared" si="108"/>
        <v>0</v>
      </c>
      <c r="AD97" s="7">
        <f>(((R97-AC97)*0.72)+(Z97*$J$5)+($K$5*K97)+($L$5*L97)+($M$5*M97)+($N$5*N97))/(H97+R97-AC97+AB97+Z97)</f>
        <v>0.39144443911529786</v>
      </c>
      <c r="AE97" s="11">
        <f>(AD97-$G$5)/$H$5*G97</f>
        <v>16.024001961561375</v>
      </c>
      <c r="AF97" s="11">
        <f t="shared" ref="AF97:AF101" si="114">AE97+AG97+AI97</f>
        <v>20.343138650951509</v>
      </c>
      <c r="AG97" s="11">
        <f t="shared" ref="AG97:AG101" si="115">AH97*(G97/667)</f>
        <v>2.2376311844077961</v>
      </c>
      <c r="AH97" s="10">
        <v>2.5</v>
      </c>
      <c r="AI97" s="3">
        <f>(P97*$O$5)+(Q97*$P$5)/(K97+R97+Z97-AC97)</f>
        <v>2.0815055049823377</v>
      </c>
      <c r="AJ97" s="3">
        <f t="shared" si="109"/>
        <v>34.114285714285714</v>
      </c>
      <c r="AK97" s="3">
        <f t="shared" si="110"/>
        <v>40.243138650951508</v>
      </c>
      <c r="AL97" s="3">
        <f t="shared" ref="AL97:AL101" si="116">(VLOOKUP(D97,$F$3:$AD$5,24,0))</f>
        <v>11.42</v>
      </c>
      <c r="AM97" s="3">
        <f t="shared" si="111"/>
        <v>3.5239175701358589</v>
      </c>
      <c r="AN97" s="10"/>
    </row>
    <row r="98" spans="1:40" x14ac:dyDescent="0.3">
      <c r="A98" s="10" t="s">
        <v>523</v>
      </c>
      <c r="B98" s="10" t="s">
        <v>494</v>
      </c>
      <c r="C98" s="10">
        <v>25</v>
      </c>
      <c r="D98" s="10">
        <v>2017</v>
      </c>
      <c r="E98" s="10" t="s">
        <v>491</v>
      </c>
      <c r="F98" s="10">
        <f t="shared" si="112"/>
        <v>89</v>
      </c>
      <c r="G98" s="10">
        <f t="shared" si="112"/>
        <v>343</v>
      </c>
      <c r="H98" s="10">
        <f t="shared" si="112"/>
        <v>307</v>
      </c>
      <c r="I98" s="10">
        <f t="shared" si="112"/>
        <v>28</v>
      </c>
      <c r="J98" s="9">
        <f t="shared" si="113"/>
        <v>123.42358578421685</v>
      </c>
      <c r="K98" s="9">
        <f>K90*(C4/C9)*(D9/D4)*(1000/1010)</f>
        <v>94.67540759525545</v>
      </c>
      <c r="L98" s="9">
        <f>L90*(C4/C9)*(D9/D4)*(1000/1050)</f>
        <v>19.921283681501667</v>
      </c>
      <c r="M98" s="9">
        <f>M90*(C4/C9)*(D9/D4)*(1000/600)</f>
        <v>2.4901604601877088</v>
      </c>
      <c r="N98" s="9">
        <f>N90*(C4/C9)*(1000/860)</f>
        <v>6.3367340472720368</v>
      </c>
      <c r="O98" s="10">
        <f t="shared" si="112"/>
        <v>21</v>
      </c>
      <c r="P98" s="10">
        <f t="shared" si="112"/>
        <v>0</v>
      </c>
      <c r="Q98" s="9">
        <f>Q90*(C9/C4)</f>
        <v>0.73399999999999999</v>
      </c>
      <c r="R98" s="9">
        <f>R90*(C4/C9)</f>
        <v>38.147138964577664</v>
      </c>
      <c r="S98" s="9">
        <f>S90*(C9/C4)</f>
        <v>55.783999999999999</v>
      </c>
      <c r="T98" s="7">
        <f t="shared" ref="T98:T101" si="117">J98/H98</f>
        <v>0.40203122405282365</v>
      </c>
      <c r="U98" s="7">
        <f t="shared" si="107"/>
        <v>0.4698321670408358</v>
      </c>
      <c r="V98" s="7">
        <f t="shared" ref="V98:V101" si="118">X98/H98</f>
        <v>0.54506642517234538</v>
      </c>
      <c r="W98" s="8">
        <f t="shared" ref="W98:W101" si="119">U98+V98</f>
        <v>1.0148985922131812</v>
      </c>
      <c r="X98" s="9">
        <f t="shared" ref="X98:X101" si="120">K98+2*L98+3*M98+4*N98</f>
        <v>167.33539252791005</v>
      </c>
      <c r="Y98" s="10">
        <f t="shared" si="108"/>
        <v>6</v>
      </c>
      <c r="Z98" s="10">
        <f t="shared" si="108"/>
        <v>2</v>
      </c>
      <c r="AA98" s="10">
        <f t="shared" si="108"/>
        <v>5</v>
      </c>
      <c r="AB98" s="10">
        <f t="shared" si="108"/>
        <v>1</v>
      </c>
      <c r="AC98" s="10">
        <f t="shared" si="108"/>
        <v>0</v>
      </c>
      <c r="AD98" s="7">
        <f>(((R98-AC98)*0.72)+(Z98*$J$4)+($K$4*K98)+($L$4*L98)+($M$4*M98)+($N$4*N98))/(H98+R98-AC98+AB98+Z98)</f>
        <v>0.4531093977687265</v>
      </c>
      <c r="AE98" s="11">
        <f t="shared" ref="AE98:AE101" si="121">(AD98-$G$5)/$H$5*G98</f>
        <v>28.487259284114124</v>
      </c>
      <c r="AF98" s="11">
        <f t="shared" si="114"/>
        <v>29.775545023602479</v>
      </c>
      <c r="AG98" s="11">
        <f t="shared" si="115"/>
        <v>1.285607196401799</v>
      </c>
      <c r="AH98" s="10">
        <v>2.5</v>
      </c>
      <c r="AI98" s="3">
        <f>(P98*$O$3)+(Q98*$P$3)/(K98+R98+Z98-AC98)</f>
        <v>2.6785430865581107E-3</v>
      </c>
      <c r="AJ98" s="3">
        <f t="shared" si="109"/>
        <v>18.846153846153847</v>
      </c>
      <c r="AK98" s="3">
        <f t="shared" si="110"/>
        <v>41.208878356935813</v>
      </c>
      <c r="AL98" s="3">
        <f t="shared" si="116"/>
        <v>10.77</v>
      </c>
      <c r="AM98" s="3">
        <f t="shared" si="111"/>
        <v>3.8262653999011897</v>
      </c>
    </row>
    <row r="99" spans="1:40" x14ac:dyDescent="0.3">
      <c r="A99" s="10" t="s">
        <v>523</v>
      </c>
      <c r="B99" s="10" t="s">
        <v>494</v>
      </c>
      <c r="C99" s="10">
        <v>25</v>
      </c>
      <c r="D99" s="10">
        <v>2017</v>
      </c>
      <c r="E99" s="10" t="s">
        <v>491</v>
      </c>
      <c r="F99" s="10">
        <f t="shared" si="112"/>
        <v>62</v>
      </c>
      <c r="G99" s="10">
        <f t="shared" si="112"/>
        <v>277</v>
      </c>
      <c r="H99" s="10">
        <f t="shared" si="112"/>
        <v>228</v>
      </c>
      <c r="I99" s="10">
        <f t="shared" si="112"/>
        <v>44</v>
      </c>
      <c r="J99" s="9">
        <f t="shared" si="113"/>
        <v>57.639602934909156</v>
      </c>
      <c r="K99" s="9">
        <f>K91*(C5/C9)*(D9/D5)*(1000/1040)</f>
        <v>40.510326514746936</v>
      </c>
      <c r="L99" s="9">
        <f>L91*(C5/C9)*(D9/D5)*(1000/990)</f>
        <v>9.5751680853038206</v>
      </c>
      <c r="M99" s="9">
        <f>M91*(C5/C9)*(D9/D5)*(1000/1200)</f>
        <v>4.3886187057642516</v>
      </c>
      <c r="N99" s="9">
        <f>N91*(C5/C9)*(1000/980)</f>
        <v>3.1654896290941448</v>
      </c>
      <c r="O99" s="9">
        <f t="shared" si="112"/>
        <v>35</v>
      </c>
      <c r="P99" s="9">
        <f>P91*(C5/C9)</f>
        <v>1.0340599455040873</v>
      </c>
      <c r="Q99" s="9">
        <f>Q91*(C9/C5)</f>
        <v>0.96706192358366272</v>
      </c>
      <c r="R99" s="9">
        <f>R91*(C5/C9)</f>
        <v>41.362397820163494</v>
      </c>
      <c r="S99" s="9">
        <f>S91*(C9/C5)</f>
        <v>31.913043478260871</v>
      </c>
      <c r="T99" s="7">
        <f t="shared" si="117"/>
        <v>0.25280527603030334</v>
      </c>
      <c r="U99" s="7">
        <f t="shared" si="107"/>
        <v>0.37405979019089697</v>
      </c>
      <c r="V99" s="7">
        <f t="shared" si="118"/>
        <v>0.37494946192554357</v>
      </c>
      <c r="W99" s="8">
        <f t="shared" si="119"/>
        <v>0.74900925211644054</v>
      </c>
      <c r="X99" s="9">
        <f t="shared" si="120"/>
        <v>85.488477319023929</v>
      </c>
      <c r="Y99" s="10">
        <f t="shared" si="108"/>
        <v>2</v>
      </c>
      <c r="Z99" s="10">
        <f t="shared" si="108"/>
        <v>4</v>
      </c>
      <c r="AA99" s="10">
        <f t="shared" si="108"/>
        <v>3</v>
      </c>
      <c r="AB99" s="10">
        <f t="shared" si="108"/>
        <v>2</v>
      </c>
      <c r="AC99" s="10">
        <f t="shared" si="108"/>
        <v>0</v>
      </c>
      <c r="AD99" s="7">
        <f>(((R99-AC99)*0.72)+(Z99*$J$4)+($K$4*K99)+($L$4*L99)+($M$4*M99)+($N$4*N99))/(H99+R99-AC99+AB99+Z99)</f>
        <v>0.34597388827138642</v>
      </c>
      <c r="AE99" s="11">
        <f t="shared" si="121"/>
        <v>-4.0467027792397072</v>
      </c>
      <c r="AF99" s="11">
        <f t="shared" si="114"/>
        <v>-2.7961192118383278</v>
      </c>
      <c r="AG99" s="11">
        <f t="shared" si="115"/>
        <v>1.0382308845577211</v>
      </c>
      <c r="AH99" s="10">
        <v>2.5</v>
      </c>
      <c r="AI99" s="3">
        <f>(P99*$O$3)+(Q99*$P$3)/(K99+R99+Z99-AC99)</f>
        <v>0.21235268284365863</v>
      </c>
      <c r="AJ99" s="3">
        <f t="shared" si="109"/>
        <v>15.219780219780221</v>
      </c>
      <c r="AK99" s="3">
        <f t="shared" si="110"/>
        <v>6.4372141214950069</v>
      </c>
      <c r="AL99" s="3">
        <f t="shared" si="116"/>
        <v>10.77</v>
      </c>
      <c r="AM99" s="3">
        <f t="shared" si="111"/>
        <v>0.59769861852321327</v>
      </c>
    </row>
    <row r="100" spans="1:40" x14ac:dyDescent="0.3">
      <c r="A100" s="10" t="s">
        <v>523</v>
      </c>
      <c r="B100" s="10" t="s">
        <v>494</v>
      </c>
      <c r="C100" s="10">
        <v>26</v>
      </c>
      <c r="D100" s="10">
        <v>2018</v>
      </c>
      <c r="E100" s="10" t="s">
        <v>491</v>
      </c>
      <c r="F100" s="10">
        <f t="shared" si="112"/>
        <v>79</v>
      </c>
      <c r="G100" s="10">
        <f t="shared" si="112"/>
        <v>218</v>
      </c>
      <c r="H100" s="10">
        <f t="shared" si="112"/>
        <v>189</v>
      </c>
      <c r="I100" s="10">
        <f t="shared" si="112"/>
        <v>15</v>
      </c>
      <c r="J100" s="9">
        <f t="shared" si="113"/>
        <v>54.126620462539051</v>
      </c>
      <c r="K100" s="9">
        <f>K92*(C4/C9)*(D9/D4)*(1000/1010)</f>
        <v>38.461884335572528</v>
      </c>
      <c r="L100" s="9">
        <f>L92*(C4/C9)*(D9/D4)*(1000/1110)</f>
        <v>10.768261449460361</v>
      </c>
      <c r="M100" s="9">
        <f>M92*(C4/C9)*(D9/D4)*(1000/830)</f>
        <v>1.8001159953164159</v>
      </c>
      <c r="N100" s="9">
        <f>N92*(C4/C9)*(1000/880)</f>
        <v>3.0963586821897455</v>
      </c>
      <c r="O100" s="9">
        <f t="shared" si="112"/>
        <v>19</v>
      </c>
      <c r="P100" s="9">
        <f>P92*(C4/C9)</f>
        <v>1.3623978201634879</v>
      </c>
      <c r="Q100" s="9">
        <f>Q92*(C9/C4)</f>
        <v>0.73399999999999999</v>
      </c>
      <c r="R100" s="9">
        <f>R92*(C4/C9)</f>
        <v>32.697547683923709</v>
      </c>
      <c r="S100" s="9">
        <f>S92*(C9/C4)</f>
        <v>33.763999999999996</v>
      </c>
      <c r="T100" s="7">
        <f t="shared" si="117"/>
        <v>0.2863842352515294</v>
      </c>
      <c r="U100" s="7">
        <f t="shared" si="107"/>
        <v>0.38912327159821608</v>
      </c>
      <c r="V100" s="7">
        <f t="shared" si="118"/>
        <v>0.41155656057778561</v>
      </c>
      <c r="W100" s="8">
        <f t="shared" si="119"/>
        <v>0.80067983217600169</v>
      </c>
      <c r="X100" s="9">
        <f t="shared" si="120"/>
        <v>77.784189949201476</v>
      </c>
      <c r="Y100" s="10">
        <f t="shared" si="108"/>
        <v>5</v>
      </c>
      <c r="Z100" s="10">
        <f t="shared" si="108"/>
        <v>1</v>
      </c>
      <c r="AA100" s="10">
        <f t="shared" si="108"/>
        <v>1</v>
      </c>
      <c r="AB100" s="10">
        <f t="shared" si="108"/>
        <v>3</v>
      </c>
      <c r="AC100" s="10">
        <f t="shared" si="108"/>
        <v>1</v>
      </c>
      <c r="AD100" s="7">
        <f>(((R100-AC100)*0.72)+(Z100*$J$3)+($K$3*K100)+($L$3*L100)+($M$3*M100)+($N$3*N100))/(H100+R100-AC100+AB100+Z100)</f>
        <v>0.35978970562130469</v>
      </c>
      <c r="AE100" s="11">
        <f t="shared" si="121"/>
        <v>-0.43923808072522807</v>
      </c>
      <c r="AF100" s="11">
        <f t="shared" si="114"/>
        <v>0.65540785161142112</v>
      </c>
      <c r="AG100" s="11">
        <f t="shared" si="115"/>
        <v>0.81709145427286356</v>
      </c>
      <c r="AH100" s="10">
        <v>2.5</v>
      </c>
      <c r="AI100" s="3">
        <f>(P100*$O$3)+(Q100*$P$3)/(K100+R100+Z100-AC100)</f>
        <v>0.27755447806378564</v>
      </c>
      <c r="AJ100" s="3">
        <f t="shared" si="109"/>
        <v>12.31638418079096</v>
      </c>
      <c r="AK100" s="3">
        <f t="shared" si="110"/>
        <v>7.9220745182780874</v>
      </c>
      <c r="AL100" s="3">
        <f t="shared" si="116"/>
        <v>11.18</v>
      </c>
      <c r="AM100" s="3">
        <f t="shared" si="111"/>
        <v>0.70859342739517783</v>
      </c>
    </row>
    <row r="101" spans="1:40" x14ac:dyDescent="0.3">
      <c r="A101" s="10" t="s">
        <v>523</v>
      </c>
      <c r="B101" s="10" t="s">
        <v>494</v>
      </c>
      <c r="C101" s="10">
        <v>26</v>
      </c>
      <c r="D101" s="10">
        <v>2018</v>
      </c>
      <c r="E101" s="10" t="s">
        <v>491</v>
      </c>
      <c r="F101" s="10">
        <f t="shared" si="112"/>
        <v>47</v>
      </c>
      <c r="G101" s="10">
        <f t="shared" si="112"/>
        <v>199</v>
      </c>
      <c r="H101" s="10">
        <f t="shared" si="112"/>
        <v>175</v>
      </c>
      <c r="I101" s="10">
        <f t="shared" si="112"/>
        <v>33</v>
      </c>
      <c r="J101" s="9">
        <f t="shared" si="113"/>
        <v>53.773019191388833</v>
      </c>
      <c r="K101" s="9">
        <f>K93*(C5/C9)*(D9/D5)*(1000/1080)</f>
        <v>37.059446848675897</v>
      </c>
      <c r="L101" s="9">
        <f>L93*(C5/C9)*(D9/D5)*(1000/1010)</f>
        <v>10.428400884984359</v>
      </c>
      <c r="M101" s="9">
        <f>M93*(C5/C9)*(D9/D5)*(1000/1210)</f>
        <v>4.3523491296835548</v>
      </c>
      <c r="N101" s="9">
        <f>N93*(C5/C9)*(1000/1070)</f>
        <v>1.932822328045023</v>
      </c>
      <c r="O101" s="9">
        <f t="shared" si="112"/>
        <v>19</v>
      </c>
      <c r="P101" s="9">
        <f t="shared" si="112"/>
        <v>0</v>
      </c>
      <c r="Q101" s="9">
        <f>Q93*(C9/C5)</f>
        <v>0.96706192358366272</v>
      </c>
      <c r="R101" s="9">
        <f>R93*(C5/C9)</f>
        <v>16.544959128065397</v>
      </c>
      <c r="S101" s="9">
        <f>S93*(C9/C5)</f>
        <v>25.14361001317523</v>
      </c>
      <c r="T101" s="7">
        <f t="shared" si="117"/>
        <v>0.30727439537936474</v>
      </c>
      <c r="U101" s="7">
        <f t="shared" ref="U101" si="122">(J101+R101+Z101)/(H101+R101+Z101+AB101)</f>
        <v>0.38127005949378201</v>
      </c>
      <c r="V101" s="7">
        <f t="shared" si="118"/>
        <v>0.44974048754214502</v>
      </c>
      <c r="W101" s="8">
        <f t="shared" si="119"/>
        <v>0.83101054703592703</v>
      </c>
      <c r="X101" s="9">
        <f t="shared" si="120"/>
        <v>78.704585319875378</v>
      </c>
      <c r="Y101" s="10">
        <f t="shared" si="108"/>
        <v>2</v>
      </c>
      <c r="Z101" s="10">
        <f t="shared" si="108"/>
        <v>5</v>
      </c>
      <c r="AA101" s="10">
        <f t="shared" si="108"/>
        <v>2</v>
      </c>
      <c r="AB101" s="10">
        <f t="shared" si="108"/>
        <v>1</v>
      </c>
      <c r="AC101" s="10">
        <f t="shared" si="108"/>
        <v>1</v>
      </c>
      <c r="AD101" s="7">
        <f>(((R101-AC101)*0.72)+(Z101*$J$3)+($K$3*K101)+($L$3*L101)+($M$3*M101)+($N$3*N101))/(H101+R101-AC101+AB101+Z101)</f>
        <v>0.36767942648703072</v>
      </c>
      <c r="AE101" s="11">
        <f t="shared" si="121"/>
        <v>1.0302697091331965</v>
      </c>
      <c r="AF101" s="11">
        <f t="shared" si="114"/>
        <v>1.7844064593942406</v>
      </c>
      <c r="AG101" s="11">
        <f t="shared" si="115"/>
        <v>0.74587706146926536</v>
      </c>
      <c r="AH101" s="10">
        <v>2.5</v>
      </c>
      <c r="AI101" s="3">
        <f>(P101*$O$3)+(Q101*$P$3)/(K101+R101+Z101-AC101)</f>
        <v>8.2596887917787357E-3</v>
      </c>
      <c r="AJ101" s="3">
        <f t="shared" si="109"/>
        <v>11.242937853107344</v>
      </c>
      <c r="AK101" s="3">
        <f t="shared" si="110"/>
        <v>8.4177397927275734</v>
      </c>
      <c r="AL101" s="3">
        <f t="shared" si="116"/>
        <v>11.18</v>
      </c>
      <c r="AM101" s="3">
        <f t="shared" ref="AM101" si="123">AK101/AL101</f>
        <v>0.75292842510980085</v>
      </c>
    </row>
    <row r="103" spans="1:40" x14ac:dyDescent="0.3">
      <c r="B103" s="10" t="s">
        <v>146</v>
      </c>
      <c r="C103" s="10" t="s">
        <v>176</v>
      </c>
      <c r="D103" s="10" t="s">
        <v>173</v>
      </c>
      <c r="E103" s="10" t="s">
        <v>171</v>
      </c>
      <c r="F103" s="10" t="s">
        <v>148</v>
      </c>
      <c r="G103" s="10" t="s">
        <v>149</v>
      </c>
      <c r="H103" s="10" t="s">
        <v>150</v>
      </c>
      <c r="I103" s="10" t="s">
        <v>151</v>
      </c>
      <c r="J103" s="10" t="s">
        <v>152</v>
      </c>
      <c r="K103" s="10" t="s">
        <v>184</v>
      </c>
      <c r="L103" s="10" t="s">
        <v>153</v>
      </c>
      <c r="M103" s="10" t="s">
        <v>154</v>
      </c>
      <c r="N103" s="10" t="s">
        <v>155</v>
      </c>
      <c r="O103" s="10" t="s">
        <v>156</v>
      </c>
      <c r="P103" s="10" t="s">
        <v>157</v>
      </c>
      <c r="Q103" s="10" t="s">
        <v>158</v>
      </c>
      <c r="R103" s="10" t="s">
        <v>159</v>
      </c>
      <c r="S103" s="10" t="s">
        <v>160</v>
      </c>
      <c r="T103" s="10" t="s">
        <v>161</v>
      </c>
      <c r="U103" s="10" t="s">
        <v>162</v>
      </c>
      <c r="V103" s="10" t="s">
        <v>163</v>
      </c>
      <c r="W103" s="10" t="s">
        <v>164</v>
      </c>
      <c r="X103" s="10" t="s">
        <v>165</v>
      </c>
      <c r="Y103" s="10" t="s">
        <v>166</v>
      </c>
      <c r="Z103" s="10" t="s">
        <v>167</v>
      </c>
      <c r="AA103" s="10" t="s">
        <v>168</v>
      </c>
      <c r="AB103" s="10" t="s">
        <v>169</v>
      </c>
      <c r="AC103" s="10" t="s">
        <v>170</v>
      </c>
    </row>
    <row r="104" spans="1:40" x14ac:dyDescent="0.3">
      <c r="B104" s="5" t="s">
        <v>495</v>
      </c>
      <c r="C104" s="5">
        <v>24</v>
      </c>
      <c r="D104" s="5">
        <v>2016</v>
      </c>
      <c r="E104" s="5" t="s">
        <v>487</v>
      </c>
      <c r="F104" s="5">
        <v>107</v>
      </c>
      <c r="G104" s="5">
        <v>347</v>
      </c>
      <c r="H104" s="5">
        <v>315</v>
      </c>
      <c r="I104" s="5">
        <v>47</v>
      </c>
      <c r="J104" s="5">
        <v>81</v>
      </c>
      <c r="K104" s="5">
        <f>J104-L104-M104-N104</f>
        <v>45</v>
      </c>
      <c r="L104" s="5">
        <v>15</v>
      </c>
      <c r="M104" s="5">
        <v>0</v>
      </c>
      <c r="N104" s="5">
        <v>21</v>
      </c>
      <c r="O104" s="5">
        <v>47</v>
      </c>
      <c r="P104" s="5">
        <v>1</v>
      </c>
      <c r="Q104" s="5">
        <v>1</v>
      </c>
      <c r="R104" s="5">
        <v>22</v>
      </c>
      <c r="S104" s="5">
        <v>75</v>
      </c>
      <c r="T104" s="5">
        <v>0.25700000000000001</v>
      </c>
      <c r="U104" s="7">
        <f t="shared" ref="U104:U107" si="124">(J104+R104+Z104)/(H104+R104+Z104+AB104)</f>
        <v>0.30835734870317005</v>
      </c>
      <c r="V104" s="5">
        <v>0.505</v>
      </c>
      <c r="W104" s="5">
        <v>0.81299999999999994</v>
      </c>
      <c r="X104" s="5">
        <v>159</v>
      </c>
      <c r="Y104" s="5">
        <v>11</v>
      </c>
      <c r="Z104" s="5">
        <v>4</v>
      </c>
      <c r="AA104" s="5">
        <v>0</v>
      </c>
      <c r="AB104" s="5">
        <v>6</v>
      </c>
      <c r="AC104" s="5">
        <v>0</v>
      </c>
    </row>
    <row r="105" spans="1:40" x14ac:dyDescent="0.3">
      <c r="B105" s="10" t="s">
        <v>495</v>
      </c>
      <c r="C105" s="5">
        <v>24</v>
      </c>
      <c r="D105" s="5">
        <v>2016</v>
      </c>
      <c r="E105" s="5" t="s">
        <v>483</v>
      </c>
      <c r="F105" s="5">
        <v>27</v>
      </c>
      <c r="G105" s="5">
        <v>100</v>
      </c>
      <c r="H105" s="5">
        <v>95</v>
      </c>
      <c r="I105" s="5">
        <v>11</v>
      </c>
      <c r="J105" s="5">
        <v>33</v>
      </c>
      <c r="K105" s="10">
        <f t="shared" ref="K105:K108" si="125">J105-L105-M105-N105</f>
        <v>20</v>
      </c>
      <c r="L105" s="5">
        <v>7</v>
      </c>
      <c r="M105" s="5">
        <v>0</v>
      </c>
      <c r="N105" s="5">
        <v>6</v>
      </c>
      <c r="O105" s="5">
        <v>17</v>
      </c>
      <c r="P105" s="5">
        <v>0</v>
      </c>
      <c r="Q105" s="5">
        <v>1</v>
      </c>
      <c r="R105" s="5">
        <v>4</v>
      </c>
      <c r="S105" s="5">
        <v>12</v>
      </c>
      <c r="T105" s="5">
        <v>0.34699999999999998</v>
      </c>
      <c r="U105" s="7">
        <f t="shared" si="124"/>
        <v>0.37</v>
      </c>
      <c r="V105" s="5">
        <v>0.61099999999999999</v>
      </c>
      <c r="W105" s="5">
        <v>0.98099999999999998</v>
      </c>
      <c r="X105" s="5">
        <v>58</v>
      </c>
      <c r="Y105" s="5">
        <v>5</v>
      </c>
      <c r="Z105" s="5">
        <v>0</v>
      </c>
      <c r="AA105" s="5">
        <v>0</v>
      </c>
      <c r="AB105" s="5">
        <v>1</v>
      </c>
      <c r="AC105" s="5">
        <v>0</v>
      </c>
    </row>
    <row r="106" spans="1:40" x14ac:dyDescent="0.3">
      <c r="B106" s="10" t="s">
        <v>495</v>
      </c>
      <c r="C106" s="5">
        <v>25</v>
      </c>
      <c r="D106" s="5">
        <v>2017</v>
      </c>
      <c r="E106" s="10" t="s">
        <v>487</v>
      </c>
      <c r="F106" s="5">
        <v>142</v>
      </c>
      <c r="G106" s="5">
        <v>533</v>
      </c>
      <c r="H106" s="5">
        <v>495</v>
      </c>
      <c r="I106" s="5">
        <v>51</v>
      </c>
      <c r="J106" s="5">
        <v>119</v>
      </c>
      <c r="K106" s="10">
        <f t="shared" si="125"/>
        <v>69</v>
      </c>
      <c r="L106" s="5">
        <v>27</v>
      </c>
      <c r="M106" s="5">
        <v>1</v>
      </c>
      <c r="N106" s="5">
        <v>22</v>
      </c>
      <c r="O106" s="5">
        <v>69</v>
      </c>
      <c r="P106" s="5">
        <v>1</v>
      </c>
      <c r="Q106" s="5">
        <v>0</v>
      </c>
      <c r="R106" s="5">
        <v>33</v>
      </c>
      <c r="S106" s="5">
        <v>129</v>
      </c>
      <c r="T106" s="5">
        <v>0.24</v>
      </c>
      <c r="U106" s="7">
        <f t="shared" si="124"/>
        <v>0.28893058161350843</v>
      </c>
      <c r="V106" s="5">
        <v>0.432</v>
      </c>
      <c r="W106" s="5">
        <v>0.72099999999999997</v>
      </c>
      <c r="X106" s="5">
        <v>214</v>
      </c>
      <c r="Y106" s="5">
        <v>21</v>
      </c>
      <c r="Z106" s="5">
        <v>2</v>
      </c>
      <c r="AA106" s="5">
        <v>0</v>
      </c>
      <c r="AB106" s="5">
        <v>3</v>
      </c>
      <c r="AC106" s="5">
        <v>1</v>
      </c>
      <c r="AG106" s="11"/>
    </row>
    <row r="107" spans="1:40" x14ac:dyDescent="0.3">
      <c r="B107" s="10" t="s">
        <v>495</v>
      </c>
      <c r="C107" s="5">
        <v>26</v>
      </c>
      <c r="D107" s="5">
        <v>2018</v>
      </c>
      <c r="E107" s="5" t="s">
        <v>486</v>
      </c>
      <c r="F107" s="5">
        <v>84</v>
      </c>
      <c r="G107" s="5">
        <v>357</v>
      </c>
      <c r="H107" s="5">
        <v>317</v>
      </c>
      <c r="I107" s="5">
        <v>47</v>
      </c>
      <c r="J107" s="5">
        <v>90</v>
      </c>
      <c r="K107" s="10">
        <f t="shared" si="125"/>
        <v>48</v>
      </c>
      <c r="L107" s="5">
        <v>21</v>
      </c>
      <c r="M107" s="5">
        <v>0</v>
      </c>
      <c r="N107" s="5">
        <v>21</v>
      </c>
      <c r="O107" s="5">
        <v>67</v>
      </c>
      <c r="P107" s="5">
        <v>0</v>
      </c>
      <c r="Q107" s="5">
        <v>0</v>
      </c>
      <c r="R107" s="5">
        <v>28</v>
      </c>
      <c r="S107" s="5">
        <v>77</v>
      </c>
      <c r="T107" s="5">
        <v>0.28399999999999997</v>
      </c>
      <c r="U107" s="7">
        <f t="shared" si="124"/>
        <v>0.35294117647058826</v>
      </c>
      <c r="V107" s="5">
        <v>0.54900000000000004</v>
      </c>
      <c r="W107" s="5">
        <v>0.90200000000000002</v>
      </c>
      <c r="X107" s="5">
        <v>174</v>
      </c>
      <c r="Y107" s="5">
        <v>5</v>
      </c>
      <c r="Z107" s="5">
        <v>8</v>
      </c>
      <c r="AA107" s="5">
        <v>0</v>
      </c>
      <c r="AB107" s="5">
        <v>4</v>
      </c>
      <c r="AC107" s="5">
        <v>1</v>
      </c>
    </row>
    <row r="108" spans="1:40" x14ac:dyDescent="0.3">
      <c r="B108" s="10" t="s">
        <v>495</v>
      </c>
      <c r="C108" s="5">
        <v>26</v>
      </c>
      <c r="D108" s="5">
        <v>2018</v>
      </c>
      <c r="E108" s="5" t="s">
        <v>483</v>
      </c>
      <c r="F108" s="5">
        <v>7</v>
      </c>
      <c r="G108" s="5">
        <v>31</v>
      </c>
      <c r="H108" s="5">
        <v>28</v>
      </c>
      <c r="I108" s="5">
        <v>2</v>
      </c>
      <c r="J108" s="5">
        <v>8</v>
      </c>
      <c r="K108" s="10">
        <f t="shared" si="125"/>
        <v>6</v>
      </c>
      <c r="L108" s="5">
        <v>2</v>
      </c>
      <c r="M108" s="5">
        <v>0</v>
      </c>
      <c r="N108" s="5">
        <v>0</v>
      </c>
      <c r="O108" s="5">
        <v>3</v>
      </c>
      <c r="P108" s="5">
        <v>0</v>
      </c>
      <c r="Q108" s="5">
        <v>0</v>
      </c>
      <c r="R108" s="5">
        <v>2</v>
      </c>
      <c r="S108" s="5">
        <v>5</v>
      </c>
      <c r="T108" s="5">
        <v>0.28599999999999998</v>
      </c>
      <c r="U108" s="7">
        <f t="shared" ref="U108" si="126">(J108+R108+Z108)/(H108+R108+Z108+AB108)</f>
        <v>0.32258064516129031</v>
      </c>
      <c r="V108" s="5">
        <v>0.35699999999999998</v>
      </c>
      <c r="W108" s="5">
        <v>0.68</v>
      </c>
      <c r="X108" s="5">
        <v>10</v>
      </c>
      <c r="Y108" s="5">
        <v>0</v>
      </c>
      <c r="Z108" s="5">
        <v>0</v>
      </c>
      <c r="AA108" s="5">
        <v>0</v>
      </c>
      <c r="AB108" s="5">
        <v>1</v>
      </c>
      <c r="AC108" s="5">
        <v>0</v>
      </c>
      <c r="AG108" s="11"/>
    </row>
    <row r="109" spans="1:40" x14ac:dyDescent="0.3">
      <c r="B109" s="10"/>
    </row>
    <row r="110" spans="1:40" x14ac:dyDescent="0.3">
      <c r="B110" s="10" t="s">
        <v>146</v>
      </c>
      <c r="C110" s="10" t="s">
        <v>176</v>
      </c>
      <c r="D110" s="10" t="s">
        <v>173</v>
      </c>
      <c r="E110" s="10" t="s">
        <v>171</v>
      </c>
      <c r="F110" s="10" t="s">
        <v>148</v>
      </c>
      <c r="G110" s="10" t="s">
        <v>149</v>
      </c>
      <c r="H110" s="10" t="s">
        <v>150</v>
      </c>
      <c r="I110" s="10" t="s">
        <v>151</v>
      </c>
      <c r="J110" s="10" t="s">
        <v>152</v>
      </c>
      <c r="K110" s="10" t="s">
        <v>184</v>
      </c>
      <c r="L110" s="10" t="s">
        <v>153</v>
      </c>
      <c r="M110" s="10" t="s">
        <v>154</v>
      </c>
      <c r="N110" s="10" t="s">
        <v>155</v>
      </c>
      <c r="O110" s="10" t="s">
        <v>156</v>
      </c>
      <c r="P110" s="10" t="s">
        <v>157</v>
      </c>
      <c r="Q110" s="10" t="s">
        <v>158</v>
      </c>
      <c r="R110" s="10" t="s">
        <v>159</v>
      </c>
      <c r="S110" s="10" t="s">
        <v>160</v>
      </c>
      <c r="T110" s="10" t="s">
        <v>161</v>
      </c>
      <c r="U110" s="10" t="s">
        <v>162</v>
      </c>
      <c r="V110" s="10" t="s">
        <v>163</v>
      </c>
      <c r="W110" s="10" t="s">
        <v>164</v>
      </c>
      <c r="X110" s="10" t="s">
        <v>165</v>
      </c>
      <c r="Y110" s="10" t="s">
        <v>166</v>
      </c>
      <c r="Z110" s="10" t="s">
        <v>167</v>
      </c>
      <c r="AA110" s="10" t="s">
        <v>168</v>
      </c>
      <c r="AB110" s="10" t="s">
        <v>169</v>
      </c>
      <c r="AC110" s="10" t="s">
        <v>170</v>
      </c>
      <c r="AD110" s="10" t="s">
        <v>185</v>
      </c>
      <c r="AE110" s="10" t="s">
        <v>504</v>
      </c>
      <c r="AF110" s="10" t="s">
        <v>496</v>
      </c>
      <c r="AG110" s="10" t="s">
        <v>502</v>
      </c>
      <c r="AH110" s="10" t="s">
        <v>461</v>
      </c>
      <c r="AI110" s="10" t="s">
        <v>431</v>
      </c>
      <c r="AJ110" s="10" t="s">
        <v>501</v>
      </c>
      <c r="AK110" s="10" t="s">
        <v>432</v>
      </c>
      <c r="AL110" s="10" t="s">
        <v>499</v>
      </c>
      <c r="AM110" s="10" t="s">
        <v>433</v>
      </c>
    </row>
    <row r="111" spans="1:40" x14ac:dyDescent="0.3">
      <c r="A111" s="10" t="s">
        <v>523</v>
      </c>
      <c r="B111" s="10" t="s">
        <v>524</v>
      </c>
      <c r="C111" s="10">
        <v>24</v>
      </c>
      <c r="D111" s="10">
        <v>2016</v>
      </c>
      <c r="E111" s="10" t="s">
        <v>491</v>
      </c>
      <c r="F111" s="5">
        <f>F104</f>
        <v>107</v>
      </c>
      <c r="G111" s="10">
        <f t="shared" ref="G111:I111" si="127">G104</f>
        <v>347</v>
      </c>
      <c r="H111" s="10">
        <f t="shared" si="127"/>
        <v>315</v>
      </c>
      <c r="I111" s="10">
        <f t="shared" si="127"/>
        <v>47</v>
      </c>
      <c r="J111" s="9">
        <f>K111+L111+M111+N111</f>
        <v>118.66100974814037</v>
      </c>
      <c r="K111" s="9">
        <f>K104*(C4/C9)*(D9/D4)*(1000/950)</f>
        <v>70.772981500071708</v>
      </c>
      <c r="L111" s="9">
        <f>L104*(C4/C9)*(D9/D4)*(1000/890)</f>
        <v>25.181397912010535</v>
      </c>
      <c r="M111" s="9">
        <f>M104*(C4/C9)*(D9/D4)</f>
        <v>0</v>
      </c>
      <c r="N111" s="9">
        <f>N104*(C4/C9)*(1000/1260)</f>
        <v>22.706630336058129</v>
      </c>
      <c r="O111" s="9">
        <f t="shared" ref="O111:AC111" si="128">O104</f>
        <v>47</v>
      </c>
      <c r="P111" s="9">
        <f>P104*(C4/C9)</f>
        <v>1.3623978201634879</v>
      </c>
      <c r="Q111" s="9">
        <f>Q104*(C9/C4)</f>
        <v>0.73399999999999999</v>
      </c>
      <c r="R111" s="9">
        <f>R104*(C4/C9)</f>
        <v>29.972752043596735</v>
      </c>
      <c r="S111" s="9">
        <f>S104*(C9/C4)</f>
        <v>55.05</v>
      </c>
      <c r="T111" s="7">
        <f>J111/H111</f>
        <v>0.3767016182480647</v>
      </c>
      <c r="U111" s="7">
        <f t="shared" ref="U111:U114" si="129">(J111+R111+Z111)/(H111+R111+Z111+AB111)</f>
        <v>0.42998726215749383</v>
      </c>
      <c r="V111" s="7">
        <f>X111/H111</f>
        <v>0.67289618624865166</v>
      </c>
      <c r="W111" s="8">
        <f>U111+V111</f>
        <v>1.1028834484061454</v>
      </c>
      <c r="X111" s="9">
        <f>K111+2*L111+3*M111+4*N111</f>
        <v>211.96229866832527</v>
      </c>
      <c r="Y111" s="10">
        <f t="shared" si="128"/>
        <v>11</v>
      </c>
      <c r="Z111" s="10">
        <f t="shared" si="128"/>
        <v>4</v>
      </c>
      <c r="AA111" s="10">
        <f t="shared" si="128"/>
        <v>0</v>
      </c>
      <c r="AB111" s="10">
        <f t="shared" si="128"/>
        <v>6</v>
      </c>
      <c r="AC111" s="10">
        <f t="shared" si="128"/>
        <v>0</v>
      </c>
      <c r="AD111" s="7">
        <f>(((R111-AC111)*0.72)+(Z111*$J$5)+($K$5*K111)+($L$5*L111)+($M$5*M111)+($N$5*N111))/(H111+R111-AC111+AB111+Z111)</f>
        <v>0.46944217258348586</v>
      </c>
      <c r="AE111" s="11">
        <f>(AD111-$G$5)/$H$5*G111</f>
        <v>33.985810288486419</v>
      </c>
      <c r="AF111" s="11">
        <f>AE111+AG111+AI111</f>
        <v>27.758760037201423</v>
      </c>
      <c r="AG111" s="11">
        <f>AH111*(G111/667)</f>
        <v>-6.5029985007496256</v>
      </c>
      <c r="AH111" s="10">
        <v>-12.5</v>
      </c>
      <c r="AI111" s="3">
        <f>(P111*$O$5)+(Q111*$P$5)/(K111+R111+Z111-AC111)</f>
        <v>0.27594824946463004</v>
      </c>
      <c r="AJ111" s="3">
        <f>G111/(VLOOKUP(D111,$F$3:$AD$5,25,0))</f>
        <v>19.828571428571429</v>
      </c>
      <c r="AK111" s="3">
        <f>AF111+20*(G111/600)</f>
        <v>39.325426703868089</v>
      </c>
      <c r="AL111" s="3">
        <f>(VLOOKUP(D111,$F$3:$AD$5,24,0))</f>
        <v>11.42</v>
      </c>
      <c r="AM111" s="3">
        <f t="shared" ref="AM111:AM113" si="130">AK111/AL111</f>
        <v>3.4435575047169955</v>
      </c>
      <c r="AN111" s="10"/>
    </row>
    <row r="112" spans="1:40" x14ac:dyDescent="0.3">
      <c r="A112" s="10" t="s">
        <v>523</v>
      </c>
      <c r="B112" s="10" t="s">
        <v>495</v>
      </c>
      <c r="C112" s="10">
        <v>24</v>
      </c>
      <c r="D112" s="10">
        <v>2016</v>
      </c>
      <c r="E112" s="10" t="s">
        <v>491</v>
      </c>
      <c r="F112" s="10">
        <f t="shared" ref="F112:I112" si="131">F105</f>
        <v>27</v>
      </c>
      <c r="G112" s="10">
        <f t="shared" si="131"/>
        <v>100</v>
      </c>
      <c r="H112" s="10">
        <f t="shared" si="131"/>
        <v>95</v>
      </c>
      <c r="I112" s="10">
        <f t="shared" si="131"/>
        <v>11</v>
      </c>
      <c r="J112" s="9">
        <f t="shared" ref="J112:J115" si="132">K112+L112+M112+N112</f>
        <v>37.94423052607781</v>
      </c>
      <c r="K112" s="9">
        <f>K105*(C6/C9)*(D9/D6)*(1000/1020)</f>
        <v>22.885126307149072</v>
      </c>
      <c r="L112" s="9">
        <f>L105*(C6/C9)*(D9/D6)*(1000/1020)</f>
        <v>8.0097942075021749</v>
      </c>
      <c r="M112" s="9">
        <f>M105*(C6/C9)*(D9/D6)</f>
        <v>0</v>
      </c>
      <c r="N112" s="9">
        <f>N105*(C6/C9)*(1000/930)</f>
        <v>7.049310011426563</v>
      </c>
      <c r="O112" s="9">
        <f t="shared" ref="O112:P112" si="133">O105</f>
        <v>17</v>
      </c>
      <c r="P112" s="9">
        <f t="shared" si="133"/>
        <v>0</v>
      </c>
      <c r="Q112" s="9">
        <f>Q105*(C9/C6)</f>
        <v>0.91521197007481292</v>
      </c>
      <c r="R112" s="9">
        <f>R105*(C6/C9)</f>
        <v>4.3705722070844688</v>
      </c>
      <c r="S112" s="9">
        <f>S105*(C9/C6)</f>
        <v>10.982543640897756</v>
      </c>
      <c r="T112" s="7">
        <f t="shared" ref="T112:T115" si="134">J112/H112</f>
        <v>0.3994129529060822</v>
      </c>
      <c r="U112" s="7">
        <f t="shared" si="129"/>
        <v>0.42158574772153756</v>
      </c>
      <c r="V112" s="7">
        <f t="shared" ref="V112:V115" si="135">X112/H112</f>
        <v>0.70633636597747018</v>
      </c>
      <c r="W112" s="8">
        <f t="shared" ref="W112:W115" si="136">U112+V112</f>
        <v>1.1279221136990079</v>
      </c>
      <c r="X112" s="9">
        <f t="shared" ref="X112:X115" si="137">K112+2*L112+3*M112+4*N112</f>
        <v>67.101954767859667</v>
      </c>
      <c r="Y112" s="10">
        <f t="shared" ref="Y112:AC112" si="138">Y105</f>
        <v>5</v>
      </c>
      <c r="Z112" s="10">
        <f t="shared" si="138"/>
        <v>0</v>
      </c>
      <c r="AA112" s="10">
        <f t="shared" si="138"/>
        <v>0</v>
      </c>
      <c r="AB112" s="10">
        <f t="shared" si="138"/>
        <v>1</v>
      </c>
      <c r="AC112" s="10">
        <f t="shared" si="138"/>
        <v>0</v>
      </c>
      <c r="AD112" s="7">
        <f>(((R112-AC112)*0.72)+(Z112*$J$5)+($K$5*K112)+($L$5*L112)+($M$5*M112)+($N$5*N112))/(H112+R112-AC112+AB112+Z112)</f>
        <v>0.48148006520457398</v>
      </c>
      <c r="AE112" s="11">
        <f>(AD112-$G$5)/$H$5*G112</f>
        <v>10.891528277536372</v>
      </c>
      <c r="AF112" s="11">
        <f t="shared" ref="AF112:AF115" si="139">AE112+AG112+AI112</f>
        <v>9.0340867845241988</v>
      </c>
      <c r="AG112" s="11">
        <f t="shared" ref="AG112:AG115" si="140">AH112*(G112/667)</f>
        <v>-1.8740629685157422</v>
      </c>
      <c r="AH112" s="10">
        <v>-12.5</v>
      </c>
      <c r="AI112" s="3">
        <f>(P112*$O$5)+(Q112*$P$5)/(K112+R112+Z112-AC112)</f>
        <v>1.662147550357038E-2</v>
      </c>
      <c r="AJ112" s="3">
        <f>G112/(VLOOKUP(D112,$F$3:$AD$5,25,0))</f>
        <v>5.7142857142857144</v>
      </c>
      <c r="AK112" s="3">
        <f>AF112+20*(G112/600)</f>
        <v>12.367420117857531</v>
      </c>
      <c r="AL112" s="3">
        <f t="shared" ref="AL112:AL115" si="141">(VLOOKUP(D112,$F$3:$AD$5,24,0))</f>
        <v>11.42</v>
      </c>
      <c r="AM112" s="3">
        <f t="shared" si="130"/>
        <v>1.0829614814236017</v>
      </c>
      <c r="AN112" s="10"/>
    </row>
    <row r="113" spans="1:39" x14ac:dyDescent="0.3">
      <c r="A113" s="10" t="s">
        <v>523</v>
      </c>
      <c r="B113" s="10" t="s">
        <v>495</v>
      </c>
      <c r="C113" s="10">
        <v>25</v>
      </c>
      <c r="D113" s="10">
        <v>2017</v>
      </c>
      <c r="E113" s="10" t="s">
        <v>491</v>
      </c>
      <c r="F113" s="10">
        <f t="shared" ref="F113:I113" si="142">F106</f>
        <v>142</v>
      </c>
      <c r="G113" s="10">
        <f t="shared" si="142"/>
        <v>533</v>
      </c>
      <c r="H113" s="10">
        <f t="shared" si="142"/>
        <v>495</v>
      </c>
      <c r="I113" s="10">
        <f t="shared" si="142"/>
        <v>51</v>
      </c>
      <c r="J113" s="9">
        <f t="shared" si="132"/>
        <v>169.57428039067113</v>
      </c>
      <c r="K113" s="9">
        <f>K106*(C4/C9)*(D9/D4)*(1000/1010)</f>
        <v>102.07192381363478</v>
      </c>
      <c r="L113" s="9">
        <f>L106*(C4/C9)*(D9/D4)*(1000/930)</f>
        <v>43.376988661334273</v>
      </c>
      <c r="M113" s="9">
        <f>M106*(C4/C9)*(D9/D4)*(1000/940)</f>
        <v>1.5894641235240692</v>
      </c>
      <c r="N113" s="9">
        <f>N106*(C4/C9)*(1000/1330)</f>
        <v>22.535903792177994</v>
      </c>
      <c r="O113" s="9">
        <f t="shared" ref="O113" si="143">O106</f>
        <v>69</v>
      </c>
      <c r="P113" s="9">
        <f>P106*(C4/C9)</f>
        <v>1.3623978201634879</v>
      </c>
      <c r="Q113" s="9">
        <f>Q106*(C9/C4)</f>
        <v>0</v>
      </c>
      <c r="R113" s="9">
        <f>R106*(C4/C9)</f>
        <v>44.959128065395099</v>
      </c>
      <c r="S113" s="9">
        <f>S106*(C9/C4)</f>
        <v>94.685999999999993</v>
      </c>
      <c r="T113" s="7">
        <f t="shared" si="134"/>
        <v>0.34257430381953763</v>
      </c>
      <c r="U113" s="7">
        <f t="shared" si="129"/>
        <v>0.39733880451688153</v>
      </c>
      <c r="V113" s="7">
        <f t="shared" si="135"/>
        <v>0.57320789631431823</v>
      </c>
      <c r="W113" s="8">
        <f t="shared" si="136"/>
        <v>0.97054670083119976</v>
      </c>
      <c r="X113" s="9">
        <f t="shared" si="137"/>
        <v>283.73790867558751</v>
      </c>
      <c r="Y113" s="10">
        <f t="shared" ref="Y113:AC113" si="144">Y106</f>
        <v>21</v>
      </c>
      <c r="Z113" s="10">
        <f t="shared" si="144"/>
        <v>2</v>
      </c>
      <c r="AA113" s="10">
        <f t="shared" si="144"/>
        <v>0</v>
      </c>
      <c r="AB113" s="10">
        <f t="shared" si="144"/>
        <v>3</v>
      </c>
      <c r="AC113" s="10">
        <f t="shared" si="144"/>
        <v>1</v>
      </c>
      <c r="AD113" s="7">
        <f>(((R113-AC113)*0.72)+(Z113*$J$4)+($K$4*K113)+($L$4*L113)+($M$4*M113)+($N$4*N113))/(H113+R113-AC113+AB113+Z113)</f>
        <v>0.41861971014290789</v>
      </c>
      <c r="AE113" s="11">
        <f t="shared" ref="AE113:AE115" si="145">(AD113-$G$5)/$H$5*G113</f>
        <v>27.509850051203202</v>
      </c>
      <c r="AF113" s="11">
        <f t="shared" si="139"/>
        <v>17.793573993046994</v>
      </c>
      <c r="AG113" s="11">
        <f t="shared" si="140"/>
        <v>-9.9887556221889042</v>
      </c>
      <c r="AH113" s="10">
        <v>-12.5</v>
      </c>
      <c r="AI113" s="3">
        <f>(P113*$O$3)+(Q113*$P$3)/(K113+R113+Z113-AC113)</f>
        <v>0.27247956403269757</v>
      </c>
      <c r="AJ113" s="3">
        <f t="shared" ref="AJ113:AJ115" si="146">G113/(VLOOKUP(D113,$F$3:$AD$5,25,0))</f>
        <v>29.285714285714288</v>
      </c>
      <c r="AK113" s="3">
        <f>AF113+20*(G113/600)</f>
        <v>35.560240659713656</v>
      </c>
      <c r="AL113" s="3">
        <f t="shared" si="141"/>
        <v>10.77</v>
      </c>
      <c r="AM113" s="3">
        <f t="shared" si="130"/>
        <v>3.3017865050801909</v>
      </c>
    </row>
    <row r="114" spans="1:39" x14ac:dyDescent="0.3">
      <c r="A114" s="10" t="s">
        <v>523</v>
      </c>
      <c r="B114" s="10" t="s">
        <v>495</v>
      </c>
      <c r="C114" s="10">
        <v>26</v>
      </c>
      <c r="D114" s="10">
        <v>2018</v>
      </c>
      <c r="E114" s="10" t="s">
        <v>491</v>
      </c>
      <c r="F114" s="10">
        <f t="shared" ref="F114:I114" si="147">F107</f>
        <v>84</v>
      </c>
      <c r="G114" s="10">
        <f t="shared" si="147"/>
        <v>357</v>
      </c>
      <c r="H114" s="10">
        <f t="shared" si="147"/>
        <v>317</v>
      </c>
      <c r="I114" s="10">
        <f t="shared" si="147"/>
        <v>47</v>
      </c>
      <c r="J114" s="9">
        <f t="shared" si="132"/>
        <v>112.24777123206815</v>
      </c>
      <c r="K114" s="9">
        <f>K107*(C5/C9)/(D9/D5)*(1000/970)</f>
        <v>50.236785620578971</v>
      </c>
      <c r="L114" s="9">
        <f>L107*(C5/C9)/(D9/D5)*(1000/790)</f>
        <v>26.986374554092667</v>
      </c>
      <c r="M114" s="9">
        <f>M107*(C5/C9)/(D9/D5)</f>
        <v>0</v>
      </c>
      <c r="N114" s="9">
        <f>N107*(C5/C9)*(1000/620)</f>
        <v>35.024611057396505</v>
      </c>
      <c r="O114" s="10">
        <f t="shared" ref="O114:Q114" si="148">O107</f>
        <v>67</v>
      </c>
      <c r="P114" s="10">
        <f t="shared" si="148"/>
        <v>0</v>
      </c>
      <c r="Q114" s="10">
        <f t="shared" si="148"/>
        <v>0</v>
      </c>
      <c r="R114" s="9">
        <f>R107*(C5/C9)</f>
        <v>28.953678474114444</v>
      </c>
      <c r="S114" s="9">
        <f>S107*(C9/C5)</f>
        <v>74.463768115942031</v>
      </c>
      <c r="T114" s="7">
        <f t="shared" si="134"/>
        <v>0.35409391555857461</v>
      </c>
      <c r="U114" s="7">
        <f t="shared" si="129"/>
        <v>0.41681775793504561</v>
      </c>
      <c r="V114" s="7">
        <f t="shared" si="135"/>
        <v>0.77068763078343949</v>
      </c>
      <c r="W114" s="8">
        <f t="shared" si="136"/>
        <v>1.1875053887184852</v>
      </c>
      <c r="X114" s="9">
        <f t="shared" si="137"/>
        <v>244.30797895835033</v>
      </c>
      <c r="Y114" s="10">
        <f t="shared" ref="Y114:AC114" si="149">Y107</f>
        <v>5</v>
      </c>
      <c r="Z114" s="10">
        <f t="shared" si="149"/>
        <v>8</v>
      </c>
      <c r="AA114" s="10">
        <f t="shared" si="149"/>
        <v>0</v>
      </c>
      <c r="AB114" s="10">
        <f t="shared" si="149"/>
        <v>4</v>
      </c>
      <c r="AC114" s="10">
        <f t="shared" si="149"/>
        <v>1</v>
      </c>
      <c r="AD114" s="7">
        <f>(((R114-AC114)*0.72)+(Z114*$J$3)+($K$3*K114)+($L$3*L114)+($M$3*M114)+($N$3*N114))/(H114+R114-AC114+AB114+Z114)</f>
        <v>0.47884720486066845</v>
      </c>
      <c r="AE114" s="11">
        <f t="shared" si="145"/>
        <v>38.025936312906694</v>
      </c>
      <c r="AF114" s="11">
        <f t="shared" si="139"/>
        <v>31.335531515305497</v>
      </c>
      <c r="AG114" s="11">
        <f t="shared" si="140"/>
        <v>-6.6904047976011984</v>
      </c>
      <c r="AH114" s="10">
        <v>-12.5</v>
      </c>
      <c r="AI114" s="3">
        <f>(P114*$O$3)+(Q114*$P$3)/(K114+R114+Z114-AC114)</f>
        <v>0</v>
      </c>
      <c r="AJ114" s="3">
        <f t="shared" si="146"/>
        <v>20.16949152542373</v>
      </c>
      <c r="AK114" s="3">
        <f>AF114+20*(G114/600)</f>
        <v>43.235531515305496</v>
      </c>
      <c r="AL114" s="3">
        <f t="shared" si="141"/>
        <v>11.18</v>
      </c>
      <c r="AM114" s="3">
        <f>AK114/AL114</f>
        <v>3.8672210657697224</v>
      </c>
    </row>
    <row r="115" spans="1:39" x14ac:dyDescent="0.3">
      <c r="A115" s="10" t="s">
        <v>523</v>
      </c>
      <c r="B115" s="10" t="s">
        <v>495</v>
      </c>
      <c r="C115" s="10">
        <v>26</v>
      </c>
      <c r="D115" s="10">
        <v>2018</v>
      </c>
      <c r="E115" s="10" t="s">
        <v>491</v>
      </c>
      <c r="F115" s="10">
        <f t="shared" ref="F115:I115" si="150">F108</f>
        <v>7</v>
      </c>
      <c r="G115" s="10">
        <f t="shared" si="150"/>
        <v>31</v>
      </c>
      <c r="H115" s="10">
        <f t="shared" si="150"/>
        <v>28</v>
      </c>
      <c r="I115" s="10">
        <f t="shared" si="150"/>
        <v>2</v>
      </c>
      <c r="J115" s="9">
        <f t="shared" si="132"/>
        <v>9.4762067985619023</v>
      </c>
      <c r="K115" s="9">
        <f>K108*(C6/C9)*(D9/D6)*(1000/960)</f>
        <v>7.294634010403767</v>
      </c>
      <c r="L115" s="9">
        <f>L108*(C6/C9)*(D9/D6)*(1000/1070)</f>
        <v>2.1815727881581357</v>
      </c>
      <c r="M115" s="9">
        <f>M108*(C6/C9)*(D9/D6)*(1000/1220)</f>
        <v>0</v>
      </c>
      <c r="N115" s="9">
        <f>N108*(C6/C9)*(1000/1130)</f>
        <v>0</v>
      </c>
      <c r="O115" s="10">
        <f t="shared" ref="O115:Q115" si="151">O108</f>
        <v>3</v>
      </c>
      <c r="P115" s="10">
        <f t="shared" si="151"/>
        <v>0</v>
      </c>
      <c r="Q115" s="10">
        <f t="shared" si="151"/>
        <v>0</v>
      </c>
      <c r="R115" s="9">
        <f>R108*(C6/C9)</f>
        <v>2.1852861035422344</v>
      </c>
      <c r="S115" s="9">
        <f>S108*(C9/C6)</f>
        <v>4.5760598503740644</v>
      </c>
      <c r="T115" s="7">
        <f t="shared" si="134"/>
        <v>0.33843595709149649</v>
      </c>
      <c r="U115" s="7">
        <f t="shared" ref="U115" si="152">(J115+R115+Z115)/(H115+R115+Z115+AB115)</f>
        <v>0.37394214897966077</v>
      </c>
      <c r="V115" s="7">
        <f t="shared" si="135"/>
        <v>0.41634927095428714</v>
      </c>
      <c r="W115" s="8">
        <f t="shared" si="136"/>
        <v>0.79029141993394791</v>
      </c>
      <c r="X115" s="9">
        <f t="shared" si="137"/>
        <v>11.657779586720039</v>
      </c>
      <c r="Y115" s="10">
        <f t="shared" ref="Y115:AC115" si="153">Y108</f>
        <v>0</v>
      </c>
      <c r="Z115" s="10">
        <f t="shared" si="153"/>
        <v>0</v>
      </c>
      <c r="AA115" s="10">
        <f t="shared" si="153"/>
        <v>0</v>
      </c>
      <c r="AB115" s="10">
        <f t="shared" si="153"/>
        <v>1</v>
      </c>
      <c r="AC115" s="10">
        <f t="shared" si="153"/>
        <v>0</v>
      </c>
      <c r="AD115" s="7">
        <f>(((R115-AC115)*0.72)+(Z115*$J$3)+($K$3*K115)+($L$3*L115)+($M$3*M115)+($N$3*N115))/(H115+R115-AC115+AB115+Z115)</f>
        <v>0.3525374963856916</v>
      </c>
      <c r="AE115" s="11">
        <f t="shared" si="145"/>
        <v>-0.26739982866322715</v>
      </c>
      <c r="AF115" s="11">
        <f t="shared" si="139"/>
        <v>-0.84835934890310716</v>
      </c>
      <c r="AG115" s="11">
        <f t="shared" si="140"/>
        <v>-0.58095952023988007</v>
      </c>
      <c r="AH115" s="10">
        <v>-12.5</v>
      </c>
      <c r="AI115" s="3">
        <f>(P115*$O$3)+(Q115*$P$3)/(K115+R115+Z115-AC115)</f>
        <v>0</v>
      </c>
      <c r="AJ115" s="3">
        <f t="shared" si="146"/>
        <v>1.7514124293785311</v>
      </c>
      <c r="AK115" s="3">
        <f>AF115+20*(G115/600)</f>
        <v>0.18497398443022606</v>
      </c>
      <c r="AL115" s="3">
        <f t="shared" si="141"/>
        <v>11.18</v>
      </c>
      <c r="AM115" s="3">
        <f>AK115/AL115</f>
        <v>1.6545079108249202E-2</v>
      </c>
    </row>
    <row r="116" spans="1:39" x14ac:dyDescent="0.3">
      <c r="A116" s="10"/>
      <c r="F116" s="10"/>
      <c r="G116" s="10"/>
      <c r="H116" s="10"/>
      <c r="I116" s="10"/>
      <c r="J116" s="9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AE116" s="11"/>
      <c r="AG116" s="11"/>
      <c r="AJ116" s="3"/>
    </row>
    <row r="117" spans="1:39" x14ac:dyDescent="0.3">
      <c r="B117" s="10" t="s">
        <v>146</v>
      </c>
      <c r="C117" s="10" t="s">
        <v>176</v>
      </c>
      <c r="D117" s="10" t="s">
        <v>173</v>
      </c>
      <c r="E117" s="10" t="s">
        <v>171</v>
      </c>
      <c r="F117" s="10" t="s">
        <v>148</v>
      </c>
      <c r="G117" s="10" t="s">
        <v>149</v>
      </c>
      <c r="H117" s="10" t="s">
        <v>150</v>
      </c>
      <c r="I117" s="10" t="s">
        <v>151</v>
      </c>
      <c r="J117" s="10" t="s">
        <v>152</v>
      </c>
      <c r="K117" s="10" t="s">
        <v>184</v>
      </c>
      <c r="L117" s="10" t="s">
        <v>153</v>
      </c>
      <c r="M117" s="10" t="s">
        <v>154</v>
      </c>
      <c r="N117" s="10" t="s">
        <v>155</v>
      </c>
      <c r="O117" s="10" t="s">
        <v>156</v>
      </c>
      <c r="P117" s="10" t="s">
        <v>157</v>
      </c>
      <c r="Q117" s="10" t="s">
        <v>158</v>
      </c>
      <c r="R117" s="10" t="s">
        <v>159</v>
      </c>
      <c r="S117" s="10" t="s">
        <v>160</v>
      </c>
      <c r="T117" s="10" t="s">
        <v>161</v>
      </c>
      <c r="U117" s="10" t="s">
        <v>162</v>
      </c>
      <c r="V117" s="10" t="s">
        <v>163</v>
      </c>
      <c r="W117" s="10" t="s">
        <v>164</v>
      </c>
      <c r="X117" s="10" t="s">
        <v>165</v>
      </c>
      <c r="Y117" s="10" t="s">
        <v>166</v>
      </c>
      <c r="Z117" s="10" t="s">
        <v>167</v>
      </c>
      <c r="AA117" s="10" t="s">
        <v>168</v>
      </c>
      <c r="AB117" s="10" t="s">
        <v>169</v>
      </c>
      <c r="AC117" s="10" t="s">
        <v>170</v>
      </c>
      <c r="AD117" s="10"/>
      <c r="AF117" s="10"/>
      <c r="AH117" s="10"/>
      <c r="AI117" s="10"/>
      <c r="AK117" s="10"/>
      <c r="AM117" s="10"/>
    </row>
    <row r="118" spans="1:39" x14ac:dyDescent="0.3">
      <c r="B118" s="5" t="s">
        <v>508</v>
      </c>
      <c r="C118" s="5">
        <v>26</v>
      </c>
      <c r="D118" s="5">
        <v>2016</v>
      </c>
      <c r="E118" s="5" t="s">
        <v>509</v>
      </c>
      <c r="F118" s="5">
        <v>12</v>
      </c>
      <c r="G118" s="5">
        <v>28</v>
      </c>
      <c r="H118" s="5">
        <v>26</v>
      </c>
      <c r="I118" s="5">
        <v>1</v>
      </c>
      <c r="J118" s="5">
        <v>4</v>
      </c>
      <c r="K118" s="5">
        <f>J118-L118-M118-N118</f>
        <v>2</v>
      </c>
      <c r="L118" s="5">
        <v>1</v>
      </c>
      <c r="M118" s="5">
        <v>1</v>
      </c>
      <c r="N118" s="5">
        <v>0</v>
      </c>
      <c r="O118" s="5">
        <v>3</v>
      </c>
      <c r="P118" s="5">
        <v>0</v>
      </c>
      <c r="Q118" s="5">
        <v>1</v>
      </c>
      <c r="R118" s="5">
        <v>2</v>
      </c>
      <c r="S118" s="5">
        <v>7</v>
      </c>
      <c r="T118" s="5">
        <v>0.154</v>
      </c>
      <c r="U118" s="7">
        <f t="shared" ref="U118:U120" si="154">(J118+R118+Z118)/(H118+R118+Z118+AB118)</f>
        <v>0.21428571428571427</v>
      </c>
      <c r="V118" s="5">
        <v>0.26900000000000002</v>
      </c>
      <c r="W118" s="5">
        <v>0.48399999999999999</v>
      </c>
      <c r="X118" s="5">
        <v>7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</row>
    <row r="119" spans="1:39" x14ac:dyDescent="0.3">
      <c r="B119" s="10" t="s">
        <v>508</v>
      </c>
      <c r="C119" s="5">
        <v>26</v>
      </c>
      <c r="D119" s="10">
        <v>2016</v>
      </c>
      <c r="E119" s="10" t="s">
        <v>509</v>
      </c>
      <c r="F119" s="5">
        <v>64</v>
      </c>
      <c r="G119" s="5">
        <v>261</v>
      </c>
      <c r="H119" s="5">
        <v>230</v>
      </c>
      <c r="I119" s="5">
        <v>27</v>
      </c>
      <c r="J119" s="5">
        <v>62</v>
      </c>
      <c r="K119" s="10">
        <f t="shared" ref="K119:K121" si="155">J119-L119-M119-N119</f>
        <v>36</v>
      </c>
      <c r="L119" s="5">
        <v>11</v>
      </c>
      <c r="M119" s="5">
        <v>5</v>
      </c>
      <c r="N119" s="5">
        <v>10</v>
      </c>
      <c r="O119" s="5">
        <v>34</v>
      </c>
      <c r="P119" s="5">
        <v>9</v>
      </c>
      <c r="Q119" s="5">
        <v>2</v>
      </c>
      <c r="R119" s="5">
        <v>29</v>
      </c>
      <c r="S119" s="5">
        <v>49</v>
      </c>
      <c r="T119" s="5">
        <v>0.27</v>
      </c>
      <c r="U119" s="7">
        <f t="shared" si="154"/>
        <v>0.34865900383141762</v>
      </c>
      <c r="V119" s="5">
        <v>0.49099999999999999</v>
      </c>
      <c r="W119" s="5">
        <v>0.84</v>
      </c>
      <c r="X119" s="5">
        <v>113</v>
      </c>
      <c r="Y119" s="5">
        <v>5</v>
      </c>
      <c r="Z119" s="5">
        <v>0</v>
      </c>
      <c r="AA119" s="5">
        <v>0</v>
      </c>
      <c r="AB119" s="5">
        <v>2</v>
      </c>
      <c r="AC119" s="5">
        <v>2</v>
      </c>
    </row>
    <row r="120" spans="1:39" x14ac:dyDescent="0.3">
      <c r="B120" s="10" t="s">
        <v>508</v>
      </c>
      <c r="C120" s="5">
        <v>26</v>
      </c>
      <c r="D120" s="10">
        <v>2016</v>
      </c>
      <c r="E120" s="5" t="s">
        <v>510</v>
      </c>
      <c r="F120" s="5">
        <v>35</v>
      </c>
      <c r="G120" s="5">
        <v>135</v>
      </c>
      <c r="H120" s="5">
        <v>123</v>
      </c>
      <c r="I120" s="5">
        <v>15</v>
      </c>
      <c r="J120" s="5">
        <v>30</v>
      </c>
      <c r="K120" s="10">
        <f t="shared" si="155"/>
        <v>20</v>
      </c>
      <c r="L120" s="5">
        <v>8</v>
      </c>
      <c r="M120" s="5">
        <v>0</v>
      </c>
      <c r="N120" s="5">
        <v>2</v>
      </c>
      <c r="O120" s="5">
        <v>9</v>
      </c>
      <c r="P120" s="5">
        <v>3</v>
      </c>
      <c r="Q120" s="5">
        <v>1</v>
      </c>
      <c r="R120" s="5">
        <v>9</v>
      </c>
      <c r="S120" s="5">
        <v>33</v>
      </c>
      <c r="T120" s="5">
        <v>0.24399999999999999</v>
      </c>
      <c r="U120" s="7">
        <f t="shared" si="154"/>
        <v>0.2932330827067669</v>
      </c>
      <c r="V120" s="5">
        <v>0.35799999999999998</v>
      </c>
      <c r="W120" s="5">
        <v>0.65100000000000002</v>
      </c>
      <c r="X120" s="5">
        <v>44</v>
      </c>
      <c r="Y120" s="5">
        <v>2</v>
      </c>
      <c r="Z120" s="5">
        <v>0</v>
      </c>
      <c r="AA120" s="5">
        <v>2</v>
      </c>
      <c r="AB120" s="5">
        <v>1</v>
      </c>
      <c r="AC120" s="5">
        <v>0</v>
      </c>
    </row>
    <row r="121" spans="1:39" x14ac:dyDescent="0.3">
      <c r="B121" s="10" t="s">
        <v>508</v>
      </c>
      <c r="C121" s="5">
        <v>27</v>
      </c>
      <c r="D121" s="5">
        <v>2017</v>
      </c>
      <c r="E121" s="5" t="s">
        <v>509</v>
      </c>
      <c r="F121" s="5">
        <v>54</v>
      </c>
      <c r="G121" s="5">
        <v>236</v>
      </c>
      <c r="H121" s="5">
        <v>212</v>
      </c>
      <c r="I121" s="5">
        <v>27</v>
      </c>
      <c r="J121" s="5">
        <v>55</v>
      </c>
      <c r="K121" s="10">
        <f t="shared" si="155"/>
        <v>36</v>
      </c>
      <c r="L121" s="5">
        <v>13</v>
      </c>
      <c r="M121" s="5">
        <v>0</v>
      </c>
      <c r="N121" s="5">
        <v>6</v>
      </c>
      <c r="O121" s="5">
        <v>31</v>
      </c>
      <c r="P121" s="5">
        <v>2</v>
      </c>
      <c r="Q121" s="5">
        <v>2</v>
      </c>
      <c r="R121" s="5">
        <v>18</v>
      </c>
      <c r="S121" s="5">
        <v>50</v>
      </c>
      <c r="T121" s="5">
        <v>0.25900000000000001</v>
      </c>
      <c r="U121" s="7">
        <f t="shared" ref="U121" si="156">(J121+R121+Z121)/(H121+R121+Z121+AB121)</f>
        <v>0.31779661016949151</v>
      </c>
      <c r="V121" s="5">
        <v>0.40600000000000003</v>
      </c>
      <c r="W121" s="5">
        <v>0.72299999999999998</v>
      </c>
      <c r="X121" s="5">
        <v>86</v>
      </c>
      <c r="Y121" s="5">
        <v>1</v>
      </c>
      <c r="Z121" s="5">
        <v>2</v>
      </c>
      <c r="AA121" s="5">
        <v>0</v>
      </c>
      <c r="AB121" s="5">
        <v>4</v>
      </c>
      <c r="AC121" s="5">
        <v>1</v>
      </c>
    </row>
    <row r="123" spans="1:39" x14ac:dyDescent="0.3">
      <c r="B123" s="10" t="s">
        <v>146</v>
      </c>
      <c r="C123" s="10" t="s">
        <v>176</v>
      </c>
      <c r="D123" s="10" t="s">
        <v>173</v>
      </c>
      <c r="E123" s="10" t="s">
        <v>171</v>
      </c>
      <c r="F123" s="10" t="s">
        <v>148</v>
      </c>
      <c r="G123" s="10" t="s">
        <v>149</v>
      </c>
      <c r="H123" s="10" t="s">
        <v>150</v>
      </c>
      <c r="I123" s="10" t="s">
        <v>151</v>
      </c>
      <c r="J123" s="10" t="s">
        <v>152</v>
      </c>
      <c r="K123" s="10" t="s">
        <v>184</v>
      </c>
      <c r="L123" s="10" t="s">
        <v>153</v>
      </c>
      <c r="M123" s="10" t="s">
        <v>154</v>
      </c>
      <c r="N123" s="10" t="s">
        <v>155</v>
      </c>
      <c r="O123" s="10" t="s">
        <v>156</v>
      </c>
      <c r="P123" s="10" t="s">
        <v>157</v>
      </c>
      <c r="Q123" s="10" t="s">
        <v>158</v>
      </c>
      <c r="R123" s="10" t="s">
        <v>159</v>
      </c>
      <c r="S123" s="10" t="s">
        <v>160</v>
      </c>
      <c r="T123" s="10" t="s">
        <v>161</v>
      </c>
      <c r="U123" s="10" t="s">
        <v>162</v>
      </c>
      <c r="V123" s="10" t="s">
        <v>163</v>
      </c>
      <c r="W123" s="10" t="s">
        <v>164</v>
      </c>
      <c r="X123" s="10" t="s">
        <v>165</v>
      </c>
      <c r="Y123" s="10" t="s">
        <v>166</v>
      </c>
      <c r="Z123" s="10" t="s">
        <v>167</v>
      </c>
      <c r="AA123" s="10" t="s">
        <v>168</v>
      </c>
      <c r="AB123" s="10" t="s">
        <v>169</v>
      </c>
      <c r="AC123" s="10" t="s">
        <v>170</v>
      </c>
      <c r="AD123" s="10" t="s">
        <v>185</v>
      </c>
      <c r="AE123" s="10" t="s">
        <v>504</v>
      </c>
      <c r="AF123" s="10" t="s">
        <v>496</v>
      </c>
      <c r="AG123" s="10" t="s">
        <v>502</v>
      </c>
      <c r="AH123" s="10" t="s">
        <v>461</v>
      </c>
      <c r="AI123" s="10" t="s">
        <v>431</v>
      </c>
      <c r="AJ123" s="10" t="s">
        <v>501</v>
      </c>
      <c r="AK123" s="10" t="s">
        <v>432</v>
      </c>
      <c r="AL123" s="10" t="s">
        <v>499</v>
      </c>
      <c r="AM123" s="10" t="s">
        <v>433</v>
      </c>
    </row>
    <row r="124" spans="1:39" x14ac:dyDescent="0.3">
      <c r="B124" s="10" t="s">
        <v>508</v>
      </c>
      <c r="C124" s="10">
        <v>26</v>
      </c>
      <c r="D124" s="10">
        <v>2016</v>
      </c>
      <c r="E124" s="10" t="s">
        <v>511</v>
      </c>
      <c r="F124" s="5">
        <f>F118</f>
        <v>12</v>
      </c>
      <c r="G124" s="10">
        <f t="shared" ref="G124:P124" si="157">G118</f>
        <v>28</v>
      </c>
      <c r="H124" s="10">
        <f t="shared" si="157"/>
        <v>26</v>
      </c>
      <c r="I124" s="10">
        <f t="shared" si="157"/>
        <v>1</v>
      </c>
      <c r="J124" s="9">
        <f>K124+L124+M124+N124</f>
        <v>4.6685657666584106</v>
      </c>
      <c r="K124" s="9">
        <f>K118*(C6/C9)*(D9/D6)</f>
        <v>2.3342828833292053</v>
      </c>
      <c r="L124" s="9">
        <f>L118*(C6/C9)*(D9/D6)</f>
        <v>1.1671414416646027</v>
      </c>
      <c r="M124" s="9">
        <f>M118*(C6/C9)*(D9/D6)</f>
        <v>1.1671414416646027</v>
      </c>
      <c r="N124" s="9">
        <f>N118*(C6/C9)*(C6/C9)</f>
        <v>0</v>
      </c>
      <c r="O124" s="9">
        <f t="shared" si="157"/>
        <v>3</v>
      </c>
      <c r="P124" s="9">
        <f t="shared" si="157"/>
        <v>0</v>
      </c>
      <c r="Q124" s="9">
        <f>Q118*(C9/C6)</f>
        <v>0.91521197007481292</v>
      </c>
      <c r="R124" s="9">
        <f>R118*(C6/C9)</f>
        <v>2.1852861035422344</v>
      </c>
      <c r="S124" s="9">
        <f>S118*(C9/C6)</f>
        <v>6.4064837905236907</v>
      </c>
      <c r="T124" s="7">
        <f>J124/H124</f>
        <v>0.17956022179455425</v>
      </c>
      <c r="U124" s="7">
        <f t="shared" ref="U124:U126" si="158">(J124+R124+Z124)/(H124+R124+Z124+AB124)</f>
        <v>0.24317127188356888</v>
      </c>
      <c r="V124" s="7">
        <f>X124/H124</f>
        <v>0.31423038814046994</v>
      </c>
      <c r="W124" s="8">
        <f>U124+V124</f>
        <v>0.55740166002403879</v>
      </c>
      <c r="X124" s="9">
        <f>K124+2*L124+3*M124+4*N124</f>
        <v>8.1699900916522186</v>
      </c>
      <c r="Y124" s="10">
        <f t="shared" ref="Y124:AC124" si="159">Y118</f>
        <v>0</v>
      </c>
      <c r="Z124" s="10">
        <f t="shared" si="159"/>
        <v>0</v>
      </c>
      <c r="AA124" s="10">
        <f t="shared" si="159"/>
        <v>0</v>
      </c>
      <c r="AB124" s="10">
        <f t="shared" si="159"/>
        <v>0</v>
      </c>
      <c r="AC124" s="10">
        <f t="shared" si="159"/>
        <v>0</v>
      </c>
      <c r="AD124" s="7">
        <f>(((R124-AC124)*0.72)+(Z124*$J$5)+($K$5*K124)+($L$5*L124)+($M$5*M124)+($N$5*N124))/(H124+R124-AC124+AB124+Z124)</f>
        <v>0.25169107695282289</v>
      </c>
      <c r="AE124" s="11">
        <f>(AD124-$G$5)/$H$5*G124</f>
        <v>-2.8155422473299532</v>
      </c>
      <c r="AF124" s="11">
        <f>AE124+AG124+AI124</f>
        <v>-2.6103573032103031</v>
      </c>
      <c r="AG124" s="11">
        <f>AH124*(G124/667)</f>
        <v>0.10494752623688156</v>
      </c>
      <c r="AH124" s="10">
        <v>2.5</v>
      </c>
      <c r="AI124" s="3">
        <f>(P124*$O$5)+(Q124*$P$5)/(K124+R124+Z124-AC124)</f>
        <v>0.10023741788276834</v>
      </c>
      <c r="AJ124" s="3">
        <f>G124/(VLOOKUP(D124,$F$3:$AD$5,25,0))</f>
        <v>1.6</v>
      </c>
      <c r="AK124" s="3">
        <f>AF124+20*(G124/600)</f>
        <v>-1.6770239698769698</v>
      </c>
      <c r="AL124" s="3">
        <f>(VLOOKUP(D124,$F$3:$AD$5,24,0))</f>
        <v>11.42</v>
      </c>
      <c r="AM124" s="3">
        <f t="shared" ref="AM124" si="160">AK124/AL124</f>
        <v>-0.14684973466523379</v>
      </c>
    </row>
    <row r="125" spans="1:39" x14ac:dyDescent="0.3">
      <c r="B125" s="10" t="s">
        <v>508</v>
      </c>
      <c r="C125" s="10">
        <v>26</v>
      </c>
      <c r="D125" s="10">
        <v>2016</v>
      </c>
      <c r="E125" s="10" t="s">
        <v>511</v>
      </c>
      <c r="F125" s="10">
        <f t="shared" ref="F125:O125" si="161">F119</f>
        <v>64</v>
      </c>
      <c r="G125" s="10">
        <f t="shared" si="161"/>
        <v>261</v>
      </c>
      <c r="H125" s="10">
        <f t="shared" si="161"/>
        <v>230</v>
      </c>
      <c r="I125" s="10">
        <f t="shared" si="161"/>
        <v>27</v>
      </c>
      <c r="J125" s="9">
        <f t="shared" ref="J125:J127" si="162">K125+L125+M125+N125</f>
        <v>71.617785484270513</v>
      </c>
      <c r="K125" s="9">
        <f>K119*(C6/C9)*(D9/D6)</f>
        <v>42.017091899925695</v>
      </c>
      <c r="L125" s="9">
        <f>L119*(C6/C9)*(D9/D6)</f>
        <v>12.838555858310629</v>
      </c>
      <c r="M125" s="9">
        <f>M119*(C6/C9)*(D9/D6)</f>
        <v>5.8357072083230133</v>
      </c>
      <c r="N125" s="9">
        <f>N119*(C6/C9)</f>
        <v>10.926430517711172</v>
      </c>
      <c r="O125" s="9">
        <f t="shared" si="161"/>
        <v>34</v>
      </c>
      <c r="P125" s="9">
        <f>P119*(C6/C9)</f>
        <v>9.8337874659400555</v>
      </c>
      <c r="Q125" s="9">
        <f>Q119*(C9/C6)</f>
        <v>1.8304239401496258</v>
      </c>
      <c r="R125" s="9">
        <f>R119*(C6/C9)</f>
        <v>31.686648501362399</v>
      </c>
      <c r="S125" s="9">
        <f>S119*(C9/C6)</f>
        <v>44.845386533665831</v>
      </c>
      <c r="T125" s="7">
        <f t="shared" ref="T125:T127" si="163">J125/H125</f>
        <v>0.31138167601856742</v>
      </c>
      <c r="U125" s="7">
        <f t="shared" si="158"/>
        <v>0.3917696803109057</v>
      </c>
      <c r="V125" s="7">
        <f t="shared" ref="V125:V127" si="164">X125/H125</f>
        <v>0.56046542309722047</v>
      </c>
      <c r="W125" s="8">
        <f t="shared" ref="W125:W127" si="165">U125+V125</f>
        <v>0.95223510340812623</v>
      </c>
      <c r="X125" s="9">
        <f t="shared" ref="X125:X127" si="166">K125+2*L125+3*M125+4*N125</f>
        <v>128.9070473123607</v>
      </c>
      <c r="Y125" s="10">
        <f t="shared" ref="Y125:AC125" si="167">Y119</f>
        <v>5</v>
      </c>
      <c r="Z125" s="10">
        <f t="shared" si="167"/>
        <v>0</v>
      </c>
      <c r="AA125" s="10">
        <f t="shared" si="167"/>
        <v>0</v>
      </c>
      <c r="AB125" s="10">
        <f t="shared" si="167"/>
        <v>2</v>
      </c>
      <c r="AC125" s="10">
        <f t="shared" si="167"/>
        <v>2</v>
      </c>
      <c r="AD125" s="7">
        <f>(((R125-AC125)*0.72)+(Z125*$J$5)+($K$5*K125)+($L$5*L125)+($M$5*M125)+($N$5*N125))/(H125+R125-AC125+AB125+Z125)</f>
        <v>0.40994293606101306</v>
      </c>
      <c r="AE125" s="11">
        <f>(AD125-$G$5)/$H$5*G125</f>
        <v>11.406660266111588</v>
      </c>
      <c r="AF125" s="11">
        <f t="shared" ref="AF125:AF127" si="168">AE125+AG125+AI125</f>
        <v>14.364314787666341</v>
      </c>
      <c r="AG125" s="11">
        <f>AH125*(G125/667)</f>
        <v>0.97826086956521741</v>
      </c>
      <c r="AH125" s="10">
        <v>2.5</v>
      </c>
      <c r="AI125" s="3">
        <f>(P125*$O$5)+(Q125*$P$5)/(K125+R125+Z125-AC125)</f>
        <v>1.979393651989537</v>
      </c>
      <c r="AJ125" s="3">
        <f>G125/(VLOOKUP(D125,$F$3:$AD$5,25,0))</f>
        <v>14.914285714285715</v>
      </c>
      <c r="AK125" s="3">
        <f>AF125+20*(G125/600)</f>
        <v>23.064314787666341</v>
      </c>
      <c r="AL125" s="3">
        <f>(VLOOKUP(D125,$F$3:$AD$5,24,0))</f>
        <v>11.42</v>
      </c>
      <c r="AM125" s="3">
        <f t="shared" ref="AM125:AM127" si="169">AK125/AL125</f>
        <v>2.0196422756275254</v>
      </c>
    </row>
    <row r="126" spans="1:39" x14ac:dyDescent="0.3">
      <c r="B126" s="10" t="s">
        <v>508</v>
      </c>
      <c r="C126" s="10">
        <v>26</v>
      </c>
      <c r="D126" s="10">
        <v>2016</v>
      </c>
      <c r="E126" s="10" t="s">
        <v>511</v>
      </c>
      <c r="F126" s="10">
        <f t="shared" ref="F126:O126" si="170">F120</f>
        <v>35</v>
      </c>
      <c r="G126" s="10">
        <f t="shared" si="170"/>
        <v>135</v>
      </c>
      <c r="H126" s="10">
        <f t="shared" si="170"/>
        <v>123</v>
      </c>
      <c r="I126" s="10">
        <f t="shared" si="170"/>
        <v>15</v>
      </c>
      <c r="J126" s="9">
        <f t="shared" si="162"/>
        <v>29.530062383479137</v>
      </c>
      <c r="K126" s="9">
        <f>K120*(C11/C9)*(D9/D11)</f>
        <v>19.786946077728384</v>
      </c>
      <c r="L126" s="9">
        <f>L120*(C11/C9)*(D9/D11)</f>
        <v>7.9147784310913538</v>
      </c>
      <c r="M126" s="9">
        <f>M120*(C11/C9)*(D9/D11)</f>
        <v>0</v>
      </c>
      <c r="N126" s="9">
        <f>N120*(C11/C9)</f>
        <v>1.8283378746594008</v>
      </c>
      <c r="O126" s="9">
        <f t="shared" si="170"/>
        <v>9</v>
      </c>
      <c r="P126" s="9">
        <f>P120*(C11/C9)</f>
        <v>2.7425068119891014</v>
      </c>
      <c r="Q126" s="9">
        <f>Q120*(C9/C11)</f>
        <v>1.0938897168405364</v>
      </c>
      <c r="R126" s="9">
        <f>R120*(C11/C9)</f>
        <v>8.2275204359673033</v>
      </c>
      <c r="S126" s="9">
        <f>S120*(C9/C11)</f>
        <v>36.0983606557377</v>
      </c>
      <c r="T126" s="7">
        <f t="shared" si="163"/>
        <v>0.24008180799576534</v>
      </c>
      <c r="U126" s="7">
        <f t="shared" si="158"/>
        <v>0.28555010859279467</v>
      </c>
      <c r="V126" s="7">
        <f t="shared" si="164"/>
        <v>0.34902320681746907</v>
      </c>
      <c r="W126" s="8">
        <f t="shared" si="165"/>
        <v>0.63457331541026374</v>
      </c>
      <c r="X126" s="9">
        <f t="shared" si="166"/>
        <v>42.929854438548695</v>
      </c>
      <c r="Y126" s="10">
        <f t="shared" ref="Y126:AC126" si="171">Y120</f>
        <v>2</v>
      </c>
      <c r="Z126" s="10">
        <f t="shared" si="171"/>
        <v>0</v>
      </c>
      <c r="AA126" s="10">
        <f t="shared" si="171"/>
        <v>2</v>
      </c>
      <c r="AB126" s="10">
        <f t="shared" si="171"/>
        <v>1</v>
      </c>
      <c r="AC126" s="10">
        <f t="shared" si="171"/>
        <v>0</v>
      </c>
      <c r="AD126" s="7">
        <f>(((R126-AC126)*0.72)+(Z126*$J$5)+($K$5*K126)+($L$5*L126)+($M$5*M126)+($N$5*N126))/(H126+R126-AC126+AB126+Z126)</f>
        <v>0.28850567502419955</v>
      </c>
      <c r="AE126" s="11">
        <f>(AD126-$G$5)/$H$5*G126</f>
        <v>-9.0444246779699711</v>
      </c>
      <c r="AF126" s="11">
        <f t="shared" si="168"/>
        <v>-7.9705978928241388</v>
      </c>
      <c r="AG126" s="11">
        <f>AH126*(G126/667)</f>
        <v>0.50599700149925031</v>
      </c>
      <c r="AH126" s="10">
        <v>2.5</v>
      </c>
      <c r="AI126" s="3">
        <f>(P126*$O$5)+(Q126*$P$5)/(K126+R126+Z126-AC126)</f>
        <v>0.56782978364658299</v>
      </c>
      <c r="AJ126" s="3">
        <f>G126/(VLOOKUP(D126,$F$3:$AD$5,25,0))</f>
        <v>7.7142857142857144</v>
      </c>
      <c r="AK126" s="3">
        <f>AF126+20*(G126/600)</f>
        <v>-3.4705978928241388</v>
      </c>
      <c r="AL126" s="3">
        <f>(VLOOKUP(D126,$F$3:$AD$5,24,0))</f>
        <v>11.42</v>
      </c>
      <c r="AM126" s="3">
        <f t="shared" si="169"/>
        <v>-0.30390524455552881</v>
      </c>
    </row>
    <row r="127" spans="1:39" x14ac:dyDescent="0.3">
      <c r="B127" s="10" t="s">
        <v>508</v>
      </c>
      <c r="C127" s="10">
        <v>27</v>
      </c>
      <c r="D127" s="10">
        <v>2017</v>
      </c>
      <c r="E127" s="10" t="s">
        <v>511</v>
      </c>
      <c r="F127" s="10">
        <f t="shared" ref="F127:O127" si="172">F121</f>
        <v>54</v>
      </c>
      <c r="G127" s="10">
        <f t="shared" si="172"/>
        <v>236</v>
      </c>
      <c r="H127" s="10">
        <f t="shared" si="172"/>
        <v>212</v>
      </c>
      <c r="I127" s="10">
        <f t="shared" si="172"/>
        <v>27</v>
      </c>
      <c r="J127" s="9">
        <f t="shared" si="162"/>
        <v>63.745788952192235</v>
      </c>
      <c r="K127" s="9">
        <f>K121*(C6/C9)*(D9/D6)</f>
        <v>42.017091899925695</v>
      </c>
      <c r="L127" s="9">
        <f>L121*(C6/C9)*(D9/D6)</f>
        <v>15.172838741639834</v>
      </c>
      <c r="M127" s="9">
        <f t="shared" si="172"/>
        <v>0</v>
      </c>
      <c r="N127" s="9">
        <f>N121*(C6/C9)</f>
        <v>6.5558583106267037</v>
      </c>
      <c r="O127" s="9">
        <f t="shared" si="172"/>
        <v>31</v>
      </c>
      <c r="P127" s="9">
        <f>P121*(C6/C9)</f>
        <v>2.1852861035422344</v>
      </c>
      <c r="Q127" s="9">
        <f>Q121*(C9/C6)</f>
        <v>1.8304239401496258</v>
      </c>
      <c r="R127" s="9">
        <f>R121*(C6/C9)</f>
        <v>19.667574931880111</v>
      </c>
      <c r="S127" s="9">
        <f>S121*(C9/C6)</f>
        <v>45.760598503740646</v>
      </c>
      <c r="T127" s="7">
        <f t="shared" si="163"/>
        <v>0.30068768373675581</v>
      </c>
      <c r="U127" s="7">
        <f t="shared" ref="U127" si="173">(J127+R127+Z127)/(H127+R127+Z127+AB127)</f>
        <v>0.35938164433475361</v>
      </c>
      <c r="V127" s="7">
        <f t="shared" si="164"/>
        <v>0.46502925766845365</v>
      </c>
      <c r="W127" s="8">
        <f t="shared" si="165"/>
        <v>0.82441090200320732</v>
      </c>
      <c r="X127" s="9">
        <f t="shared" si="166"/>
        <v>98.586202625712176</v>
      </c>
      <c r="Y127" s="10">
        <f t="shared" ref="Y127:AC127" si="174">Y121</f>
        <v>1</v>
      </c>
      <c r="Z127" s="10">
        <f t="shared" si="174"/>
        <v>2</v>
      </c>
      <c r="AA127" s="10">
        <f t="shared" si="174"/>
        <v>0</v>
      </c>
      <c r="AB127" s="10">
        <f t="shared" si="174"/>
        <v>4</v>
      </c>
      <c r="AC127" s="10">
        <f t="shared" si="174"/>
        <v>1</v>
      </c>
      <c r="AD127" s="7">
        <f>(((R127-AC127)*0.72)+(Z127*$J$4)+($K$4*K127)+($L$4*L127)+($M$4*M127)+($N$4*N127))/(H127+R127-AC127+AB127+Z127)</f>
        <v>0.36113011590629124</v>
      </c>
      <c r="AE127" s="11">
        <f t="shared" ref="AE127" si="175">(AD127-$G$5)/$H$5*G127</f>
        <v>-0.18714006026915689</v>
      </c>
      <c r="AF127" s="11">
        <f t="shared" si="168"/>
        <v>1.1488415301400023</v>
      </c>
      <c r="AG127" s="11">
        <f t="shared" ref="AG127" si="176">AH127*(G127/667)</f>
        <v>0.88455772113943021</v>
      </c>
      <c r="AH127" s="10">
        <v>2.5</v>
      </c>
      <c r="AI127" s="3">
        <f>(P127*$O$3)+(Q127*$P$3)/(K127+R127+Z127-AC127)</f>
        <v>0.45142386926972905</v>
      </c>
      <c r="AJ127" s="3">
        <f t="shared" ref="AJ127" si="177">G127/(VLOOKUP(D127,$F$3:$AD$5,25,0))</f>
        <v>12.967032967032967</v>
      </c>
      <c r="AK127" s="3">
        <f>AF127+20*(G127/600)</f>
        <v>9.0155081968066693</v>
      </c>
      <c r="AL127" s="3">
        <f t="shared" ref="AL127" si="178">(VLOOKUP(D127,$F$3:$AD$5,24,0))</f>
        <v>10.77</v>
      </c>
      <c r="AM127" s="3">
        <f t="shared" si="169"/>
        <v>0.83709454009346984</v>
      </c>
    </row>
    <row r="129" spans="1:39" x14ac:dyDescent="0.3">
      <c r="B129" s="10" t="s">
        <v>146</v>
      </c>
      <c r="C129" s="10" t="s">
        <v>176</v>
      </c>
      <c r="D129" s="10" t="s">
        <v>173</v>
      </c>
      <c r="E129" s="10" t="s">
        <v>171</v>
      </c>
      <c r="F129" s="10" t="s">
        <v>148</v>
      </c>
      <c r="G129" s="10" t="s">
        <v>149</v>
      </c>
      <c r="H129" s="10" t="s">
        <v>150</v>
      </c>
      <c r="I129" s="10" t="s">
        <v>151</v>
      </c>
      <c r="J129" s="10" t="s">
        <v>152</v>
      </c>
      <c r="K129" s="10" t="s">
        <v>184</v>
      </c>
      <c r="L129" s="10" t="s">
        <v>153</v>
      </c>
      <c r="M129" s="10" t="s">
        <v>154</v>
      </c>
      <c r="N129" s="10" t="s">
        <v>155</v>
      </c>
      <c r="O129" s="10" t="s">
        <v>156</v>
      </c>
      <c r="P129" s="10" t="s">
        <v>157</v>
      </c>
      <c r="Q129" s="10" t="s">
        <v>158</v>
      </c>
      <c r="R129" s="10" t="s">
        <v>159</v>
      </c>
      <c r="S129" s="10" t="s">
        <v>160</v>
      </c>
      <c r="T129" s="10" t="s">
        <v>161</v>
      </c>
      <c r="U129" s="10" t="s">
        <v>162</v>
      </c>
      <c r="V129" s="10" t="s">
        <v>163</v>
      </c>
      <c r="W129" s="10" t="s">
        <v>164</v>
      </c>
      <c r="X129" s="10" t="s">
        <v>165</v>
      </c>
      <c r="Y129" s="10" t="s">
        <v>166</v>
      </c>
      <c r="Z129" s="10" t="s">
        <v>167</v>
      </c>
      <c r="AA129" s="10" t="s">
        <v>168</v>
      </c>
      <c r="AB129" s="10" t="s">
        <v>169</v>
      </c>
      <c r="AC129" s="10" t="s">
        <v>170</v>
      </c>
    </row>
    <row r="130" spans="1:39" x14ac:dyDescent="0.3">
      <c r="B130" s="5" t="s">
        <v>512</v>
      </c>
      <c r="C130" s="5">
        <v>24</v>
      </c>
      <c r="D130" s="5">
        <v>2016</v>
      </c>
      <c r="E130" s="5" t="s">
        <v>514</v>
      </c>
      <c r="F130" s="5">
        <v>73</v>
      </c>
      <c r="G130" s="5">
        <v>204</v>
      </c>
      <c r="H130" s="5">
        <v>193</v>
      </c>
      <c r="I130" s="5">
        <v>20</v>
      </c>
      <c r="J130" s="5">
        <v>44</v>
      </c>
      <c r="K130" s="10">
        <f>J130-L130-M130-N130</f>
        <v>29</v>
      </c>
      <c r="L130" s="5">
        <v>9</v>
      </c>
      <c r="M130" s="5">
        <v>0</v>
      </c>
      <c r="N130" s="5">
        <v>6</v>
      </c>
      <c r="O130" s="5">
        <v>25</v>
      </c>
      <c r="P130" s="5">
        <v>1</v>
      </c>
      <c r="Q130" s="5">
        <v>2</v>
      </c>
      <c r="R130" s="5">
        <v>10</v>
      </c>
      <c r="S130" s="5">
        <v>56</v>
      </c>
      <c r="T130" s="5">
        <v>0.22800000000000001</v>
      </c>
      <c r="U130" s="7">
        <f t="shared" ref="U130:U132" si="179">(J130+R130+Z130)/(H130+R130+Z130+AB130)</f>
        <v>0.26470588235294118</v>
      </c>
      <c r="V130" s="5">
        <v>0.36799999999999999</v>
      </c>
      <c r="W130" s="5">
        <v>0.63300000000000001</v>
      </c>
      <c r="X130" s="5">
        <v>71</v>
      </c>
      <c r="Y130" s="5">
        <v>9</v>
      </c>
      <c r="Z130" s="5">
        <v>0</v>
      </c>
      <c r="AA130" s="5">
        <v>0</v>
      </c>
      <c r="AB130" s="5">
        <v>1</v>
      </c>
      <c r="AC130" s="5">
        <v>0</v>
      </c>
    </row>
    <row r="131" spans="1:39" x14ac:dyDescent="0.3">
      <c r="B131" s="10" t="s">
        <v>512</v>
      </c>
      <c r="C131" s="5">
        <v>25</v>
      </c>
      <c r="D131" s="5">
        <v>2017</v>
      </c>
      <c r="E131" s="10" t="s">
        <v>514</v>
      </c>
      <c r="F131" s="5">
        <v>8</v>
      </c>
      <c r="G131" s="5">
        <v>7</v>
      </c>
      <c r="H131" s="5">
        <v>7</v>
      </c>
      <c r="I131" s="5">
        <v>0</v>
      </c>
      <c r="J131" s="5">
        <v>1</v>
      </c>
      <c r="K131" s="10">
        <f t="shared" ref="K131:K133" si="180">J131-L131-M131-N131</f>
        <v>1</v>
      </c>
      <c r="L131" s="5">
        <v>0</v>
      </c>
      <c r="M131" s="5">
        <v>0</v>
      </c>
      <c r="N131" s="5">
        <v>0</v>
      </c>
      <c r="O131" s="5">
        <v>0</v>
      </c>
      <c r="P131" s="5">
        <v>0</v>
      </c>
      <c r="Q131" s="5">
        <v>0</v>
      </c>
      <c r="R131" s="5">
        <v>0</v>
      </c>
      <c r="S131" s="5">
        <v>3</v>
      </c>
      <c r="T131" s="5">
        <v>0.14299999999999999</v>
      </c>
      <c r="U131" s="7">
        <f t="shared" si="179"/>
        <v>0.14285714285714285</v>
      </c>
      <c r="V131" s="5">
        <v>0.14299999999999999</v>
      </c>
      <c r="W131" s="5">
        <v>0.28599999999999998</v>
      </c>
      <c r="X131" s="5">
        <v>1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</row>
    <row r="132" spans="1:39" x14ac:dyDescent="0.3">
      <c r="B132" s="10" t="s">
        <v>512</v>
      </c>
      <c r="C132" s="5">
        <v>25</v>
      </c>
      <c r="D132" s="5">
        <v>2017</v>
      </c>
      <c r="E132" s="5" t="s">
        <v>515</v>
      </c>
      <c r="F132" s="5">
        <v>34</v>
      </c>
      <c r="G132" s="5">
        <v>18</v>
      </c>
      <c r="H132" s="5">
        <v>18</v>
      </c>
      <c r="I132" s="5">
        <v>2</v>
      </c>
      <c r="J132" s="5">
        <v>5</v>
      </c>
      <c r="K132" s="10">
        <f t="shared" si="180"/>
        <v>3</v>
      </c>
      <c r="L132" s="5">
        <v>1</v>
      </c>
      <c r="M132" s="5">
        <v>0</v>
      </c>
      <c r="N132" s="5">
        <v>1</v>
      </c>
      <c r="O132" s="5">
        <v>2</v>
      </c>
      <c r="P132" s="5">
        <v>0</v>
      </c>
      <c r="Q132" s="5">
        <v>0</v>
      </c>
      <c r="R132" s="5">
        <v>0</v>
      </c>
      <c r="S132" s="5">
        <v>6</v>
      </c>
      <c r="T132" s="5">
        <v>0.27800000000000002</v>
      </c>
      <c r="U132" s="7">
        <f t="shared" si="179"/>
        <v>0.27777777777777779</v>
      </c>
      <c r="V132" s="5">
        <v>0.5</v>
      </c>
      <c r="W132" s="5">
        <v>0.77800000000000002</v>
      </c>
      <c r="X132" s="5">
        <v>9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</row>
    <row r="133" spans="1:39" x14ac:dyDescent="0.3">
      <c r="B133" s="10" t="s">
        <v>512</v>
      </c>
      <c r="C133" s="5">
        <v>26</v>
      </c>
      <c r="D133" s="5">
        <v>2018</v>
      </c>
      <c r="E133" s="10" t="s">
        <v>515</v>
      </c>
      <c r="F133" s="5">
        <v>104</v>
      </c>
      <c r="G133" s="5">
        <v>418</v>
      </c>
      <c r="H133" s="5">
        <v>391</v>
      </c>
      <c r="I133" s="5">
        <v>59</v>
      </c>
      <c r="J133" s="5">
        <v>116</v>
      </c>
      <c r="K133" s="10">
        <f t="shared" si="180"/>
        <v>74</v>
      </c>
      <c r="L133" s="5">
        <v>22</v>
      </c>
      <c r="M133" s="5">
        <v>0</v>
      </c>
      <c r="N133" s="5">
        <v>20</v>
      </c>
      <c r="O133" s="5">
        <v>71</v>
      </c>
      <c r="P133" s="5">
        <v>6</v>
      </c>
      <c r="Q133" s="5">
        <v>1</v>
      </c>
      <c r="R133" s="5">
        <v>20</v>
      </c>
      <c r="S133" s="5">
        <v>76</v>
      </c>
      <c r="T133" s="5">
        <v>0.29699999999999999</v>
      </c>
      <c r="U133" s="7">
        <f t="shared" ref="U133" si="181">(J133+R133+Z133)/(H133+R133+Z133+AB133)</f>
        <v>0.32775119617224879</v>
      </c>
      <c r="V133" s="5">
        <v>0.50600000000000001</v>
      </c>
      <c r="W133" s="5">
        <v>0.83399999999999996</v>
      </c>
      <c r="X133" s="5">
        <v>198</v>
      </c>
      <c r="Y133" s="5">
        <v>12</v>
      </c>
      <c r="Z133" s="5">
        <v>1</v>
      </c>
      <c r="AA133" s="5">
        <v>0</v>
      </c>
      <c r="AB133" s="5">
        <v>6</v>
      </c>
      <c r="AC133" s="5">
        <v>0</v>
      </c>
    </row>
    <row r="135" spans="1:39" x14ac:dyDescent="0.3">
      <c r="B135" s="10" t="s">
        <v>146</v>
      </c>
      <c r="C135" s="10" t="s">
        <v>176</v>
      </c>
      <c r="D135" s="10" t="s">
        <v>173</v>
      </c>
      <c r="E135" s="10" t="s">
        <v>171</v>
      </c>
      <c r="F135" s="10" t="s">
        <v>148</v>
      </c>
      <c r="G135" s="10" t="s">
        <v>149</v>
      </c>
      <c r="H135" s="10" t="s">
        <v>150</v>
      </c>
      <c r="I135" s="10" t="s">
        <v>151</v>
      </c>
      <c r="J135" s="10" t="s">
        <v>152</v>
      </c>
      <c r="K135" s="10" t="s">
        <v>184</v>
      </c>
      <c r="L135" s="10" t="s">
        <v>153</v>
      </c>
      <c r="M135" s="10" t="s">
        <v>154</v>
      </c>
      <c r="N135" s="10" t="s">
        <v>155</v>
      </c>
      <c r="O135" s="10" t="s">
        <v>156</v>
      </c>
      <c r="P135" s="10" t="s">
        <v>157</v>
      </c>
      <c r="Q135" s="10" t="s">
        <v>158</v>
      </c>
      <c r="R135" s="10" t="s">
        <v>159</v>
      </c>
      <c r="S135" s="10" t="s">
        <v>160</v>
      </c>
      <c r="T135" s="10" t="s">
        <v>161</v>
      </c>
      <c r="U135" s="10" t="s">
        <v>162</v>
      </c>
      <c r="V135" s="10" t="s">
        <v>163</v>
      </c>
      <c r="W135" s="10" t="s">
        <v>164</v>
      </c>
      <c r="X135" s="10" t="s">
        <v>165</v>
      </c>
      <c r="Y135" s="10" t="s">
        <v>166</v>
      </c>
      <c r="Z135" s="10" t="s">
        <v>167</v>
      </c>
      <c r="AA135" s="10" t="s">
        <v>168</v>
      </c>
      <c r="AB135" s="10" t="s">
        <v>169</v>
      </c>
      <c r="AC135" s="10" t="s">
        <v>170</v>
      </c>
      <c r="AD135" s="10" t="s">
        <v>185</v>
      </c>
      <c r="AE135" s="10" t="s">
        <v>504</v>
      </c>
      <c r="AF135" s="10" t="s">
        <v>496</v>
      </c>
      <c r="AG135" s="10" t="s">
        <v>502</v>
      </c>
      <c r="AH135" s="10" t="s">
        <v>461</v>
      </c>
      <c r="AI135" s="10" t="s">
        <v>431</v>
      </c>
      <c r="AJ135" s="10" t="s">
        <v>501</v>
      </c>
      <c r="AK135" s="10" t="s">
        <v>432</v>
      </c>
      <c r="AL135" s="10" t="s">
        <v>499</v>
      </c>
      <c r="AM135" s="10" t="s">
        <v>433</v>
      </c>
    </row>
    <row r="136" spans="1:39" x14ac:dyDescent="0.3">
      <c r="A136" s="10" t="s">
        <v>523</v>
      </c>
      <c r="B136" s="10" t="s">
        <v>516</v>
      </c>
      <c r="C136" s="10">
        <v>24</v>
      </c>
      <c r="D136" s="10">
        <v>2016</v>
      </c>
      <c r="E136" s="10" t="s">
        <v>511</v>
      </c>
      <c r="F136" s="5">
        <f>F130</f>
        <v>73</v>
      </c>
      <c r="G136" s="10">
        <f t="shared" ref="G136:O136" si="182">G130</f>
        <v>204</v>
      </c>
      <c r="H136" s="10">
        <f t="shared" si="182"/>
        <v>193</v>
      </c>
      <c r="I136" s="10">
        <f t="shared" si="182"/>
        <v>20</v>
      </c>
      <c r="J136" s="9">
        <f>K136+L136+M136+N136</f>
        <v>65.724086209245769</v>
      </c>
      <c r="K136" s="9">
        <f>K130*(C4/C9)*(D9/D4)</f>
        <v>43.328792007266131</v>
      </c>
      <c r="L136" s="9">
        <f>L130*(C4/C9)*(D9/D4)*(1000/930)</f>
        <v>14.458996220444757</v>
      </c>
      <c r="M136" s="9">
        <f t="shared" si="182"/>
        <v>0</v>
      </c>
      <c r="N136" s="9">
        <f>N130*(C4/C9)*(1000/1030)</f>
        <v>7.9362979815348806</v>
      </c>
      <c r="O136" s="9">
        <f t="shared" si="182"/>
        <v>25</v>
      </c>
      <c r="P136" s="9">
        <f>P130*(C4/C9)</f>
        <v>1.3623978201634879</v>
      </c>
      <c r="Q136" s="9">
        <f>Q130*(C9/C4)</f>
        <v>1.468</v>
      </c>
      <c r="R136" s="9">
        <f>R130*(C4/C9)*(1000/1040)</f>
        <v>13.099979040033537</v>
      </c>
      <c r="S136" s="9">
        <f>S130*(C9/C4)</f>
        <v>41.103999999999999</v>
      </c>
      <c r="T136" s="7">
        <f>J136/H136</f>
        <v>0.34053930678365685</v>
      </c>
      <c r="U136" s="7">
        <f t="shared" ref="U136:U138" si="183">(J136+R136+Z136)/(H136+R136+Z136+AB136)</f>
        <v>0.38060875532026101</v>
      </c>
      <c r="V136" s="7">
        <f>X136/H136</f>
        <v>0.53881853043676253</v>
      </c>
      <c r="W136" s="8">
        <f>U136+V136</f>
        <v>0.91942728575702359</v>
      </c>
      <c r="X136" s="9">
        <f>K136+2*L136+3*M136+4*N136</f>
        <v>103.99197637429516</v>
      </c>
      <c r="Y136" s="10">
        <f t="shared" ref="Y136:AC136" si="184">Y130</f>
        <v>9</v>
      </c>
      <c r="Z136" s="10">
        <f t="shared" si="184"/>
        <v>0</v>
      </c>
      <c r="AA136" s="10">
        <f t="shared" si="184"/>
        <v>0</v>
      </c>
      <c r="AB136" s="10">
        <f t="shared" si="184"/>
        <v>1</v>
      </c>
      <c r="AC136" s="10">
        <f t="shared" si="184"/>
        <v>0</v>
      </c>
      <c r="AD136" s="7">
        <f>(((R136-AC136)*0.72)+(Z136*$J$5)+($K$5*K136)+($L$5*L136)+($M$5*M136)+($N$5*N136))/(H136+R136-AC136+AB136+Z136)</f>
        <v>0.40465363980101149</v>
      </c>
      <c r="AE136" s="11">
        <f>(AD136-$G$5)/$H$5*G136</f>
        <v>7.931943955703141</v>
      </c>
      <c r="AF136" s="11">
        <f>AE136+AG136+AI136</f>
        <v>12.040389448940626</v>
      </c>
      <c r="AG136" s="11">
        <f>AH136*(G136/667)</f>
        <v>3.8230884557721141</v>
      </c>
      <c r="AH136" s="10">
        <v>12.5</v>
      </c>
      <c r="AI136" s="3">
        <f>(P136*$O$5)+(Q136*$P$5)/(K136+R136+Z136-AC136)</f>
        <v>0.28535703746537078</v>
      </c>
      <c r="AJ136" s="3">
        <f>G136/(VLOOKUP(D136,$F$3:$AD$5,25,0))</f>
        <v>11.657142857142857</v>
      </c>
      <c r="AK136" s="3">
        <f>AF136+20*(G136/600)</f>
        <v>18.840389448940627</v>
      </c>
      <c r="AL136" s="3">
        <f>(VLOOKUP(D136,$F$3:$AD$5,24,0))</f>
        <v>11.42</v>
      </c>
      <c r="AM136" s="3">
        <f t="shared" ref="AM136:AM139" si="185">AK136/AL136</f>
        <v>1.6497714053363071</v>
      </c>
    </row>
    <row r="137" spans="1:39" x14ac:dyDescent="0.3">
      <c r="A137" s="10" t="s">
        <v>523</v>
      </c>
      <c r="B137" s="10" t="s">
        <v>512</v>
      </c>
      <c r="C137" s="10">
        <v>25</v>
      </c>
      <c r="D137" s="10">
        <v>2017</v>
      </c>
      <c r="E137" s="10" t="s">
        <v>511</v>
      </c>
      <c r="F137" s="10">
        <f t="shared" ref="F137:S139" si="186">F131</f>
        <v>8</v>
      </c>
      <c r="G137" s="10">
        <f t="shared" si="186"/>
        <v>7</v>
      </c>
      <c r="H137" s="10">
        <f t="shared" si="186"/>
        <v>7</v>
      </c>
      <c r="I137" s="10">
        <f t="shared" si="186"/>
        <v>0</v>
      </c>
      <c r="J137" s="9">
        <f t="shared" ref="J137:J139" si="187">K137+L137+M137+N137</f>
        <v>1.4940962761126251</v>
      </c>
      <c r="K137" s="9">
        <f>K131*(C4/C9)*(D9/D4)</f>
        <v>1.4940962761126251</v>
      </c>
      <c r="L137" s="9">
        <f>L131*(C4/C9)*(D9/D4)</f>
        <v>0</v>
      </c>
      <c r="M137" s="9">
        <f t="shared" si="186"/>
        <v>0</v>
      </c>
      <c r="N137" s="9">
        <f>N131*(C4/C9)</f>
        <v>0</v>
      </c>
      <c r="O137" s="9">
        <f t="shared" si="186"/>
        <v>0</v>
      </c>
      <c r="P137" s="9">
        <f t="shared" si="186"/>
        <v>0</v>
      </c>
      <c r="Q137" s="9">
        <f t="shared" si="186"/>
        <v>0</v>
      </c>
      <c r="R137" s="9">
        <f t="shared" si="186"/>
        <v>0</v>
      </c>
      <c r="S137" s="9">
        <f>S131*(C9/C4)</f>
        <v>2.202</v>
      </c>
      <c r="T137" s="7">
        <f t="shared" ref="T137:T139" si="188">J137/H137</f>
        <v>0.21344232515894643</v>
      </c>
      <c r="U137" s="7">
        <f t="shared" si="183"/>
        <v>0.21344232515894643</v>
      </c>
      <c r="V137" s="7">
        <f t="shared" ref="V137:V139" si="189">X137/H137</f>
        <v>0.21344232515894643</v>
      </c>
      <c r="W137" s="8">
        <f t="shared" ref="W137:W139" si="190">U137+V137</f>
        <v>0.42688465031789286</v>
      </c>
      <c r="X137" s="9">
        <f t="shared" ref="X137:X139" si="191">K137+2*L137+3*M137+4*N137</f>
        <v>1.4940962761126251</v>
      </c>
      <c r="Y137" s="10">
        <f t="shared" ref="Y137:AC137" si="192">Y131</f>
        <v>0</v>
      </c>
      <c r="Z137" s="10">
        <f t="shared" si="192"/>
        <v>0</v>
      </c>
      <c r="AA137" s="10">
        <f t="shared" si="192"/>
        <v>0</v>
      </c>
      <c r="AB137" s="10">
        <f t="shared" si="192"/>
        <v>0</v>
      </c>
      <c r="AC137" s="10">
        <f t="shared" si="192"/>
        <v>0</v>
      </c>
      <c r="AD137" s="7">
        <f>(((R137-AC137)*0.72)+(Z137*$J$4)+($K$4*K137)+($L$4*L137)+($M$4*M137)+($N$4*N137))/(H137+R137-AC137+AB137+Z137)</f>
        <v>0.19786103542234335</v>
      </c>
      <c r="AE137" s="11">
        <f t="shared" ref="AE137:AE139" si="193">(AD137-$G$5)/$H$5*G137</f>
        <v>-1.0473771668583378</v>
      </c>
      <c r="AF137" s="11">
        <f>AE137+AG137+AI137</f>
        <v>-0.91619275906223585</v>
      </c>
      <c r="AG137" s="11">
        <f t="shared" ref="AG137:AG139" si="194">AH137*(G137/667)</f>
        <v>0.13118440779610197</v>
      </c>
      <c r="AH137" s="10">
        <v>12.5</v>
      </c>
      <c r="AI137" s="3">
        <f>(P137*$O$3)+(Q137*$P$3)/(K137+R137+Z137-AC137)</f>
        <v>0</v>
      </c>
      <c r="AJ137" s="3">
        <f t="shared" ref="AJ137:AJ139" si="195">G137/(VLOOKUP(D137,$F$3:$AD$5,25,0))</f>
        <v>0.38461538461538464</v>
      </c>
      <c r="AK137" s="3">
        <f>AF137+20*(G137/600)</f>
        <v>-0.68285942572890246</v>
      </c>
      <c r="AL137" s="3">
        <f t="shared" ref="AL137:AL139" si="196">(VLOOKUP(D137,$F$3:$AD$5,24,0))</f>
        <v>10.77</v>
      </c>
      <c r="AM137" s="3">
        <f t="shared" si="185"/>
        <v>-6.3403846400083799E-2</v>
      </c>
    </row>
    <row r="138" spans="1:39" x14ac:dyDescent="0.3">
      <c r="A138" s="10" t="s">
        <v>523</v>
      </c>
      <c r="B138" s="10" t="s">
        <v>512</v>
      </c>
      <c r="C138" s="10">
        <v>25</v>
      </c>
      <c r="D138" s="10">
        <v>2017</v>
      </c>
      <c r="E138" s="10" t="s">
        <v>511</v>
      </c>
      <c r="F138" s="10">
        <f t="shared" si="186"/>
        <v>34</v>
      </c>
      <c r="G138" s="10">
        <f t="shared" si="186"/>
        <v>18</v>
      </c>
      <c r="H138" s="10">
        <f t="shared" si="186"/>
        <v>18</v>
      </c>
      <c r="I138" s="10">
        <f t="shared" si="186"/>
        <v>2</v>
      </c>
      <c r="J138" s="9">
        <f t="shared" si="187"/>
        <v>4.8408126773241831</v>
      </c>
      <c r="K138" s="9">
        <f>K132*(C5/C9)*(D9/D5)*(1000/1060)</f>
        <v>2.980948554858736</v>
      </c>
      <c r="L138" s="9">
        <f>L132*(C5/C9)*(D9/D5)*(1000/1020)</f>
        <v>1.0326161660621764</v>
      </c>
      <c r="M138" s="9">
        <f t="shared" si="186"/>
        <v>0</v>
      </c>
      <c r="N138" s="9">
        <f>N132*(C5/C9)*(1000/1250)</f>
        <v>0.82724795640326987</v>
      </c>
      <c r="O138" s="9">
        <f t="shared" si="186"/>
        <v>2</v>
      </c>
      <c r="P138" s="9">
        <f t="shared" si="186"/>
        <v>0</v>
      </c>
      <c r="Q138" s="9">
        <f t="shared" si="186"/>
        <v>0</v>
      </c>
      <c r="R138" s="9">
        <f t="shared" si="186"/>
        <v>0</v>
      </c>
      <c r="S138" s="9">
        <f t="shared" si="186"/>
        <v>6</v>
      </c>
      <c r="T138" s="7">
        <f t="shared" si="188"/>
        <v>0.26893403762912127</v>
      </c>
      <c r="U138" s="7">
        <f t="shared" si="183"/>
        <v>0.26893403762912127</v>
      </c>
      <c r="V138" s="7">
        <f t="shared" si="189"/>
        <v>0.46417626181089822</v>
      </c>
      <c r="W138" s="8">
        <f t="shared" si="190"/>
        <v>0.73311029944001949</v>
      </c>
      <c r="X138" s="9">
        <f t="shared" si="191"/>
        <v>8.3551727125961683</v>
      </c>
      <c r="Y138" s="10">
        <f t="shared" ref="Y138:AC138" si="197">Y132</f>
        <v>0</v>
      </c>
      <c r="Z138" s="10">
        <f t="shared" si="197"/>
        <v>0</v>
      </c>
      <c r="AA138" s="10">
        <f t="shared" si="197"/>
        <v>0</v>
      </c>
      <c r="AB138" s="10">
        <f t="shared" si="197"/>
        <v>0</v>
      </c>
      <c r="AC138" s="10">
        <f t="shared" si="197"/>
        <v>0</v>
      </c>
      <c r="AD138" s="7">
        <f>(((R138-AC138)*0.72)+(Z138*$J$4)+($K$4*K138)+($L$4*L138)+($M$4*M138)+($N$4*N138))/(H138+R138-AC138+AB138+Z138)</f>
        <v>0.31311119047494135</v>
      </c>
      <c r="AE138" s="11">
        <f t="shared" si="193"/>
        <v>-0.80218648263541981</v>
      </c>
      <c r="AF138" s="11">
        <f t="shared" ref="AF138:AF139" si="198">AE138+AG138+AI138</f>
        <v>-0.46485514830258623</v>
      </c>
      <c r="AG138" s="11">
        <f t="shared" si="194"/>
        <v>0.33733133433283358</v>
      </c>
      <c r="AH138" s="10">
        <v>12.5</v>
      </c>
      <c r="AI138" s="3">
        <f>(P138*$O$3)+(Q138*$P$3)/(K138+R138+Z138-AC138)</f>
        <v>0</v>
      </c>
      <c r="AJ138" s="3">
        <f t="shared" si="195"/>
        <v>0.98901098901098905</v>
      </c>
      <c r="AK138" s="3">
        <f>AF138+20*(G138/600)</f>
        <v>0.13514485169741375</v>
      </c>
      <c r="AL138" s="3">
        <f t="shared" si="196"/>
        <v>10.77</v>
      </c>
      <c r="AM138" s="3">
        <f t="shared" si="185"/>
        <v>1.2548268495581593E-2</v>
      </c>
    </row>
    <row r="139" spans="1:39" x14ac:dyDescent="0.3">
      <c r="A139" s="10" t="s">
        <v>523</v>
      </c>
      <c r="B139" s="10" t="s">
        <v>512</v>
      </c>
      <c r="C139" s="10">
        <v>26</v>
      </c>
      <c r="D139" s="10">
        <v>2018</v>
      </c>
      <c r="E139" s="10" t="s">
        <v>511</v>
      </c>
      <c r="F139" s="10">
        <f t="shared" si="186"/>
        <v>104</v>
      </c>
      <c r="G139" s="10">
        <f t="shared" si="186"/>
        <v>418</v>
      </c>
      <c r="H139" s="10">
        <f t="shared" si="186"/>
        <v>391</v>
      </c>
      <c r="I139" s="10">
        <f t="shared" si="186"/>
        <v>59</v>
      </c>
      <c r="J139" s="9">
        <f t="shared" si="187"/>
        <v>106.87561784603754</v>
      </c>
      <c r="K139" s="9">
        <f>K133*(C5/C9)*(D9/D5)*(100/107)</f>
        <v>72.842867490068301</v>
      </c>
      <c r="L139" s="9">
        <f>L133*(C5/C9)*(D9/D5)*(100/143)</f>
        <v>16.204130605898769</v>
      </c>
      <c r="M139" s="9">
        <f t="shared" si="186"/>
        <v>0</v>
      </c>
      <c r="N139" s="9">
        <f>N133*(C5/C9)*(100/116)</f>
        <v>17.82861975007047</v>
      </c>
      <c r="O139" s="9">
        <f t="shared" si="186"/>
        <v>71</v>
      </c>
      <c r="P139" s="9">
        <f>P133*(C5/C9)</f>
        <v>6.2043596730245234</v>
      </c>
      <c r="Q139" s="9">
        <f>Q133*(C9/C5)</f>
        <v>0.96706192358366272</v>
      </c>
      <c r="R139" s="9">
        <f>R133*(C5/C9)</f>
        <v>20.681198910081747</v>
      </c>
      <c r="S139" s="9">
        <f>S133*(C9/C5)</f>
        <v>73.49670619235836</v>
      </c>
      <c r="T139" s="7">
        <f t="shared" si="188"/>
        <v>0.27333917607682234</v>
      </c>
      <c r="U139" s="7">
        <f t="shared" ref="U139" si="199">(J139+R139+Z139)/(H139+R139+Z139+AB139)</f>
        <v>0.30705180239948832</v>
      </c>
      <c r="V139" s="7">
        <f t="shared" si="189"/>
        <v>0.45157444425101712</v>
      </c>
      <c r="W139" s="8">
        <f t="shared" si="190"/>
        <v>0.75862624665050538</v>
      </c>
      <c r="X139" s="9">
        <f t="shared" si="191"/>
        <v>176.5656077021477</v>
      </c>
      <c r="Y139" s="10">
        <f t="shared" ref="Y139:AC139" si="200">Y133</f>
        <v>12</v>
      </c>
      <c r="Z139" s="10">
        <f t="shared" si="200"/>
        <v>1</v>
      </c>
      <c r="AA139" s="10">
        <f t="shared" si="200"/>
        <v>0</v>
      </c>
      <c r="AB139" s="10">
        <f t="shared" si="200"/>
        <v>6</v>
      </c>
      <c r="AC139" s="10">
        <f t="shared" si="200"/>
        <v>0</v>
      </c>
      <c r="AD139" s="7">
        <f>(((R139-AC139)*0.72)+(Z139*$J$3)+($K$3*K139)+($L$3*L139)+($M$3*M139)+($N$3*N139))/(H139+R139-AC139+AB139+Z139)</f>
        <v>0.32457196250580572</v>
      </c>
      <c r="AE139" s="11">
        <f t="shared" si="193"/>
        <v>-14.261549382473294</v>
      </c>
      <c r="AF139" s="11">
        <f t="shared" si="198"/>
        <v>-5.1820606593006451</v>
      </c>
      <c r="AG139" s="11">
        <f t="shared" si="194"/>
        <v>7.8335832083958019</v>
      </c>
      <c r="AH139" s="10">
        <v>12.5</v>
      </c>
      <c r="AI139" s="3">
        <f>(P139*$O$3)+(Q139*$P$3)/(K139+R139+Z139-AC139)</f>
        <v>1.2459055147768472</v>
      </c>
      <c r="AJ139" s="3">
        <f t="shared" si="195"/>
        <v>23.61581920903955</v>
      </c>
      <c r="AK139" s="3">
        <f t="shared" ref="AK139" si="201">AF139+20*(G139/600)</f>
        <v>8.7512726740326876</v>
      </c>
      <c r="AL139" s="3">
        <f t="shared" si="196"/>
        <v>11.18</v>
      </c>
      <c r="AM139" s="3">
        <f t="shared" si="185"/>
        <v>0.78276141985981107</v>
      </c>
    </row>
    <row r="140" spans="1:39" x14ac:dyDescent="0.3">
      <c r="A140" s="10"/>
    </row>
    <row r="141" spans="1:39" x14ac:dyDescent="0.3">
      <c r="B141" s="10" t="s">
        <v>146</v>
      </c>
      <c r="C141" s="10" t="s">
        <v>176</v>
      </c>
      <c r="D141" s="10" t="s">
        <v>173</v>
      </c>
      <c r="E141" s="10" t="s">
        <v>171</v>
      </c>
      <c r="F141" s="10" t="s">
        <v>148</v>
      </c>
      <c r="G141" s="10" t="s">
        <v>149</v>
      </c>
      <c r="H141" s="10" t="s">
        <v>150</v>
      </c>
      <c r="I141" s="10" t="s">
        <v>151</v>
      </c>
      <c r="J141" s="10" t="s">
        <v>152</v>
      </c>
      <c r="K141" s="10" t="s">
        <v>184</v>
      </c>
      <c r="L141" s="10" t="s">
        <v>153</v>
      </c>
      <c r="M141" s="10" t="s">
        <v>154</v>
      </c>
      <c r="N141" s="10" t="s">
        <v>155</v>
      </c>
      <c r="O141" s="10" t="s">
        <v>156</v>
      </c>
      <c r="P141" s="10" t="s">
        <v>157</v>
      </c>
      <c r="Q141" s="10" t="s">
        <v>158</v>
      </c>
      <c r="R141" s="10" t="s">
        <v>159</v>
      </c>
      <c r="S141" s="10" t="s">
        <v>160</v>
      </c>
      <c r="T141" s="10" t="s">
        <v>161</v>
      </c>
      <c r="U141" s="10" t="s">
        <v>162</v>
      </c>
      <c r="V141" s="10" t="s">
        <v>163</v>
      </c>
      <c r="W141" s="10" t="s">
        <v>164</v>
      </c>
      <c r="X141" s="10" t="s">
        <v>165</v>
      </c>
      <c r="Y141" s="10" t="s">
        <v>166</v>
      </c>
      <c r="Z141" s="10" t="s">
        <v>167</v>
      </c>
      <c r="AA141" s="10" t="s">
        <v>168</v>
      </c>
      <c r="AB141" s="10" t="s">
        <v>169</v>
      </c>
      <c r="AC141" s="10" t="s">
        <v>170</v>
      </c>
    </row>
    <row r="142" spans="1:39" x14ac:dyDescent="0.3">
      <c r="B142" s="5" t="s">
        <v>519</v>
      </c>
      <c r="C142" s="5">
        <v>29</v>
      </c>
      <c r="D142" s="5">
        <v>2016</v>
      </c>
      <c r="E142" s="5" t="s">
        <v>518</v>
      </c>
      <c r="F142" s="5">
        <v>62</v>
      </c>
      <c r="G142" s="5">
        <v>244</v>
      </c>
      <c r="H142" s="5">
        <v>215</v>
      </c>
      <c r="I142" s="5">
        <v>28</v>
      </c>
      <c r="J142" s="5">
        <v>41</v>
      </c>
      <c r="K142" s="5">
        <f>J142-L142-M142-N142</f>
        <v>19</v>
      </c>
      <c r="L142" s="5">
        <v>9</v>
      </c>
      <c r="M142" s="5">
        <v>1</v>
      </c>
      <c r="N142" s="5">
        <v>12</v>
      </c>
      <c r="O142" s="5">
        <v>24</v>
      </c>
      <c r="P142" s="5">
        <v>1</v>
      </c>
      <c r="Q142" s="5">
        <v>0</v>
      </c>
      <c r="R142" s="5">
        <v>21</v>
      </c>
      <c r="S142" s="5">
        <v>80</v>
      </c>
      <c r="T142" s="5">
        <v>0.191</v>
      </c>
      <c r="U142" s="7">
        <f t="shared" ref="U142:U143" si="202">(J142+R142+Z142)/(H142+R142+Z142+AB142)</f>
        <v>0.27459016393442626</v>
      </c>
      <c r="V142" s="5">
        <v>0.40899999999999997</v>
      </c>
      <c r="W142" s="5">
        <v>0.68400000000000005</v>
      </c>
      <c r="X142" s="5">
        <v>88</v>
      </c>
      <c r="Y142" s="5">
        <v>3</v>
      </c>
      <c r="Z142" s="5">
        <v>5</v>
      </c>
      <c r="AA142" s="5">
        <v>0</v>
      </c>
      <c r="AB142" s="5">
        <v>3</v>
      </c>
      <c r="AC142" s="5">
        <v>0</v>
      </c>
    </row>
    <row r="143" spans="1:39" x14ac:dyDescent="0.3">
      <c r="B143" s="10" t="s">
        <v>519</v>
      </c>
      <c r="C143" s="5">
        <v>29</v>
      </c>
      <c r="D143" s="5">
        <v>2016</v>
      </c>
      <c r="E143" s="5" t="s">
        <v>520</v>
      </c>
      <c r="F143" s="5">
        <v>31</v>
      </c>
      <c r="G143" s="5">
        <v>128</v>
      </c>
      <c r="H143" s="5">
        <v>116</v>
      </c>
      <c r="I143" s="5">
        <v>18</v>
      </c>
      <c r="J143" s="5">
        <v>26</v>
      </c>
      <c r="K143" s="10">
        <f t="shared" ref="K143:K144" si="203">J143-L143-M143-N143</f>
        <v>11</v>
      </c>
      <c r="L143" s="5">
        <v>5</v>
      </c>
      <c r="M143" s="5">
        <v>0</v>
      </c>
      <c r="N143" s="5">
        <v>10</v>
      </c>
      <c r="O143" s="5">
        <v>19</v>
      </c>
      <c r="P143" s="5">
        <v>0</v>
      </c>
      <c r="Q143" s="5">
        <v>0</v>
      </c>
      <c r="R143" s="5">
        <v>6</v>
      </c>
      <c r="S143" s="5">
        <v>32</v>
      </c>
      <c r="T143" s="5">
        <v>0.224</v>
      </c>
      <c r="U143" s="7">
        <f t="shared" si="202"/>
        <v>0.296875</v>
      </c>
      <c r="V143" s="5">
        <v>0.52600000000000002</v>
      </c>
      <c r="W143" s="5">
        <v>0.82299999999999995</v>
      </c>
      <c r="X143" s="5">
        <v>61</v>
      </c>
      <c r="Y143" s="5">
        <v>4</v>
      </c>
      <c r="Z143" s="5">
        <v>6</v>
      </c>
      <c r="AA143" s="5">
        <v>0</v>
      </c>
      <c r="AB143" s="5">
        <v>0</v>
      </c>
      <c r="AC143" s="5">
        <v>0</v>
      </c>
    </row>
    <row r="144" spans="1:39" x14ac:dyDescent="0.3">
      <c r="B144" s="10" t="s">
        <v>519</v>
      </c>
      <c r="C144" s="5">
        <v>29</v>
      </c>
      <c r="D144" s="5">
        <v>2017</v>
      </c>
      <c r="E144" s="10" t="s">
        <v>520</v>
      </c>
      <c r="F144" s="5">
        <v>111</v>
      </c>
      <c r="G144" s="5">
        <v>455</v>
      </c>
      <c r="H144" s="5">
        <v>419</v>
      </c>
      <c r="I144" s="5">
        <v>48</v>
      </c>
      <c r="J144" s="5">
        <v>106</v>
      </c>
      <c r="K144" s="10">
        <f t="shared" si="203"/>
        <v>68</v>
      </c>
      <c r="L144" s="5">
        <v>22</v>
      </c>
      <c r="M144" s="5">
        <v>2</v>
      </c>
      <c r="N144" s="5">
        <v>14</v>
      </c>
      <c r="O144" s="5">
        <v>60</v>
      </c>
      <c r="P144" s="5">
        <v>0</v>
      </c>
      <c r="Q144" s="5">
        <v>0</v>
      </c>
      <c r="R144" s="5">
        <v>28</v>
      </c>
      <c r="S144" s="5">
        <v>130</v>
      </c>
      <c r="T144" s="5">
        <v>0.253</v>
      </c>
      <c r="U144" s="7">
        <f>(J144+R144+Z144)/(H144+R144+Z144+AB144)</f>
        <v>0.30769230769230771</v>
      </c>
      <c r="V144" s="5">
        <v>0.41499999999999998</v>
      </c>
      <c r="W144" s="5">
        <v>0.72299999999999998</v>
      </c>
      <c r="X144" s="5">
        <v>174</v>
      </c>
      <c r="Y144" s="5">
        <v>16</v>
      </c>
      <c r="Z144" s="5">
        <v>6</v>
      </c>
      <c r="AA144" s="5">
        <v>0</v>
      </c>
      <c r="AB144" s="5">
        <v>2</v>
      </c>
      <c r="AC144" s="5">
        <v>0</v>
      </c>
    </row>
    <row r="146" spans="1:39" x14ac:dyDescent="0.3">
      <c r="B146" s="10" t="s">
        <v>146</v>
      </c>
      <c r="C146" s="10" t="s">
        <v>176</v>
      </c>
      <c r="D146" s="10" t="s">
        <v>173</v>
      </c>
      <c r="E146" s="10" t="s">
        <v>171</v>
      </c>
      <c r="F146" s="10" t="s">
        <v>148</v>
      </c>
      <c r="G146" s="10" t="s">
        <v>149</v>
      </c>
      <c r="H146" s="10" t="s">
        <v>150</v>
      </c>
      <c r="I146" s="10" t="s">
        <v>151</v>
      </c>
      <c r="J146" s="10" t="s">
        <v>152</v>
      </c>
      <c r="K146" s="10" t="s">
        <v>184</v>
      </c>
      <c r="L146" s="10" t="s">
        <v>153</v>
      </c>
      <c r="M146" s="10" t="s">
        <v>154</v>
      </c>
      <c r="N146" s="10" t="s">
        <v>155</v>
      </c>
      <c r="O146" s="10" t="s">
        <v>156</v>
      </c>
      <c r="P146" s="10" t="s">
        <v>157</v>
      </c>
      <c r="Q146" s="10" t="s">
        <v>158</v>
      </c>
      <c r="R146" s="10" t="s">
        <v>159</v>
      </c>
      <c r="S146" s="10" t="s">
        <v>160</v>
      </c>
      <c r="T146" s="10" t="s">
        <v>161</v>
      </c>
      <c r="U146" s="10" t="s">
        <v>162</v>
      </c>
      <c r="V146" s="10" t="s">
        <v>163</v>
      </c>
      <c r="W146" s="10" t="s">
        <v>164</v>
      </c>
      <c r="X146" s="10" t="s">
        <v>165</v>
      </c>
      <c r="Y146" s="10" t="s">
        <v>166</v>
      </c>
      <c r="Z146" s="10" t="s">
        <v>167</v>
      </c>
      <c r="AA146" s="10" t="s">
        <v>168</v>
      </c>
      <c r="AB146" s="10" t="s">
        <v>169</v>
      </c>
      <c r="AC146" s="10" t="s">
        <v>170</v>
      </c>
      <c r="AD146" s="10" t="s">
        <v>185</v>
      </c>
      <c r="AE146" s="10" t="s">
        <v>504</v>
      </c>
      <c r="AF146" s="10" t="s">
        <v>496</v>
      </c>
      <c r="AG146" s="10" t="s">
        <v>502</v>
      </c>
      <c r="AH146" s="10" t="s">
        <v>461</v>
      </c>
      <c r="AI146" s="10" t="s">
        <v>431</v>
      </c>
      <c r="AJ146" s="10" t="s">
        <v>501</v>
      </c>
      <c r="AK146" s="10" t="s">
        <v>432</v>
      </c>
      <c r="AL146" s="10" t="s">
        <v>499</v>
      </c>
      <c r="AM146" s="10" t="s">
        <v>433</v>
      </c>
    </row>
    <row r="147" spans="1:39" x14ac:dyDescent="0.3">
      <c r="A147" s="10" t="s">
        <v>523</v>
      </c>
      <c r="B147" s="10" t="s">
        <v>519</v>
      </c>
      <c r="C147" s="10">
        <v>29</v>
      </c>
      <c r="D147" s="10">
        <v>2016</v>
      </c>
      <c r="E147" s="10" t="s">
        <v>175</v>
      </c>
      <c r="F147" s="5">
        <f>F142</f>
        <v>62</v>
      </c>
      <c r="G147" s="10">
        <f t="shared" ref="G147:Q147" si="204">G142</f>
        <v>244</v>
      </c>
      <c r="H147" s="10">
        <f t="shared" si="204"/>
        <v>215</v>
      </c>
      <c r="I147" s="10">
        <f t="shared" si="204"/>
        <v>28</v>
      </c>
      <c r="J147" s="9">
        <f>K147+L147+M147+N147</f>
        <v>65.191835364425145</v>
      </c>
      <c r="K147" s="9">
        <f>K142*(C3/C9)*(D9/D3)</f>
        <v>31.742754520683683</v>
      </c>
      <c r="L147" s="9">
        <f>L142*(C3/C9)*(D9/D3)*(1000/1030)</f>
        <v>14.598098655398729</v>
      </c>
      <c r="M147" s="9">
        <f>M142*(C3/C9)*(D9/D3)*(1000/940)</f>
        <v>1.7773098835769137</v>
      </c>
      <c r="N147" s="9">
        <f>N142*(C3/C9)*(1000/1060)</f>
        <v>17.073672304765822</v>
      </c>
      <c r="O147" s="10">
        <f t="shared" si="204"/>
        <v>24</v>
      </c>
      <c r="P147" s="9">
        <f>P142*(C3/C9)</f>
        <v>1.5081743869209809</v>
      </c>
      <c r="Q147" s="10">
        <f t="shared" si="204"/>
        <v>0</v>
      </c>
      <c r="R147" s="9">
        <f>R142*(C3/C9)*(1000/920)</f>
        <v>34.425719701457169</v>
      </c>
      <c r="S147" s="9">
        <f>S142*(C9/C3)</f>
        <v>53.044263775971096</v>
      </c>
      <c r="T147" s="7">
        <f>J147/H147</f>
        <v>0.30321783890430298</v>
      </c>
      <c r="U147" s="7">
        <f>(J147+R147+Z147)/(H147+R147+Z147+AB147)</f>
        <v>0.40639900001915047</v>
      </c>
      <c r="V147" s="7">
        <f>X147/H147</f>
        <v>0.62588637535476821</v>
      </c>
      <c r="W147" s="8">
        <f>U147+V147</f>
        <v>1.0322853753739187</v>
      </c>
      <c r="X147" s="9">
        <f>K147+2*L147+3*M147+4*N147</f>
        <v>134.56557070127516</v>
      </c>
      <c r="Y147" s="10">
        <f t="shared" ref="Y147:AC147" si="205">Y142</f>
        <v>3</v>
      </c>
      <c r="Z147" s="10">
        <f t="shared" si="205"/>
        <v>5</v>
      </c>
      <c r="AA147" s="10">
        <f t="shared" si="205"/>
        <v>0</v>
      </c>
      <c r="AB147" s="10">
        <f t="shared" si="205"/>
        <v>3</v>
      </c>
      <c r="AC147" s="10">
        <f t="shared" si="205"/>
        <v>0</v>
      </c>
      <c r="AD147" s="7">
        <f>(((R147-AC147)*0.72)+(Z147*$J$5)+($K$5*K147)+($L$5*L147)+($M$5*M147)+($N$5*N147))/(H147+R147-AC147+AB147+Z147)</f>
        <v>0.43662881631651745</v>
      </c>
      <c r="AE147" s="11">
        <f>(AD147-$G$5)/$H$5*G147</f>
        <v>16.599299162470615</v>
      </c>
      <c r="AF147" s="11">
        <f>AE147+AG147+AI147</f>
        <v>12.3282203966764</v>
      </c>
      <c r="AG147" s="11">
        <f>AH147*(G147/667)</f>
        <v>-4.5727136431784112</v>
      </c>
      <c r="AH147" s="10">
        <v>-12.5</v>
      </c>
      <c r="AI147" s="3">
        <f>(P147*$O$5)+(Q147*$P$5)/(K147+R147+Z147-AC147)</f>
        <v>0.3016348773841962</v>
      </c>
      <c r="AJ147" s="3">
        <f>G147/(VLOOKUP(D147,$F$3:$AD$5,25,0))</f>
        <v>13.942857142857143</v>
      </c>
      <c r="AK147" s="3">
        <f>AF147+20*(G147/600)</f>
        <v>20.461553730009733</v>
      </c>
      <c r="AL147" s="3">
        <f>(VLOOKUP(D147,$F$3:$AD$5,24,0))</f>
        <v>11.42</v>
      </c>
      <c r="AM147" s="3">
        <f t="shared" ref="AM147" si="206">AK147/AL147</f>
        <v>1.7917297486873671</v>
      </c>
    </row>
    <row r="148" spans="1:39" x14ac:dyDescent="0.3">
      <c r="A148" s="10" t="s">
        <v>523</v>
      </c>
      <c r="B148" s="10" t="s">
        <v>519</v>
      </c>
      <c r="C148" s="10">
        <v>29</v>
      </c>
      <c r="D148" s="10">
        <v>2016</v>
      </c>
      <c r="E148" s="10" t="s">
        <v>175</v>
      </c>
      <c r="F148" s="10">
        <f t="shared" ref="F148:Q149" si="207">F143</f>
        <v>31</v>
      </c>
      <c r="G148" s="10">
        <f t="shared" si="207"/>
        <v>128</v>
      </c>
      <c r="H148" s="10">
        <f t="shared" si="207"/>
        <v>116</v>
      </c>
      <c r="I148" s="10">
        <f t="shared" si="207"/>
        <v>18</v>
      </c>
      <c r="J148" s="9">
        <f t="shared" ref="J148:J149" si="208">K148+L148+M148+N148</f>
        <v>30.755434755091159</v>
      </c>
      <c r="K148" s="9">
        <f>K143*(C6/C9)*(D9/D6)*(1000/960)</f>
        <v>13.37349568574024</v>
      </c>
      <c r="L148" s="9">
        <f>L143*(C6/C9)*(D9/D6)*(1000/1060)</f>
        <v>5.5053841587952954</v>
      </c>
      <c r="M148" s="9">
        <f>M143*(C6/C9)*(D9/D6)</f>
        <v>0</v>
      </c>
      <c r="N148" s="9">
        <f>N143*(C6/C9)*(1000/920)</f>
        <v>11.876554910555621</v>
      </c>
      <c r="O148" s="10">
        <f t="shared" si="207"/>
        <v>19</v>
      </c>
      <c r="P148" s="10">
        <f t="shared" si="207"/>
        <v>0</v>
      </c>
      <c r="Q148" s="10">
        <f t="shared" si="207"/>
        <v>0</v>
      </c>
      <c r="R148" s="9">
        <f>R143*(C6/C9)</f>
        <v>6.5558583106267037</v>
      </c>
      <c r="S148" s="9">
        <f>S143*(C9/C6)</f>
        <v>29.286783042394013</v>
      </c>
      <c r="T148" s="7">
        <f t="shared" ref="T148:T149" si="209">J148/H148</f>
        <v>0.26513305823354449</v>
      </c>
      <c r="U148" s="7">
        <f>(J148+R148+Z148)/(H148+R148+Z148+AB148)</f>
        <v>0.33690641278335004</v>
      </c>
      <c r="V148" s="7">
        <f t="shared" ref="V148:V149" si="210">X148/H148</f>
        <v>0.61974554866856313</v>
      </c>
      <c r="W148" s="8">
        <f t="shared" ref="W148:W149" si="211">U148+V148</f>
        <v>0.95665196145191311</v>
      </c>
      <c r="X148" s="9">
        <f t="shared" ref="X148:X149" si="212">K148+2*L148+3*M148+4*N148</f>
        <v>71.890483645553317</v>
      </c>
      <c r="Y148" s="10">
        <f t="shared" ref="Y148:AC148" si="213">Y143</f>
        <v>4</v>
      </c>
      <c r="Z148" s="10">
        <f t="shared" si="213"/>
        <v>6</v>
      </c>
      <c r="AA148" s="10">
        <f t="shared" si="213"/>
        <v>0</v>
      </c>
      <c r="AB148" s="10">
        <f t="shared" si="213"/>
        <v>0</v>
      </c>
      <c r="AC148" s="10">
        <f t="shared" si="213"/>
        <v>0</v>
      </c>
      <c r="AD148" s="7">
        <f>(((R148-AC148)*0.72)+(Z148*$J$5)+($K$5*K148)+($L$5*L148)+($M$5*M148)+($N$5*N148))/(H148+R148-AC148+AB148+Z148)</f>
        <v>0.40090629740761241</v>
      </c>
      <c r="AE148" s="11">
        <f>(AD148-$G$5)/$H$5*G148</f>
        <v>4.539659132337639</v>
      </c>
      <c r="AF148" s="11">
        <f>AE148+AG148+AI148</f>
        <v>2.1408585326374889</v>
      </c>
      <c r="AG148" s="11">
        <f>AH148*(G148/667)</f>
        <v>-2.39880059970015</v>
      </c>
      <c r="AH148" s="10">
        <v>-12.5</v>
      </c>
      <c r="AI148" s="3">
        <f>(P148*$O$5)+(Q148*$P$5)/(K148+R148+Z148-AC148)</f>
        <v>0</v>
      </c>
      <c r="AJ148" s="3">
        <f>G148/(VLOOKUP(D148,$F$3:$AD$5,25,0))</f>
        <v>7.3142857142857141</v>
      </c>
      <c r="AK148" s="3">
        <f>AF148+20*(G148/600)</f>
        <v>6.4075251993041551</v>
      </c>
      <c r="AL148" s="3">
        <f>(VLOOKUP(D148,$F$3:$AD$5,24,0))</f>
        <v>11.42</v>
      </c>
      <c r="AM148" s="3">
        <f t="shared" ref="AM148:AM149" si="214">AK148/AL148</f>
        <v>0.56107926438740408</v>
      </c>
    </row>
    <row r="149" spans="1:39" x14ac:dyDescent="0.3">
      <c r="A149" s="10" t="s">
        <v>523</v>
      </c>
      <c r="B149" s="10" t="s">
        <v>519</v>
      </c>
      <c r="C149" s="10">
        <v>29</v>
      </c>
      <c r="D149" s="10">
        <v>2017</v>
      </c>
      <c r="E149" s="10" t="s">
        <v>175</v>
      </c>
      <c r="F149" s="10">
        <f t="shared" si="207"/>
        <v>111</v>
      </c>
      <c r="G149" s="10">
        <f t="shared" si="207"/>
        <v>455</v>
      </c>
      <c r="H149" s="10">
        <f t="shared" si="207"/>
        <v>419</v>
      </c>
      <c r="I149" s="10">
        <f t="shared" si="207"/>
        <v>48</v>
      </c>
      <c r="J149" s="9">
        <f t="shared" si="208"/>
        <v>124.20594733773636</v>
      </c>
      <c r="K149" s="9">
        <f>K144*(C6/C9)*(D9/D6)*(1000/940)</f>
        <v>84.431508545949967</v>
      </c>
      <c r="L149" s="9">
        <f>L144*(C6/C9)*(D9/D6)*(1000/1160)</f>
        <v>22.135441135018326</v>
      </c>
      <c r="M149" s="9">
        <f>M144*(C6/C9)*(D9/D6)*(1000/1150)</f>
        <v>2.0298112028949609</v>
      </c>
      <c r="N149" s="9">
        <f>N144*(C6/C9)*(1000/980)</f>
        <v>15.609186453873104</v>
      </c>
      <c r="O149" s="10">
        <f t="shared" si="207"/>
        <v>60</v>
      </c>
      <c r="P149" s="10">
        <f t="shared" si="207"/>
        <v>0</v>
      </c>
      <c r="Q149" s="10">
        <f t="shared" si="207"/>
        <v>0</v>
      </c>
      <c r="R149" s="9">
        <f>R144*(C6/C9)*(1000/1070)</f>
        <v>28.592528457561947</v>
      </c>
      <c r="S149" s="9">
        <f>S144*(C9/C6)</f>
        <v>118.97755610972568</v>
      </c>
      <c r="T149" s="7">
        <f t="shared" si="209"/>
        <v>0.29643424185617268</v>
      </c>
      <c r="U149" s="7">
        <f>(J149+R149+Z149)/(H149+R149+Z149+AB149)</f>
        <v>0.34855373140758222</v>
      </c>
      <c r="V149" s="7">
        <f t="shared" si="210"/>
        <v>0.47071257813881612</v>
      </c>
      <c r="W149" s="8">
        <f t="shared" si="211"/>
        <v>0.81926630954639834</v>
      </c>
      <c r="X149" s="9">
        <f t="shared" si="212"/>
        <v>197.22857024016395</v>
      </c>
      <c r="Y149" s="10">
        <f t="shared" ref="Y149:AC149" si="215">Y144</f>
        <v>16</v>
      </c>
      <c r="Z149" s="10">
        <f t="shared" si="215"/>
        <v>6</v>
      </c>
      <c r="AA149" s="10">
        <f t="shared" si="215"/>
        <v>0</v>
      </c>
      <c r="AB149" s="10">
        <f t="shared" si="215"/>
        <v>2</v>
      </c>
      <c r="AC149" s="10">
        <f t="shared" si="215"/>
        <v>0</v>
      </c>
      <c r="AD149" s="7">
        <f>(((R149-AC149)*0.72)+(Z149*$J$4)+($K$4*K149)+($L$4*L149)+($M$4*M149)+($N$4*N149))/(H149+R149-AC149+AB149+Z149)</f>
        <v>0.36017855507640684</v>
      </c>
      <c r="AE149" s="11">
        <f t="shared" ref="AE149" si="216">(AD149-$G$5)/$H$5*G149</f>
        <v>-0.75547624451675843</v>
      </c>
      <c r="AF149" s="11">
        <f t="shared" ref="AF149" si="217">AE149+AG149+AI149</f>
        <v>-9.2824627512633864</v>
      </c>
      <c r="AG149" s="11">
        <f t="shared" ref="AG149" si="218">AH149*(G149/667)</f>
        <v>-8.5269865067466277</v>
      </c>
      <c r="AH149" s="10">
        <v>-12.5</v>
      </c>
      <c r="AI149" s="3">
        <f>(P149*$O$3)+(Q149*$P$3)/(K149+R149+Z149-AC149)</f>
        <v>0</v>
      </c>
      <c r="AJ149" s="3">
        <f t="shared" ref="AJ149" si="219">G149/(VLOOKUP(D149,$F$3:$AD$5,25,0))</f>
        <v>25</v>
      </c>
      <c r="AK149" s="3">
        <f>AF149+20*(G149/600)</f>
        <v>5.8842039154032797</v>
      </c>
      <c r="AL149" s="3">
        <f t="shared" ref="AL149" si="220">(VLOOKUP(D149,$F$3:$AD$5,24,0))</f>
        <v>10.77</v>
      </c>
      <c r="AM149" s="3">
        <f t="shared" si="214"/>
        <v>0.54635133847755613</v>
      </c>
    </row>
    <row r="150" spans="1:39" x14ac:dyDescent="0.3">
      <c r="A150" s="10"/>
      <c r="E150" s="10"/>
      <c r="F150" s="10"/>
      <c r="T150" s="7"/>
      <c r="U150" s="7"/>
      <c r="V150" s="7"/>
      <c r="W150" s="8"/>
      <c r="X150" s="9"/>
    </row>
    <row r="151" spans="1:39" x14ac:dyDescent="0.3">
      <c r="B151" s="10" t="s">
        <v>146</v>
      </c>
      <c r="C151" s="10" t="s">
        <v>176</v>
      </c>
      <c r="D151" s="10" t="s">
        <v>173</v>
      </c>
      <c r="E151" s="10" t="s">
        <v>171</v>
      </c>
      <c r="F151" s="10" t="s">
        <v>148</v>
      </c>
      <c r="G151" s="10" t="s">
        <v>149</v>
      </c>
      <c r="H151" s="10" t="s">
        <v>150</v>
      </c>
      <c r="I151" s="10" t="s">
        <v>151</v>
      </c>
      <c r="J151" s="10" t="s">
        <v>152</v>
      </c>
      <c r="K151" s="10" t="s">
        <v>184</v>
      </c>
      <c r="L151" s="10" t="s">
        <v>153</v>
      </c>
      <c r="M151" s="10" t="s">
        <v>154</v>
      </c>
      <c r="N151" s="10" t="s">
        <v>155</v>
      </c>
      <c r="O151" s="10" t="s">
        <v>156</v>
      </c>
      <c r="P151" s="10" t="s">
        <v>157</v>
      </c>
      <c r="Q151" s="10" t="s">
        <v>158</v>
      </c>
      <c r="R151" s="10" t="s">
        <v>159</v>
      </c>
      <c r="S151" s="10" t="s">
        <v>160</v>
      </c>
      <c r="T151" s="10" t="s">
        <v>161</v>
      </c>
      <c r="U151" s="10" t="s">
        <v>162</v>
      </c>
      <c r="V151" s="10" t="s">
        <v>163</v>
      </c>
      <c r="W151" s="10" t="s">
        <v>164</v>
      </c>
      <c r="X151" s="10" t="s">
        <v>165</v>
      </c>
      <c r="Y151" s="10" t="s">
        <v>166</v>
      </c>
      <c r="Z151" s="10" t="s">
        <v>167</v>
      </c>
      <c r="AA151" s="10" t="s">
        <v>168</v>
      </c>
      <c r="AB151" s="10" t="s">
        <v>169</v>
      </c>
      <c r="AC151" s="10" t="s">
        <v>170</v>
      </c>
    </row>
    <row r="152" spans="1:39" x14ac:dyDescent="0.3">
      <c r="B152" s="5" t="s">
        <v>521</v>
      </c>
      <c r="C152" s="5">
        <v>28</v>
      </c>
      <c r="D152" s="5">
        <v>2016</v>
      </c>
      <c r="E152" s="5" t="s">
        <v>518</v>
      </c>
      <c r="F152" s="5">
        <v>95</v>
      </c>
      <c r="G152" s="5">
        <v>346</v>
      </c>
      <c r="H152" s="5">
        <v>305</v>
      </c>
      <c r="I152" s="5">
        <v>36</v>
      </c>
      <c r="J152" s="5">
        <v>92</v>
      </c>
      <c r="K152" s="5">
        <f>J152-L152-M152-N152</f>
        <v>69</v>
      </c>
      <c r="L152" s="5">
        <v>16</v>
      </c>
      <c r="M152" s="5">
        <v>1</v>
      </c>
      <c r="N152" s="5">
        <v>6</v>
      </c>
      <c r="O152" s="5">
        <v>22</v>
      </c>
      <c r="P152" s="5">
        <v>1</v>
      </c>
      <c r="Q152" s="5">
        <v>3</v>
      </c>
      <c r="R152" s="5">
        <v>36</v>
      </c>
      <c r="S152" s="5">
        <v>51</v>
      </c>
      <c r="T152" s="5">
        <v>0.30199999999999999</v>
      </c>
      <c r="U152" s="7">
        <f>(J152+R152+Z152)/(H152+R152+Z152+AB152)</f>
        <v>0.38150289017341038</v>
      </c>
      <c r="V152" s="5">
        <v>0.42</v>
      </c>
      <c r="W152" s="5">
        <v>0.80100000000000005</v>
      </c>
      <c r="X152" s="5">
        <v>128</v>
      </c>
      <c r="Y152" s="5">
        <v>5</v>
      </c>
      <c r="Z152" s="5">
        <v>4</v>
      </c>
      <c r="AA152" s="5">
        <v>0</v>
      </c>
      <c r="AB152" s="5">
        <v>1</v>
      </c>
      <c r="AC152" s="5">
        <v>0</v>
      </c>
    </row>
    <row r="153" spans="1:39" x14ac:dyDescent="0.3">
      <c r="B153" s="10" t="s">
        <v>521</v>
      </c>
      <c r="C153" s="5">
        <v>29</v>
      </c>
      <c r="D153" s="5">
        <v>2017</v>
      </c>
      <c r="E153" s="5" t="s">
        <v>518</v>
      </c>
      <c r="F153" s="5">
        <v>56</v>
      </c>
      <c r="G153" s="5">
        <v>141</v>
      </c>
      <c r="H153" s="5">
        <v>125</v>
      </c>
      <c r="I153" s="5">
        <v>11</v>
      </c>
      <c r="J153" s="5">
        <v>29</v>
      </c>
      <c r="K153" s="10">
        <f t="shared" ref="K153:K154" si="221">J153-L153-M153-N153</f>
        <v>24</v>
      </c>
      <c r="L153" s="10">
        <v>4</v>
      </c>
      <c r="M153" s="10">
        <v>0</v>
      </c>
      <c r="N153" s="5">
        <v>1</v>
      </c>
      <c r="O153" s="5">
        <v>10</v>
      </c>
      <c r="P153" s="5">
        <v>0</v>
      </c>
      <c r="Q153" s="5">
        <v>0</v>
      </c>
      <c r="R153" s="5">
        <v>12</v>
      </c>
      <c r="S153" s="5">
        <v>27</v>
      </c>
      <c r="T153" s="5">
        <v>0.23200000000000001</v>
      </c>
      <c r="U153" s="7">
        <f>(J153+R153+Z153)/(H153+R153+Z153+AB153)</f>
        <v>0.30496453900709219</v>
      </c>
      <c r="V153" s="5">
        <v>0.28799999999999998</v>
      </c>
      <c r="W153" s="5">
        <v>0.59299999999999997</v>
      </c>
      <c r="X153" s="5">
        <v>36</v>
      </c>
      <c r="Y153" s="5">
        <v>2</v>
      </c>
      <c r="Z153" s="5">
        <v>2</v>
      </c>
      <c r="AA153" s="5">
        <v>0</v>
      </c>
      <c r="AB153" s="5">
        <v>2</v>
      </c>
      <c r="AC153" s="5">
        <v>0</v>
      </c>
    </row>
    <row r="154" spans="1:39" x14ac:dyDescent="0.3">
      <c r="B154" s="10" t="s">
        <v>521</v>
      </c>
      <c r="C154" s="5">
        <v>29</v>
      </c>
      <c r="D154" s="5">
        <v>2017</v>
      </c>
      <c r="E154" s="5" t="s">
        <v>522</v>
      </c>
      <c r="F154" s="5">
        <v>40</v>
      </c>
      <c r="G154" s="5">
        <v>97</v>
      </c>
      <c r="H154" s="5">
        <v>87</v>
      </c>
      <c r="I154" s="5">
        <v>9</v>
      </c>
      <c r="J154" s="5">
        <v>20</v>
      </c>
      <c r="K154" s="10">
        <f t="shared" si="221"/>
        <v>15</v>
      </c>
      <c r="L154" s="10">
        <v>4</v>
      </c>
      <c r="M154" s="10">
        <v>1</v>
      </c>
      <c r="N154" s="5">
        <v>0</v>
      </c>
      <c r="O154" s="5">
        <v>4</v>
      </c>
      <c r="P154" s="5">
        <v>0</v>
      </c>
      <c r="Q154" s="5">
        <v>0</v>
      </c>
      <c r="R154" s="5">
        <v>10</v>
      </c>
      <c r="S154" s="5">
        <v>19</v>
      </c>
      <c r="T154" s="5">
        <v>0.23</v>
      </c>
      <c r="U154" s="7">
        <f>(J154+R154+Z154)/(H154+R154+Z154+AB154)</f>
        <v>0.30927835051546393</v>
      </c>
      <c r="V154" s="5">
        <v>0.29899999999999999</v>
      </c>
      <c r="W154" s="5">
        <v>0.60799999999999998</v>
      </c>
      <c r="X154" s="5">
        <v>26</v>
      </c>
      <c r="Y154" s="5">
        <v>1</v>
      </c>
      <c r="Z154" s="5">
        <v>0</v>
      </c>
      <c r="AA154" s="5">
        <v>0</v>
      </c>
      <c r="AB154" s="5">
        <v>0</v>
      </c>
      <c r="AC154" s="5">
        <v>1</v>
      </c>
    </row>
    <row r="156" spans="1:39" x14ac:dyDescent="0.3">
      <c r="B156" s="10" t="s">
        <v>146</v>
      </c>
      <c r="C156" s="10" t="s">
        <v>176</v>
      </c>
      <c r="D156" s="10" t="s">
        <v>173</v>
      </c>
      <c r="E156" s="10" t="s">
        <v>171</v>
      </c>
      <c r="F156" s="10" t="s">
        <v>148</v>
      </c>
      <c r="G156" s="10" t="s">
        <v>149</v>
      </c>
      <c r="H156" s="10" t="s">
        <v>150</v>
      </c>
      <c r="I156" s="10" t="s">
        <v>151</v>
      </c>
      <c r="J156" s="10" t="s">
        <v>152</v>
      </c>
      <c r="K156" s="10" t="s">
        <v>184</v>
      </c>
      <c r="L156" s="10" t="s">
        <v>153</v>
      </c>
      <c r="M156" s="10" t="s">
        <v>154</v>
      </c>
      <c r="N156" s="10" t="s">
        <v>155</v>
      </c>
      <c r="O156" s="10" t="s">
        <v>156</v>
      </c>
      <c r="P156" s="10" t="s">
        <v>157</v>
      </c>
      <c r="Q156" s="10" t="s">
        <v>158</v>
      </c>
      <c r="R156" s="10" t="s">
        <v>159</v>
      </c>
      <c r="S156" s="10" t="s">
        <v>160</v>
      </c>
      <c r="T156" s="10" t="s">
        <v>161</v>
      </c>
      <c r="U156" s="10" t="s">
        <v>162</v>
      </c>
      <c r="V156" s="10" t="s">
        <v>163</v>
      </c>
      <c r="W156" s="10" t="s">
        <v>164</v>
      </c>
      <c r="X156" s="10" t="s">
        <v>165</v>
      </c>
      <c r="Y156" s="10" t="s">
        <v>166</v>
      </c>
      <c r="Z156" s="10" t="s">
        <v>167</v>
      </c>
      <c r="AA156" s="10" t="s">
        <v>168</v>
      </c>
      <c r="AB156" s="10" t="s">
        <v>169</v>
      </c>
      <c r="AC156" s="10" t="s">
        <v>170</v>
      </c>
      <c r="AD156" s="10" t="s">
        <v>185</v>
      </c>
      <c r="AE156" s="10" t="s">
        <v>504</v>
      </c>
      <c r="AF156" s="10" t="s">
        <v>496</v>
      </c>
      <c r="AG156" s="10" t="s">
        <v>502</v>
      </c>
      <c r="AH156" s="10" t="s">
        <v>461</v>
      </c>
      <c r="AI156" s="10" t="s">
        <v>431</v>
      </c>
      <c r="AJ156" s="10" t="s">
        <v>501</v>
      </c>
      <c r="AK156" s="10" t="s">
        <v>432</v>
      </c>
      <c r="AL156" s="10" t="s">
        <v>499</v>
      </c>
      <c r="AM156" s="10" t="s">
        <v>433</v>
      </c>
    </row>
    <row r="157" spans="1:39" x14ac:dyDescent="0.3">
      <c r="A157" s="10" t="s">
        <v>523</v>
      </c>
      <c r="B157" s="10" t="s">
        <v>521</v>
      </c>
      <c r="C157" s="10">
        <v>28</v>
      </c>
      <c r="D157" s="10">
        <v>2016</v>
      </c>
      <c r="E157" s="10" t="s">
        <v>175</v>
      </c>
      <c r="F157" s="5">
        <f>F152</f>
        <v>95</v>
      </c>
      <c r="G157" s="10">
        <f t="shared" ref="G157:O157" si="222">G152</f>
        <v>346</v>
      </c>
      <c r="H157" s="10">
        <f t="shared" si="222"/>
        <v>305</v>
      </c>
      <c r="I157" s="10">
        <f t="shared" si="222"/>
        <v>36</v>
      </c>
      <c r="J157" s="9">
        <f>K157+L157+M157+N157</f>
        <v>155.89827601827443</v>
      </c>
      <c r="K157" s="9">
        <f>K152*(C3/C9)*(D9/D3)*(1000/1020)</f>
        <v>113.01599906744964</v>
      </c>
      <c r="L157" s="9">
        <f>L152*(C3/C9)*(D9/D3)*(1000/830)</f>
        <v>32.205711625297333</v>
      </c>
      <c r="M157" s="9">
        <f>M152*(C3/C9)*(D9/D3)*(1000/610)</f>
        <v>2.7388053943644244</v>
      </c>
      <c r="N157" s="9">
        <f>N152*(C3/C9)*(1000/1140)</f>
        <v>7.9377599311630576</v>
      </c>
      <c r="O157" s="10">
        <f t="shared" si="222"/>
        <v>22</v>
      </c>
      <c r="P157" s="9">
        <f>P152*(C3/C9)</f>
        <v>1.5081743869209809</v>
      </c>
      <c r="Q157" s="9">
        <f>Q152*(C9/C3)</f>
        <v>1.9891598915989159</v>
      </c>
      <c r="R157" s="9">
        <f>R152*(C3/C9)*(1000/970)</f>
        <v>55.973482401191042</v>
      </c>
      <c r="S157" s="9">
        <f>S152*(C9/C3)</f>
        <v>33.815718157181571</v>
      </c>
      <c r="T157" s="7">
        <f>J157/H157</f>
        <v>0.51114188858450638</v>
      </c>
      <c r="U157" s="7">
        <f>(J157+R157+Z157)/(H157+R157+Z157+AB157)</f>
        <v>0.58985628413049995</v>
      </c>
      <c r="V157" s="7">
        <f>X157/H157</f>
        <v>0.71277009254357315</v>
      </c>
      <c r="W157" s="8">
        <f>U157+V157</f>
        <v>1.3026263766740731</v>
      </c>
      <c r="X157" s="9">
        <f>K157+2*L157+3*M157+4*N157</f>
        <v>217.3948782257898</v>
      </c>
      <c r="Y157" s="10">
        <f t="shared" ref="Y157:AB159" si="223">Y152</f>
        <v>5</v>
      </c>
      <c r="Z157" s="10">
        <f t="shared" si="223"/>
        <v>4</v>
      </c>
      <c r="AA157" s="10">
        <f t="shared" si="223"/>
        <v>0</v>
      </c>
      <c r="AB157" s="10">
        <f t="shared" si="223"/>
        <v>1</v>
      </c>
      <c r="AC157" s="10">
        <f t="shared" ref="AC157" si="224">AC152</f>
        <v>0</v>
      </c>
      <c r="AD157" s="7">
        <f>(((R157-AC157)*0.72)+(Z157*$J$5)+($K$5*K157)+($L$5*L157)+($M$5*M157)+($N$5*N157))/(H157+R157-AC157+AB157+Z157)</f>
        <v>0.57502782436554445</v>
      </c>
      <c r="AE157" s="11">
        <f>(AD157-$G$5)/$H$5*G157</f>
        <v>67.190179790773371</v>
      </c>
      <c r="AF157" s="11">
        <f>AE157+AG157+AI157</f>
        <v>63.606951818446547</v>
      </c>
      <c r="AG157" s="11">
        <f>AH157*(G157/667)</f>
        <v>-3.8905547226386807</v>
      </c>
      <c r="AH157" s="10">
        <v>-7.5</v>
      </c>
      <c r="AI157" s="3">
        <f>(P157*$O$5)+(Q157*$P$5)/(K157+R157+Z157-AC157)</f>
        <v>0.30732675031185713</v>
      </c>
      <c r="AJ157" s="3">
        <f>G157/(VLOOKUP(D157,$F$3:$AD$5,25,0))</f>
        <v>19.771428571428572</v>
      </c>
      <c r="AK157" s="3">
        <f>AF157+20*(G157/600)</f>
        <v>75.140285151779878</v>
      </c>
      <c r="AL157" s="3">
        <f>(VLOOKUP(D157,$F$3:$AD$5,24,0))</f>
        <v>11.42</v>
      </c>
      <c r="AM157" s="3">
        <f t="shared" ref="AM157:AM159" si="225">AK157/AL157</f>
        <v>6.5797097330805494</v>
      </c>
    </row>
    <row r="158" spans="1:39" x14ac:dyDescent="0.3">
      <c r="A158" s="10" t="s">
        <v>523</v>
      </c>
      <c r="B158" s="10" t="s">
        <v>521</v>
      </c>
      <c r="C158" s="10">
        <v>29</v>
      </c>
      <c r="D158" s="10">
        <v>2017</v>
      </c>
      <c r="E158" s="10" t="s">
        <v>175</v>
      </c>
      <c r="F158" s="10">
        <f>F153</f>
        <v>56</v>
      </c>
      <c r="G158" s="10">
        <f t="shared" ref="G158:Q158" si="226">G153</f>
        <v>141</v>
      </c>
      <c r="H158" s="10">
        <f t="shared" si="226"/>
        <v>125</v>
      </c>
      <c r="I158" s="10">
        <f t="shared" si="226"/>
        <v>11</v>
      </c>
      <c r="J158" s="9">
        <f t="shared" ref="J158:J159" si="227">K158+L158+M158+N158</f>
        <v>47.544371036444367</v>
      </c>
      <c r="K158" s="9">
        <f>K153*(C3/C9)*(D9/D3)*(1000/1040)</f>
        <v>38.553952859129978</v>
      </c>
      <c r="L158" s="9">
        <f>L153*(C3/C9)*(D9/D3)*(1000/880)</f>
        <v>7.5939604116468136</v>
      </c>
      <c r="M158" s="9">
        <f>M153*(C3/C9)*(D9/D3)*(1000/630)</f>
        <v>0</v>
      </c>
      <c r="N158" s="9">
        <f>N153*(C3/C9)*(1000/1080)</f>
        <v>1.396457765667575</v>
      </c>
      <c r="O158" s="10">
        <f t="shared" si="226"/>
        <v>10</v>
      </c>
      <c r="P158" s="9">
        <f t="shared" si="226"/>
        <v>0</v>
      </c>
      <c r="Q158" s="9">
        <f t="shared" si="226"/>
        <v>0</v>
      </c>
      <c r="R158" s="9">
        <f>R153*(C3/C9)*(1000/1010)</f>
        <v>17.918903606981953</v>
      </c>
      <c r="S158" s="9">
        <f>S153*(C9/C3)</f>
        <v>17.902439024390244</v>
      </c>
      <c r="T158" s="7">
        <f t="shared" ref="T158:T159" si="228">J158/H158</f>
        <v>0.38035496829155496</v>
      </c>
      <c r="U158" s="7">
        <f t="shared" ref="U158:U159" si="229">(J158+R158+Z158)/(H158+R158+Z158+AB158)</f>
        <v>0.45918716371512791</v>
      </c>
      <c r="V158" s="7">
        <f t="shared" ref="V158:V159" si="230">X158/H158</f>
        <v>0.47462163796075124</v>
      </c>
      <c r="W158" s="8">
        <f t="shared" ref="W158:W159" si="231">U158+V158</f>
        <v>0.93380880167587921</v>
      </c>
      <c r="X158" s="9">
        <f t="shared" ref="X158:X159" si="232">K158+2*L158+3*M158+4*N158</f>
        <v>59.327704745093904</v>
      </c>
      <c r="Y158" s="10">
        <f t="shared" si="223"/>
        <v>2</v>
      </c>
      <c r="Z158" s="10">
        <f t="shared" si="223"/>
        <v>2</v>
      </c>
      <c r="AA158" s="10">
        <f t="shared" si="223"/>
        <v>0</v>
      </c>
      <c r="AB158" s="10">
        <f t="shared" si="223"/>
        <v>2</v>
      </c>
      <c r="AC158" s="10">
        <f t="shared" ref="AC158" si="233">AC153</f>
        <v>0</v>
      </c>
      <c r="AD158" s="7">
        <f>(((R158-AC158)*0.72)+(Z158*$J$4)+($K$4*K158)+($L$4*L158)+($M$4*M158)+($N$4*N158))/(H158+R158-AC158+AB158+Z158)</f>
        <v>0.42451029606835411</v>
      </c>
      <c r="AE158" s="11">
        <f t="shared" ref="AE158:AE159" si="234">(AD158-$G$5)/$H$5*G158</f>
        <v>8.0345959395058628</v>
      </c>
      <c r="AF158" s="11">
        <f t="shared" ref="AF158:AF159" si="235">AE158+AG158+AI158</f>
        <v>6.4491386681415452</v>
      </c>
      <c r="AG158" s="11">
        <f t="shared" ref="AG158:AG159" si="236">AH158*(G158/667)</f>
        <v>-1.5854572713643178</v>
      </c>
      <c r="AH158" s="10">
        <v>-7.5</v>
      </c>
      <c r="AI158" s="3">
        <f>(P158*$O$3)+(Q158*$P$3)/(K158+R158+Z158-AC158)</f>
        <v>0</v>
      </c>
      <c r="AJ158" s="3">
        <f t="shared" ref="AJ158:AJ159" si="237">G158/(VLOOKUP(D158,$F$3:$AD$5,25,0))</f>
        <v>7.7472527472527473</v>
      </c>
      <c r="AK158" s="3">
        <f>AF158+20*(G158/600)</f>
        <v>11.149138668141545</v>
      </c>
      <c r="AL158" s="3">
        <f t="shared" ref="AL158:AL159" si="238">(VLOOKUP(D158,$F$3:$AD$5,24,0))</f>
        <v>10.77</v>
      </c>
      <c r="AM158" s="3">
        <f t="shared" si="225"/>
        <v>1.0352032189546467</v>
      </c>
    </row>
    <row r="159" spans="1:39" x14ac:dyDescent="0.3">
      <c r="A159" s="10" t="s">
        <v>523</v>
      </c>
      <c r="B159" s="10" t="s">
        <v>521</v>
      </c>
      <c r="C159" s="10">
        <v>29</v>
      </c>
      <c r="D159" s="10">
        <v>2017</v>
      </c>
      <c r="E159" s="10" t="s">
        <v>175</v>
      </c>
      <c r="F159" s="10">
        <f>F154</f>
        <v>40</v>
      </c>
      <c r="G159" s="10">
        <f t="shared" ref="G159:Q159" si="239">G154</f>
        <v>97</v>
      </c>
      <c r="H159" s="10">
        <f t="shared" si="239"/>
        <v>87</v>
      </c>
      <c r="I159" s="10">
        <f t="shared" si="239"/>
        <v>9</v>
      </c>
      <c r="J159" s="9">
        <f t="shared" si="227"/>
        <v>31.709006504646837</v>
      </c>
      <c r="K159" s="9">
        <f>K154*(C4/C9)*(D9/D4)*(1000/940)</f>
        <v>23.841961852861036</v>
      </c>
      <c r="L159" s="9">
        <f>L154*(C4/C9)*(D9/D4)*(1000/940)</f>
        <v>6.3578564940962767</v>
      </c>
      <c r="M159" s="9">
        <f>M154*(C4/C9)*(D9/D4)*(1000/990)</f>
        <v>1.5091881576895203</v>
      </c>
      <c r="N159" s="9">
        <f t="shared" si="239"/>
        <v>0</v>
      </c>
      <c r="O159" s="10">
        <f t="shared" si="239"/>
        <v>4</v>
      </c>
      <c r="P159" s="9">
        <f t="shared" si="239"/>
        <v>0</v>
      </c>
      <c r="Q159" s="9">
        <f t="shared" si="239"/>
        <v>0</v>
      </c>
      <c r="R159" s="9">
        <f>R154*(C4/C9)*(1000/1070)</f>
        <v>12.732689908069981</v>
      </c>
      <c r="S159" s="9">
        <f>S154*(C9/C4)</f>
        <v>13.946</v>
      </c>
      <c r="T159" s="7">
        <f t="shared" si="228"/>
        <v>0.3644713391338717</v>
      </c>
      <c r="U159" s="7">
        <f t="shared" si="229"/>
        <v>0.44560811960132207</v>
      </c>
      <c r="V159" s="7">
        <f t="shared" si="230"/>
        <v>0.47224413004738103</v>
      </c>
      <c r="W159" s="8">
        <f t="shared" si="231"/>
        <v>0.91785224964870316</v>
      </c>
      <c r="X159" s="9">
        <f t="shared" si="232"/>
        <v>41.085239314122148</v>
      </c>
      <c r="Y159" s="10">
        <f t="shared" si="223"/>
        <v>1</v>
      </c>
      <c r="Z159" s="10">
        <f t="shared" si="223"/>
        <v>0</v>
      </c>
      <c r="AA159" s="10">
        <f t="shared" si="223"/>
        <v>0</v>
      </c>
      <c r="AB159" s="10">
        <f t="shared" si="223"/>
        <v>0</v>
      </c>
      <c r="AC159" s="10">
        <f t="shared" ref="AC159" si="240">AC154</f>
        <v>1</v>
      </c>
      <c r="AD159" s="7">
        <f>(((R159-AC159)*0.72)+(Z159*$J$4)+($K$4*K159)+($L$4*L159)+($M$4*M159)+($N$4*N159))/(H159+R159-AC159+AB159+Z159)</f>
        <v>0.41429937627797436</v>
      </c>
      <c r="AE159" s="11">
        <f t="shared" si="234"/>
        <v>4.6244662707051178</v>
      </c>
      <c r="AF159" s="11">
        <f t="shared" si="235"/>
        <v>3.5337616230289557</v>
      </c>
      <c r="AG159" s="11">
        <f t="shared" si="236"/>
        <v>-1.0907046476761619</v>
      </c>
      <c r="AH159" s="10">
        <v>-7.5</v>
      </c>
      <c r="AI159" s="3">
        <f>(P159*$O$3)+(Q159*$P$3)/(K159+R159+Z159-AC159)</f>
        <v>0</v>
      </c>
      <c r="AJ159" s="3">
        <f t="shared" si="237"/>
        <v>5.3296703296703303</v>
      </c>
      <c r="AK159" s="3">
        <f>AF159+20*(G159/600)</f>
        <v>6.7670949563622891</v>
      </c>
      <c r="AL159" s="3">
        <f t="shared" si="238"/>
        <v>10.77</v>
      </c>
      <c r="AM159" s="3">
        <f t="shared" si="225"/>
        <v>0.62832822250346232</v>
      </c>
    </row>
    <row r="161" spans="1:40" x14ac:dyDescent="0.3">
      <c r="B161" s="10" t="s">
        <v>146</v>
      </c>
      <c r="C161" s="10" t="s">
        <v>176</v>
      </c>
      <c r="D161" s="10" t="s">
        <v>173</v>
      </c>
      <c r="E161" s="10" t="s">
        <v>171</v>
      </c>
      <c r="F161" s="10" t="s">
        <v>148</v>
      </c>
      <c r="G161" s="10" t="s">
        <v>149</v>
      </c>
      <c r="H161" s="10" t="s">
        <v>150</v>
      </c>
      <c r="I161" s="10" t="s">
        <v>151</v>
      </c>
      <c r="J161" s="10" t="s">
        <v>152</v>
      </c>
      <c r="K161" s="10" t="s">
        <v>184</v>
      </c>
      <c r="L161" s="10" t="s">
        <v>153</v>
      </c>
      <c r="M161" s="10" t="s">
        <v>154</v>
      </c>
      <c r="N161" s="10" t="s">
        <v>155</v>
      </c>
      <c r="O161" s="10" t="s">
        <v>156</v>
      </c>
      <c r="P161" s="10" t="s">
        <v>157</v>
      </c>
      <c r="Q161" s="10" t="s">
        <v>158</v>
      </c>
      <c r="R161" s="10" t="s">
        <v>159</v>
      </c>
      <c r="S161" s="10" t="s">
        <v>160</v>
      </c>
      <c r="T161" s="10" t="s">
        <v>161</v>
      </c>
      <c r="U161" s="10" t="s">
        <v>162</v>
      </c>
      <c r="V161" s="10" t="s">
        <v>163</v>
      </c>
      <c r="W161" s="10" t="s">
        <v>164</v>
      </c>
      <c r="X161" s="10" t="s">
        <v>165</v>
      </c>
      <c r="Y161" s="10" t="s">
        <v>166</v>
      </c>
      <c r="Z161" s="10" t="s">
        <v>167</v>
      </c>
      <c r="AA161" s="10" t="s">
        <v>168</v>
      </c>
      <c r="AB161" s="10" t="s">
        <v>169</v>
      </c>
      <c r="AC161" s="10" t="s">
        <v>170</v>
      </c>
    </row>
    <row r="162" spans="1:40" x14ac:dyDescent="0.3">
      <c r="B162" s="5" t="s">
        <v>525</v>
      </c>
      <c r="C162" s="5">
        <v>34</v>
      </c>
      <c r="D162" s="5">
        <v>2016</v>
      </c>
      <c r="E162" s="5" t="s">
        <v>526</v>
      </c>
      <c r="F162" s="5">
        <v>104</v>
      </c>
      <c r="G162" s="5">
        <v>317</v>
      </c>
      <c r="H162" s="5">
        <v>292</v>
      </c>
      <c r="I162" s="5">
        <v>33</v>
      </c>
      <c r="J162" s="5">
        <v>74</v>
      </c>
      <c r="K162" s="10">
        <f>J162-L162-M162-N162</f>
        <v>51</v>
      </c>
      <c r="L162" s="5">
        <v>9</v>
      </c>
      <c r="M162" s="5">
        <v>0</v>
      </c>
      <c r="N162" s="5">
        <v>14</v>
      </c>
      <c r="O162" s="5">
        <v>49</v>
      </c>
      <c r="P162" s="5">
        <v>0</v>
      </c>
      <c r="Q162" s="5">
        <v>0</v>
      </c>
      <c r="R162" s="5">
        <v>20</v>
      </c>
      <c r="S162" s="5">
        <v>74</v>
      </c>
      <c r="T162" s="5">
        <v>0.253</v>
      </c>
      <c r="U162" s="5">
        <v>0.312</v>
      </c>
      <c r="V162" s="5">
        <v>0.42799999999999999</v>
      </c>
      <c r="W162" s="5">
        <v>0.74</v>
      </c>
      <c r="X162" s="5">
        <v>125</v>
      </c>
      <c r="Y162" s="5">
        <v>8</v>
      </c>
      <c r="Z162" s="5">
        <v>5</v>
      </c>
      <c r="AA162" s="5">
        <v>0</v>
      </c>
      <c r="AB162" s="5">
        <v>0</v>
      </c>
      <c r="AC162" s="5">
        <v>2</v>
      </c>
    </row>
    <row r="163" spans="1:40" x14ac:dyDescent="0.3">
      <c r="B163" s="10" t="s">
        <v>525</v>
      </c>
      <c r="C163" s="5">
        <v>34</v>
      </c>
      <c r="D163" s="5">
        <v>2016</v>
      </c>
      <c r="E163" s="5" t="s">
        <v>527</v>
      </c>
      <c r="F163" s="5">
        <v>7</v>
      </c>
      <c r="G163" s="5">
        <v>29</v>
      </c>
      <c r="H163" s="5">
        <v>27</v>
      </c>
      <c r="I163" s="5">
        <v>3</v>
      </c>
      <c r="J163" s="5">
        <v>14</v>
      </c>
      <c r="K163" s="10">
        <f>J163-L163-M163-N163</f>
        <v>8</v>
      </c>
      <c r="L163" s="5">
        <v>4</v>
      </c>
      <c r="M163" s="5">
        <v>0</v>
      </c>
      <c r="N163" s="5">
        <v>2</v>
      </c>
      <c r="O163" s="5">
        <v>6</v>
      </c>
      <c r="P163" s="5">
        <v>0</v>
      </c>
      <c r="Q163" s="5">
        <v>0</v>
      </c>
      <c r="R163" s="5">
        <v>2</v>
      </c>
      <c r="S163" s="5">
        <v>2</v>
      </c>
      <c r="T163" s="5">
        <v>0.51900000000000002</v>
      </c>
      <c r="U163" s="5">
        <v>0.55200000000000005</v>
      </c>
      <c r="V163" s="5">
        <v>0.88900000000000001</v>
      </c>
      <c r="W163" s="5">
        <v>1.4410000000000001</v>
      </c>
      <c r="X163" s="5">
        <v>24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</row>
    <row r="165" spans="1:40" x14ac:dyDescent="0.3">
      <c r="B165" s="10" t="s">
        <v>146</v>
      </c>
      <c r="C165" s="10" t="s">
        <v>176</v>
      </c>
      <c r="D165" s="10" t="s">
        <v>173</v>
      </c>
      <c r="E165" s="10" t="s">
        <v>171</v>
      </c>
      <c r="F165" s="10" t="s">
        <v>148</v>
      </c>
      <c r="G165" s="10" t="s">
        <v>149</v>
      </c>
      <c r="H165" s="10" t="s">
        <v>150</v>
      </c>
      <c r="I165" s="10" t="s">
        <v>151</v>
      </c>
      <c r="J165" s="10" t="s">
        <v>152</v>
      </c>
      <c r="K165" s="10" t="s">
        <v>184</v>
      </c>
      <c r="L165" s="10" t="s">
        <v>153</v>
      </c>
      <c r="M165" s="10" t="s">
        <v>154</v>
      </c>
      <c r="N165" s="10" t="s">
        <v>155</v>
      </c>
      <c r="O165" s="10" t="s">
        <v>156</v>
      </c>
      <c r="P165" s="10" t="s">
        <v>157</v>
      </c>
      <c r="Q165" s="10" t="s">
        <v>158</v>
      </c>
      <c r="R165" s="10" t="s">
        <v>159</v>
      </c>
      <c r="S165" s="10" t="s">
        <v>160</v>
      </c>
      <c r="T165" s="10" t="s">
        <v>161</v>
      </c>
      <c r="U165" s="10" t="s">
        <v>162</v>
      </c>
      <c r="V165" s="10" t="s">
        <v>163</v>
      </c>
      <c r="W165" s="10" t="s">
        <v>164</v>
      </c>
      <c r="X165" s="10" t="s">
        <v>165</v>
      </c>
      <c r="Y165" s="10" t="s">
        <v>166</v>
      </c>
      <c r="Z165" s="10" t="s">
        <v>167</v>
      </c>
      <c r="AA165" s="10" t="s">
        <v>168</v>
      </c>
      <c r="AB165" s="10" t="s">
        <v>169</v>
      </c>
      <c r="AC165" s="10" t="s">
        <v>170</v>
      </c>
      <c r="AD165" s="10" t="s">
        <v>185</v>
      </c>
      <c r="AE165" s="10" t="s">
        <v>504</v>
      </c>
      <c r="AF165" s="10" t="s">
        <v>496</v>
      </c>
      <c r="AG165" s="10" t="s">
        <v>502</v>
      </c>
      <c r="AH165" s="10" t="s">
        <v>461</v>
      </c>
      <c r="AI165" s="10" t="s">
        <v>431</v>
      </c>
      <c r="AJ165" s="10" t="s">
        <v>501</v>
      </c>
      <c r="AK165" s="10" t="s">
        <v>432</v>
      </c>
      <c r="AL165" s="10" t="s">
        <v>499</v>
      </c>
      <c r="AM165" s="10" t="s">
        <v>433</v>
      </c>
    </row>
    <row r="166" spans="1:40" x14ac:dyDescent="0.3">
      <c r="A166" s="10" t="s">
        <v>523</v>
      </c>
      <c r="B166" s="10" t="s">
        <v>525</v>
      </c>
      <c r="C166" s="10">
        <v>34</v>
      </c>
      <c r="D166" s="10">
        <v>2016</v>
      </c>
      <c r="E166" s="10" t="s">
        <v>175</v>
      </c>
      <c r="F166" s="5">
        <f>F162</f>
        <v>104</v>
      </c>
      <c r="G166" s="10">
        <f t="shared" ref="G166:S166" si="241">G162</f>
        <v>317</v>
      </c>
      <c r="H166" s="10">
        <f t="shared" si="241"/>
        <v>292</v>
      </c>
      <c r="I166" s="10">
        <f t="shared" si="241"/>
        <v>33</v>
      </c>
      <c r="J166" s="9">
        <f>K166+L166+M166+N166</f>
        <v>121.95905449070554</v>
      </c>
      <c r="K166" s="9">
        <f>K162*(C3/C9)*(D9/D3)*(1000/990)</f>
        <v>86.064884665330553</v>
      </c>
      <c r="L166" s="9">
        <f>L162*(C3/C9)*(D9/D3)*(1000/910)</f>
        <v>16.52312265391285</v>
      </c>
      <c r="M166" s="9">
        <f t="shared" si="241"/>
        <v>0</v>
      </c>
      <c r="N166" s="9">
        <f>N162*(C3/C9)*(1000/1090)</f>
        <v>19.371047171462141</v>
      </c>
      <c r="O166" s="10">
        <f t="shared" si="241"/>
        <v>49</v>
      </c>
      <c r="P166" s="10">
        <f t="shared" si="241"/>
        <v>0</v>
      </c>
      <c r="Q166" s="10">
        <f t="shared" si="241"/>
        <v>0</v>
      </c>
      <c r="R166" s="9">
        <f>R162*(C3/C9)</f>
        <v>30.163487738419619</v>
      </c>
      <c r="S166" s="10">
        <f t="shared" si="241"/>
        <v>74</v>
      </c>
      <c r="T166" s="7">
        <f>J166/H166</f>
        <v>0.41766799483118333</v>
      </c>
      <c r="U166" s="7">
        <f>(J166+R166+Z166)/(H166+R166+Z166+AB166)</f>
        <v>0.48025696056508277</v>
      </c>
      <c r="V166" s="7">
        <f>X166/H166</f>
        <v>0.67327163924316713</v>
      </c>
      <c r="W166" s="8">
        <f>U166+V166</f>
        <v>1.1535285998082498</v>
      </c>
      <c r="X166" s="9">
        <f>K166+2*L166+3*M166+4*N166</f>
        <v>196.59531865900482</v>
      </c>
      <c r="Y166" s="10">
        <f t="shared" ref="Y166:AC167" si="242">Y162</f>
        <v>8</v>
      </c>
      <c r="Z166" s="10">
        <f t="shared" si="242"/>
        <v>5</v>
      </c>
      <c r="AA166" s="10">
        <f t="shared" si="242"/>
        <v>0</v>
      </c>
      <c r="AB166" s="10">
        <f t="shared" si="242"/>
        <v>0</v>
      </c>
      <c r="AC166" s="10">
        <f t="shared" si="242"/>
        <v>2</v>
      </c>
      <c r="AD166" s="7">
        <f>(((R166-AC166)*0.72)+(Z166*$J$5)+($K$5*K166)+($L$5*L166)+($M$5*M166)+($N$5*N166))/(H166+R166-AC166+AB166+Z166)</f>
        <v>0.50188028828403508</v>
      </c>
      <c r="AE166" s="11">
        <f>(AD166-$G$5)/$H$5*G166</f>
        <v>40.421195429388447</v>
      </c>
      <c r="AF166" s="11">
        <f>AE166+AG166+AI166</f>
        <v>34.005153450377954</v>
      </c>
      <c r="AG166" s="11">
        <f>AH166*(G166/667)</f>
        <v>-6.4160419790104948</v>
      </c>
      <c r="AH166" s="10">
        <v>-13.5</v>
      </c>
      <c r="AI166" s="3">
        <f>(P166*$O$5)+(Q166*$P$5)/(K166+R166+Z166-AC166)</f>
        <v>0</v>
      </c>
      <c r="AJ166" s="3">
        <f>G166/(VLOOKUP(D166,$F$3:$AD$5,25,0))</f>
        <v>18.114285714285714</v>
      </c>
      <c r="AK166" s="3">
        <f>AF166+20*(G166/600)</f>
        <v>44.571820117044624</v>
      </c>
      <c r="AL166" s="3">
        <f>(VLOOKUP(D166,$F$3:$AD$5,24,0))</f>
        <v>11.42</v>
      </c>
      <c r="AM166" s="3">
        <f t="shared" ref="AM166:AM167" si="243">AK166/AL166</f>
        <v>3.9029614813524187</v>
      </c>
    </row>
    <row r="167" spans="1:40" x14ac:dyDescent="0.3">
      <c r="A167" s="10" t="s">
        <v>523</v>
      </c>
      <c r="B167" s="10" t="s">
        <v>525</v>
      </c>
      <c r="C167" s="10">
        <v>34</v>
      </c>
      <c r="D167" s="10">
        <v>2016</v>
      </c>
      <c r="E167" s="10" t="s">
        <v>175</v>
      </c>
      <c r="F167" s="10">
        <f>F163</f>
        <v>7</v>
      </c>
      <c r="G167" s="10">
        <f t="shared" ref="G167:S167" si="244">G163</f>
        <v>29</v>
      </c>
      <c r="H167" s="10">
        <f t="shared" si="244"/>
        <v>27</v>
      </c>
      <c r="I167" s="10">
        <f t="shared" si="244"/>
        <v>3</v>
      </c>
      <c r="J167" s="9">
        <f t="shared" ref="J167" si="245">K167+L167+M167+N167</f>
        <v>16.017018021893971</v>
      </c>
      <c r="K167" s="9">
        <f>K163*(C5/C9)*(D9/D5)*(1000/920)</f>
        <v>9.1588564294210446</v>
      </c>
      <c r="L167" s="9">
        <f>L163*(C5/C9)*(D9/D5)*(1000/900)</f>
        <v>4.6811932861485337</v>
      </c>
      <c r="M167" s="9">
        <f t="shared" si="244"/>
        <v>0</v>
      </c>
      <c r="N167" s="9">
        <f>N163*(C5/C9)*(1000/950)</f>
        <v>2.1769683063243943</v>
      </c>
      <c r="O167" s="10">
        <f t="shared" si="244"/>
        <v>6</v>
      </c>
      <c r="P167" s="10">
        <f t="shared" si="244"/>
        <v>0</v>
      </c>
      <c r="Q167" s="10">
        <f t="shared" si="244"/>
        <v>0</v>
      </c>
      <c r="R167" s="9">
        <f>R163*(C5/C9)</f>
        <v>2.0681198910081746</v>
      </c>
      <c r="S167" s="10">
        <f t="shared" si="244"/>
        <v>2</v>
      </c>
      <c r="T167" s="7">
        <f>J167/H167</f>
        <v>0.59322288969977677</v>
      </c>
      <c r="U167" s="7">
        <f>(J167+R167+Z167)/(H167+R167+Z167+AB167)</f>
        <v>0.62216400581506259</v>
      </c>
      <c r="V167" s="7">
        <f>X167/H167</f>
        <v>1.0084857861857661</v>
      </c>
      <c r="W167" s="8">
        <f>U167+V167</f>
        <v>1.6306497920008287</v>
      </c>
      <c r="X167" s="9">
        <f>K167+2*L167+3*M167+4*N167</f>
        <v>27.229116227015687</v>
      </c>
      <c r="Y167" s="10">
        <f t="shared" si="242"/>
        <v>0</v>
      </c>
      <c r="Z167" s="10">
        <f t="shared" si="242"/>
        <v>0</v>
      </c>
      <c r="AA167" s="10">
        <f t="shared" si="242"/>
        <v>0</v>
      </c>
      <c r="AB167" s="10">
        <f t="shared" si="242"/>
        <v>0</v>
      </c>
      <c r="AC167" s="10">
        <f t="shared" si="242"/>
        <v>0</v>
      </c>
      <c r="AD167" s="7">
        <f>(((R167-AC167)*0.72)+(Z167*$J$5)+($K$5*K167)+($L$5*L167)+($M$5*M167)+($N$5*N167))/(H167+R167-AC167+AB167+Z167)</f>
        <v>0.69581561399252334</v>
      </c>
      <c r="AE167" s="11">
        <f>(AD167-$G$5)/$H$5*G167</f>
        <v>8.824660716301894</v>
      </c>
      <c r="AF167" s="11">
        <f>AE167+AG167+AI167</f>
        <v>8.2377041945627631</v>
      </c>
      <c r="AG167" s="11">
        <f>AH167*(G167/667)</f>
        <v>-0.58695652173913038</v>
      </c>
      <c r="AH167" s="10">
        <v>-13.5</v>
      </c>
      <c r="AI167" s="3">
        <f>(P167*$O$5)+(Q167*$P$5)/(K167+R167+Z167-AC167)</f>
        <v>0</v>
      </c>
      <c r="AJ167" s="3">
        <f>G167/(VLOOKUP(D167,$F$3:$AD$5,25,0))</f>
        <v>1.6571428571428573</v>
      </c>
      <c r="AK167" s="3">
        <f>AF167+20*(G167/600)</f>
        <v>9.2043708612294299</v>
      </c>
      <c r="AL167" s="3">
        <f>(VLOOKUP(D167,$F$3:$AD$5,24,0))</f>
        <v>11.42</v>
      </c>
      <c r="AM167" s="3">
        <f t="shared" si="243"/>
        <v>0.80598694056299736</v>
      </c>
    </row>
    <row r="169" spans="1:40" x14ac:dyDescent="0.3">
      <c r="B169" s="10" t="s">
        <v>146</v>
      </c>
      <c r="C169" s="5" t="s">
        <v>543</v>
      </c>
      <c r="D169" s="5" t="s">
        <v>544</v>
      </c>
      <c r="E169" s="5" t="s">
        <v>545</v>
      </c>
      <c r="F169" s="5" t="s">
        <v>531</v>
      </c>
      <c r="G169" s="5" t="s">
        <v>532</v>
      </c>
      <c r="H169" s="5" t="s">
        <v>533</v>
      </c>
      <c r="I169" s="5" t="s">
        <v>534</v>
      </c>
      <c r="J169" s="5" t="s">
        <v>535</v>
      </c>
      <c r="K169" s="5" t="s">
        <v>148</v>
      </c>
      <c r="L169" s="5" t="s">
        <v>536</v>
      </c>
      <c r="M169" s="5" t="s">
        <v>537</v>
      </c>
      <c r="N169" s="5" t="s">
        <v>538</v>
      </c>
      <c r="O169" s="5" t="s">
        <v>539</v>
      </c>
      <c r="P169" s="5" t="s">
        <v>540</v>
      </c>
      <c r="Q169" s="5" t="s">
        <v>541</v>
      </c>
      <c r="R169" s="5" t="s">
        <v>152</v>
      </c>
      <c r="S169" s="5" t="s">
        <v>151</v>
      </c>
      <c r="T169" s="5" t="s">
        <v>542</v>
      </c>
      <c r="AE169" s="5"/>
      <c r="AG169" s="5"/>
      <c r="AH169" s="10"/>
    </row>
    <row r="170" spans="1:40" x14ac:dyDescent="0.3">
      <c r="B170" s="5" t="s">
        <v>530</v>
      </c>
      <c r="C170" s="5">
        <v>27</v>
      </c>
      <c r="D170" s="5">
        <v>2017</v>
      </c>
      <c r="E170" s="5" t="s">
        <v>546</v>
      </c>
      <c r="F170" s="5">
        <v>1</v>
      </c>
      <c r="G170" s="5">
        <v>0</v>
      </c>
      <c r="H170" s="5">
        <v>1</v>
      </c>
      <c r="I170" s="5">
        <v>8.76</v>
      </c>
      <c r="J170" s="5">
        <v>8.76</v>
      </c>
      <c r="K170" s="5">
        <v>8</v>
      </c>
      <c r="L170" s="5">
        <v>0</v>
      </c>
      <c r="M170" s="5">
        <v>2</v>
      </c>
      <c r="N170" s="5">
        <v>0</v>
      </c>
      <c r="O170" s="5">
        <v>0</v>
      </c>
      <c r="P170" s="5">
        <v>0</v>
      </c>
      <c r="Q170" s="5">
        <v>12.1</v>
      </c>
      <c r="R170" s="5">
        <v>16</v>
      </c>
      <c r="S170" s="5">
        <v>12</v>
      </c>
      <c r="T170" s="5">
        <v>12</v>
      </c>
    </row>
    <row r="171" spans="1:40" x14ac:dyDescent="0.3">
      <c r="B171" s="10" t="s">
        <v>530</v>
      </c>
      <c r="C171" s="5">
        <v>27</v>
      </c>
      <c r="D171" s="5">
        <v>2017</v>
      </c>
      <c r="E171" s="5" t="s">
        <v>547</v>
      </c>
      <c r="F171" s="5">
        <v>3</v>
      </c>
      <c r="G171" s="5">
        <v>5</v>
      </c>
      <c r="H171" s="5">
        <v>0.375</v>
      </c>
      <c r="I171" s="5">
        <v>3.74</v>
      </c>
      <c r="J171" s="5">
        <v>3.74</v>
      </c>
      <c r="K171" s="5">
        <v>39</v>
      </c>
      <c r="L171" s="5">
        <v>0</v>
      </c>
      <c r="M171" s="5">
        <v>11</v>
      </c>
      <c r="N171" s="5">
        <v>0</v>
      </c>
      <c r="O171" s="5">
        <v>0</v>
      </c>
      <c r="P171" s="5">
        <v>1</v>
      </c>
      <c r="Q171" s="5">
        <v>55.1</v>
      </c>
      <c r="R171" s="5">
        <v>51</v>
      </c>
      <c r="S171" s="5">
        <v>23</v>
      </c>
      <c r="T171" s="5">
        <v>23</v>
      </c>
      <c r="AJ171" s="3"/>
    </row>
    <row r="173" spans="1:40" x14ac:dyDescent="0.3">
      <c r="B173" s="10" t="s">
        <v>146</v>
      </c>
      <c r="C173" s="10" t="s">
        <v>543</v>
      </c>
      <c r="D173" s="10" t="s">
        <v>544</v>
      </c>
      <c r="E173" s="10" t="s">
        <v>545</v>
      </c>
      <c r="F173" s="10" t="s">
        <v>531</v>
      </c>
      <c r="G173" s="10" t="s">
        <v>532</v>
      </c>
      <c r="H173" s="10" t="s">
        <v>533</v>
      </c>
      <c r="I173" s="10" t="s">
        <v>534</v>
      </c>
      <c r="J173" s="10" t="s">
        <v>535</v>
      </c>
      <c r="K173" s="10" t="s">
        <v>148</v>
      </c>
      <c r="L173" s="10" t="s">
        <v>536</v>
      </c>
      <c r="M173" s="10" t="s">
        <v>537</v>
      </c>
      <c r="N173" s="10" t="s">
        <v>538</v>
      </c>
      <c r="O173" s="10" t="s">
        <v>539</v>
      </c>
      <c r="P173" s="10" t="s">
        <v>540</v>
      </c>
      <c r="Q173" s="10" t="s">
        <v>541</v>
      </c>
      <c r="R173" s="10" t="s">
        <v>152</v>
      </c>
      <c r="S173" s="10" t="s">
        <v>151</v>
      </c>
      <c r="T173" s="10" t="s">
        <v>542</v>
      </c>
      <c r="U173" s="10" t="s">
        <v>560</v>
      </c>
      <c r="V173" s="10" t="s">
        <v>559</v>
      </c>
      <c r="W173" s="10" t="s">
        <v>549</v>
      </c>
      <c r="X173" s="10"/>
      <c r="Y173" s="10"/>
      <c r="Z173" s="10"/>
      <c r="AA173" s="10"/>
      <c r="AB173" s="10"/>
      <c r="AC173" s="10"/>
      <c r="AD173" s="10"/>
      <c r="AF173" s="10"/>
      <c r="AH173" s="10"/>
    </row>
    <row r="174" spans="1:40" x14ac:dyDescent="0.3">
      <c r="A174" s="10" t="s">
        <v>523</v>
      </c>
      <c r="B174" s="10" t="s">
        <v>530</v>
      </c>
      <c r="C174" s="10">
        <v>27</v>
      </c>
      <c r="D174" s="10">
        <v>2017</v>
      </c>
      <c r="E174" s="5" t="s">
        <v>548</v>
      </c>
      <c r="F174" s="10">
        <f t="shared" ref="F174:R175" si="246">F170</f>
        <v>1</v>
      </c>
      <c r="G174" s="10">
        <f t="shared" si="246"/>
        <v>0</v>
      </c>
      <c r="H174" s="10">
        <f t="shared" si="246"/>
        <v>1</v>
      </c>
      <c r="I174" s="3">
        <f>T174*9/Q174</f>
        <v>6.5922661122661124</v>
      </c>
      <c r="J174" s="3">
        <f>S174*9/Q174</f>
        <v>6.5922661122661124</v>
      </c>
      <c r="K174" s="10">
        <f t="shared" si="246"/>
        <v>8</v>
      </c>
      <c r="L174" s="10">
        <f t="shared" si="246"/>
        <v>0</v>
      </c>
      <c r="M174" s="10">
        <f t="shared" si="246"/>
        <v>2</v>
      </c>
      <c r="N174" s="10">
        <f t="shared" si="246"/>
        <v>0</v>
      </c>
      <c r="O174" s="10">
        <f t="shared" si="246"/>
        <v>0</v>
      </c>
      <c r="P174" s="10">
        <f t="shared" si="246"/>
        <v>0</v>
      </c>
      <c r="Q174" s="13">
        <f>Q170-(Q170-ROUNDDOWN(Q170,0))+(Q170-ROUNDDOWN(Q170,0))/0.3</f>
        <v>12.333333333333332</v>
      </c>
      <c r="R174" s="10">
        <f t="shared" si="246"/>
        <v>16</v>
      </c>
      <c r="S174" s="9">
        <f>S170*(C9/C4)*(1000/975)</f>
        <v>9.0338461538461523</v>
      </c>
      <c r="T174" s="9">
        <f>T170*(C9/C4)*(1000/975)</f>
        <v>9.0338461538461523</v>
      </c>
      <c r="U174" s="11">
        <f>VLOOKUP(D174,$F$2:$AG$5,MATCH($U$173,$F$2:$AG$2,0),0)/I174*100</f>
        <v>75.543066908870728</v>
      </c>
      <c r="V174" s="11">
        <f>VLOOKUP($D$174,$F$2:$AG$5,MATCH(V173,$F$2:$AG$2,0),0)/J174*100</f>
        <v>82.065861842769209</v>
      </c>
      <c r="W174" s="3">
        <f>(V174^2/(V174^2+100^2)-0.325)/9*Q174</f>
        <v>0.10612561533450783</v>
      </c>
      <c r="X174" s="10"/>
      <c r="Y174" s="10"/>
      <c r="Z174" s="10"/>
      <c r="AA174" s="10"/>
      <c r="AB174" s="10"/>
      <c r="AC174" s="3"/>
      <c r="AD174" s="10"/>
      <c r="AE174" s="3"/>
      <c r="AF174" s="3"/>
      <c r="AG174" s="3"/>
      <c r="AH174" s="10"/>
      <c r="AI174" s="3"/>
      <c r="AN174" s="3"/>
    </row>
    <row r="175" spans="1:40" x14ac:dyDescent="0.3">
      <c r="A175" s="10" t="s">
        <v>523</v>
      </c>
      <c r="B175" s="10" t="s">
        <v>530</v>
      </c>
      <c r="C175" s="10">
        <v>27</v>
      </c>
      <c r="D175" s="10">
        <v>2017</v>
      </c>
      <c r="E175" s="10" t="s">
        <v>548</v>
      </c>
      <c r="F175" s="10">
        <f t="shared" si="246"/>
        <v>3</v>
      </c>
      <c r="G175" s="10">
        <f t="shared" si="246"/>
        <v>5</v>
      </c>
      <c r="H175" s="10">
        <f t="shared" si="246"/>
        <v>0.375</v>
      </c>
      <c r="I175" s="3">
        <f>T175*9/Q175</f>
        <v>4.0044150878352625</v>
      </c>
      <c r="J175" s="3">
        <f>S175*9/Q175</f>
        <v>4.0044150878352625</v>
      </c>
      <c r="K175" s="10">
        <f t="shared" si="246"/>
        <v>39</v>
      </c>
      <c r="L175" s="10">
        <f t="shared" si="246"/>
        <v>0</v>
      </c>
      <c r="M175" s="10">
        <f t="shared" si="246"/>
        <v>11</v>
      </c>
      <c r="N175" s="10">
        <f t="shared" si="246"/>
        <v>0</v>
      </c>
      <c r="O175" s="10">
        <f t="shared" si="246"/>
        <v>0</v>
      </c>
      <c r="P175" s="10">
        <f t="shared" si="246"/>
        <v>1</v>
      </c>
      <c r="Q175" s="13">
        <f>Q171-(Q171-ROUNDDOWN(Q171,0))+(Q171-ROUNDDOWN(Q171,0))/0.3</f>
        <v>55.333333333333336</v>
      </c>
      <c r="R175" s="10">
        <f t="shared" si="246"/>
        <v>51</v>
      </c>
      <c r="S175" s="9">
        <f>S171*(C9/C6)*(1000/855)</f>
        <v>24.619737206690871</v>
      </c>
      <c r="T175" s="9">
        <f>T171*(C9/C6)*(1000/855)</f>
        <v>24.619737206690871</v>
      </c>
      <c r="U175" s="11">
        <f>VLOOKUP(D175,$F$2:$AG$5,MATCH($U$173,$F$2:$AG$2,0),0)/I175*100</f>
        <v>124.3627319038029</v>
      </c>
      <c r="V175" s="11">
        <f>VLOOKUP(D175,$F$2:$AG$5,26,0)/J175*100</f>
        <v>135.10087943766538</v>
      </c>
      <c r="W175" s="3">
        <f>(V175^2/(V175^2+100^2)-0.325)/9*Q175</f>
        <v>1.9738375120482072</v>
      </c>
      <c r="X175" s="10"/>
      <c r="Y175" s="10"/>
      <c r="Z175" s="10"/>
      <c r="AA175" s="10"/>
      <c r="AB175" s="10"/>
      <c r="AC175" s="3"/>
      <c r="AD175" s="10"/>
      <c r="AE175" s="3"/>
      <c r="AF175" s="3"/>
      <c r="AG175" s="3"/>
      <c r="AH175" s="10"/>
      <c r="AI175" s="3"/>
      <c r="AN175" s="3"/>
    </row>
    <row r="176" spans="1:40" x14ac:dyDescent="0.3">
      <c r="U176" s="10"/>
    </row>
    <row r="177" spans="1:35" x14ac:dyDescent="0.3">
      <c r="B177" s="10" t="s">
        <v>146</v>
      </c>
      <c r="C177" s="10" t="s">
        <v>176</v>
      </c>
      <c r="D177" s="10" t="s">
        <v>173</v>
      </c>
      <c r="E177" s="10" t="s">
        <v>171</v>
      </c>
      <c r="F177" s="10" t="s">
        <v>531</v>
      </c>
      <c r="G177" s="10" t="s">
        <v>532</v>
      </c>
      <c r="H177" s="10" t="s">
        <v>533</v>
      </c>
      <c r="I177" s="10" t="s">
        <v>534</v>
      </c>
      <c r="J177" s="10" t="s">
        <v>535</v>
      </c>
      <c r="K177" s="10" t="s">
        <v>148</v>
      </c>
      <c r="L177" s="10" t="s">
        <v>536</v>
      </c>
      <c r="M177" s="10" t="s">
        <v>537</v>
      </c>
      <c r="N177" s="10" t="s">
        <v>538</v>
      </c>
      <c r="O177" s="10" t="s">
        <v>539</v>
      </c>
      <c r="P177" s="10" t="s">
        <v>540</v>
      </c>
      <c r="Q177" s="10" t="s">
        <v>541</v>
      </c>
      <c r="R177" s="10" t="s">
        <v>152</v>
      </c>
      <c r="S177" s="10" t="s">
        <v>151</v>
      </c>
      <c r="T177" s="10" t="s">
        <v>542</v>
      </c>
      <c r="U177" s="10"/>
      <c r="X177" s="10"/>
      <c r="Y177" s="10"/>
      <c r="Z177" s="10"/>
      <c r="AA177" s="10"/>
      <c r="AB177" s="10"/>
      <c r="AC177" s="10"/>
      <c r="AD177" s="10"/>
      <c r="AF177" s="10"/>
      <c r="AH177" s="10"/>
    </row>
    <row r="178" spans="1:35" x14ac:dyDescent="0.3">
      <c r="B178" s="5" t="s">
        <v>551</v>
      </c>
      <c r="C178" s="5">
        <v>21</v>
      </c>
      <c r="D178" s="5">
        <v>2016</v>
      </c>
      <c r="E178" s="5" t="s">
        <v>555</v>
      </c>
      <c r="F178" s="5">
        <v>10</v>
      </c>
      <c r="G178" s="5">
        <v>4</v>
      </c>
      <c r="H178" s="5">
        <v>0.71399999999999997</v>
      </c>
      <c r="I178" s="5">
        <v>5.0199999999999996</v>
      </c>
      <c r="J178" s="5">
        <v>5.89</v>
      </c>
      <c r="K178" s="5">
        <v>24</v>
      </c>
      <c r="L178" s="5">
        <v>21</v>
      </c>
      <c r="M178" s="5">
        <v>2</v>
      </c>
      <c r="N178" s="5">
        <v>0</v>
      </c>
      <c r="O178" s="5">
        <v>0</v>
      </c>
      <c r="P178" s="5">
        <v>0</v>
      </c>
      <c r="Q178" s="15">
        <v>123.2</v>
      </c>
      <c r="R178" s="13">
        <v>142</v>
      </c>
      <c r="S178" s="11">
        <v>81</v>
      </c>
      <c r="T178" s="5">
        <v>69</v>
      </c>
      <c r="U178" s="10"/>
    </row>
    <row r="179" spans="1:35" x14ac:dyDescent="0.3">
      <c r="B179" s="10" t="s">
        <v>551</v>
      </c>
      <c r="C179" s="5">
        <v>22</v>
      </c>
      <c r="D179" s="5">
        <v>2017</v>
      </c>
      <c r="E179" s="5" t="s">
        <v>556</v>
      </c>
      <c r="F179" s="5">
        <v>9</v>
      </c>
      <c r="G179" s="5">
        <v>4</v>
      </c>
      <c r="H179" s="5">
        <v>0.69199999999999995</v>
      </c>
      <c r="I179" s="5">
        <v>3.97</v>
      </c>
      <c r="J179" s="5">
        <v>4.18</v>
      </c>
      <c r="K179" s="5">
        <v>25</v>
      </c>
      <c r="L179" s="5">
        <v>21</v>
      </c>
      <c r="M179" s="5">
        <v>2</v>
      </c>
      <c r="N179" s="5">
        <v>0</v>
      </c>
      <c r="O179" s="5">
        <v>0</v>
      </c>
      <c r="P179" s="5">
        <v>0</v>
      </c>
      <c r="Q179" s="15">
        <v>127</v>
      </c>
      <c r="R179" s="13">
        <v>109</v>
      </c>
      <c r="S179" s="11">
        <v>59</v>
      </c>
      <c r="T179" s="5">
        <v>56</v>
      </c>
      <c r="U179" s="10"/>
    </row>
    <row r="180" spans="1:35" x14ac:dyDescent="0.3">
      <c r="B180" s="10" t="s">
        <v>551</v>
      </c>
      <c r="C180" s="5">
        <v>23</v>
      </c>
      <c r="D180" s="5">
        <v>2018</v>
      </c>
      <c r="E180" s="5" t="s">
        <v>557</v>
      </c>
      <c r="F180" s="5">
        <v>6</v>
      </c>
      <c r="G180" s="5">
        <v>3</v>
      </c>
      <c r="H180" s="5">
        <v>0.66700000000000004</v>
      </c>
      <c r="I180" s="5">
        <v>4.5999999999999996</v>
      </c>
      <c r="J180" s="5">
        <v>4.72</v>
      </c>
      <c r="K180" s="5">
        <v>14</v>
      </c>
      <c r="L180" s="5">
        <v>12</v>
      </c>
      <c r="M180" s="5">
        <v>1</v>
      </c>
      <c r="N180" s="5">
        <v>0</v>
      </c>
      <c r="O180" s="5">
        <v>0</v>
      </c>
      <c r="P180" s="5">
        <v>0</v>
      </c>
      <c r="Q180" s="14">
        <v>74.099999999999994</v>
      </c>
      <c r="R180" s="13">
        <v>69</v>
      </c>
      <c r="S180" s="5">
        <v>39</v>
      </c>
      <c r="T180" s="5">
        <v>38</v>
      </c>
      <c r="U180" s="10"/>
    </row>
    <row r="181" spans="1:35" x14ac:dyDescent="0.3">
      <c r="B181" s="10" t="s">
        <v>551</v>
      </c>
      <c r="C181" s="5">
        <v>23</v>
      </c>
      <c r="D181" s="5">
        <v>2018</v>
      </c>
      <c r="E181" s="5" t="s">
        <v>556</v>
      </c>
      <c r="F181" s="5">
        <v>3</v>
      </c>
      <c r="G181" s="5">
        <v>1</v>
      </c>
      <c r="H181" s="5">
        <v>0.75</v>
      </c>
      <c r="I181" s="5">
        <v>3.08</v>
      </c>
      <c r="J181" s="5">
        <v>3.42</v>
      </c>
      <c r="K181" s="5">
        <v>11</v>
      </c>
      <c r="L181" s="5">
        <v>9</v>
      </c>
      <c r="M181" s="5">
        <v>1</v>
      </c>
      <c r="N181" s="5">
        <v>0</v>
      </c>
      <c r="O181" s="5">
        <v>0</v>
      </c>
      <c r="P181" s="5">
        <v>0</v>
      </c>
      <c r="Q181" s="5">
        <v>52.2</v>
      </c>
      <c r="R181" s="5">
        <v>40</v>
      </c>
      <c r="S181" s="5">
        <v>20</v>
      </c>
      <c r="T181" s="5">
        <v>18</v>
      </c>
      <c r="U181" s="10"/>
    </row>
    <row r="182" spans="1:35" x14ac:dyDescent="0.3">
      <c r="U182" s="10"/>
    </row>
    <row r="183" spans="1:35" x14ac:dyDescent="0.3">
      <c r="B183" s="10" t="s">
        <v>146</v>
      </c>
      <c r="C183" s="10" t="s">
        <v>176</v>
      </c>
      <c r="D183" s="10" t="s">
        <v>173</v>
      </c>
      <c r="E183" s="10" t="s">
        <v>171</v>
      </c>
      <c r="F183" s="10" t="s">
        <v>531</v>
      </c>
      <c r="G183" s="10" t="s">
        <v>532</v>
      </c>
      <c r="H183" s="10" t="s">
        <v>533</v>
      </c>
      <c r="I183" s="10" t="s">
        <v>534</v>
      </c>
      <c r="J183" s="10" t="s">
        <v>535</v>
      </c>
      <c r="K183" s="10" t="s">
        <v>148</v>
      </c>
      <c r="L183" s="10" t="s">
        <v>536</v>
      </c>
      <c r="M183" s="10" t="s">
        <v>537</v>
      </c>
      <c r="N183" s="10" t="s">
        <v>538</v>
      </c>
      <c r="O183" s="10" t="s">
        <v>539</v>
      </c>
      <c r="P183" s="10" t="s">
        <v>540</v>
      </c>
      <c r="Q183" s="10" t="s">
        <v>541</v>
      </c>
      <c r="R183" s="10" t="s">
        <v>152</v>
      </c>
      <c r="S183" s="10" t="s">
        <v>151</v>
      </c>
      <c r="T183" s="10" t="s">
        <v>542</v>
      </c>
      <c r="U183" s="10" t="s">
        <v>560</v>
      </c>
      <c r="V183" s="10" t="s">
        <v>559</v>
      </c>
      <c r="W183" s="10" t="s">
        <v>549</v>
      </c>
      <c r="X183" s="10"/>
      <c r="Y183" s="10"/>
      <c r="Z183" s="10"/>
      <c r="AA183" s="10"/>
      <c r="AB183" s="10"/>
      <c r="AC183" s="10"/>
      <c r="AD183" s="10"/>
      <c r="AF183" s="10"/>
      <c r="AH183" s="10"/>
      <c r="AI183" s="10"/>
    </row>
    <row r="184" spans="1:35" x14ac:dyDescent="0.3">
      <c r="A184" s="10" t="s">
        <v>523</v>
      </c>
      <c r="B184" s="10" t="s">
        <v>551</v>
      </c>
      <c r="C184" s="10">
        <v>21</v>
      </c>
      <c r="D184" s="10">
        <v>2016</v>
      </c>
      <c r="E184" s="5" t="s">
        <v>558</v>
      </c>
      <c r="F184" s="5">
        <f>F178</f>
        <v>10</v>
      </c>
      <c r="G184" s="10">
        <f t="shared" ref="G184:R184" si="247">G178</f>
        <v>4</v>
      </c>
      <c r="H184" s="10">
        <f t="shared" si="247"/>
        <v>0.71399999999999997</v>
      </c>
      <c r="I184" s="3">
        <f>T184*9/Q184</f>
        <v>4.9518728161722034</v>
      </c>
      <c r="J184" s="3">
        <f>S184*9/Q184</f>
        <v>5.8130680885499775</v>
      </c>
      <c r="K184" s="10">
        <f t="shared" si="247"/>
        <v>24</v>
      </c>
      <c r="L184" s="10">
        <f t="shared" si="247"/>
        <v>21</v>
      </c>
      <c r="M184" s="10">
        <f t="shared" si="247"/>
        <v>2</v>
      </c>
      <c r="N184" s="10">
        <f t="shared" si="247"/>
        <v>0</v>
      </c>
      <c r="O184" s="10">
        <f t="shared" si="247"/>
        <v>0</v>
      </c>
      <c r="P184" s="10">
        <f t="shared" si="247"/>
        <v>0</v>
      </c>
      <c r="Q184" s="13">
        <f>Q178-(Q178-ROUNDDOWN(Q178,0))+(Q178-ROUNDDOWN(Q178,0))/0.3</f>
        <v>123.66666666666667</v>
      </c>
      <c r="R184" s="10">
        <f t="shared" si="247"/>
        <v>142</v>
      </c>
      <c r="S184" s="9">
        <f>S178*(C9/C14)*(1000/1290)</f>
        <v>79.875861513038586</v>
      </c>
      <c r="T184" s="9">
        <f>T178*(C9/C14)*(1000/1290)</f>
        <v>68.042400548143988</v>
      </c>
      <c r="U184" s="11">
        <f>VLOOKUP(D184,$F$2:$AG$5,MATCH($U$173,$F$2:$AG$2,0),0)/I184*100</f>
        <v>104.80883077307848</v>
      </c>
      <c r="V184" s="11">
        <f>VLOOKUP(D184,$F$2:$AG$5,26,0)/J184*100</f>
        <v>97.022775479081858</v>
      </c>
      <c r="W184" s="3">
        <f>(V184^2/(V184^2+100^2)-0.325)/9*Q184</f>
        <v>2.197039766475664</v>
      </c>
      <c r="X184" s="10"/>
      <c r="Y184" s="10"/>
      <c r="Z184" s="10"/>
      <c r="AA184" s="10"/>
      <c r="AB184" s="10"/>
      <c r="AC184" s="10"/>
      <c r="AD184" s="10"/>
      <c r="AF184" s="10"/>
      <c r="AH184" s="10"/>
      <c r="AI184" s="3"/>
    </row>
    <row r="185" spans="1:35" x14ac:dyDescent="0.3">
      <c r="A185" s="10" t="s">
        <v>523</v>
      </c>
      <c r="B185" s="10" t="s">
        <v>551</v>
      </c>
      <c r="C185" s="10">
        <v>22</v>
      </c>
      <c r="D185" s="10">
        <v>2017</v>
      </c>
      <c r="E185" s="10" t="s">
        <v>558</v>
      </c>
      <c r="F185" s="10">
        <f t="shared" ref="F185:R185" si="248">F179</f>
        <v>9</v>
      </c>
      <c r="G185" s="10">
        <f t="shared" si="248"/>
        <v>4</v>
      </c>
      <c r="H185" s="10">
        <f t="shared" si="248"/>
        <v>0.69199999999999995</v>
      </c>
      <c r="I185" s="3">
        <f>T185*9/Q185</f>
        <v>4.6458928351203861</v>
      </c>
      <c r="J185" s="3">
        <f>S185*9/Q185</f>
        <v>4.8947799512875489</v>
      </c>
      <c r="K185" s="10">
        <f t="shared" si="248"/>
        <v>25</v>
      </c>
      <c r="L185" s="10">
        <f t="shared" si="248"/>
        <v>21</v>
      </c>
      <c r="M185" s="10">
        <f t="shared" si="248"/>
        <v>2</v>
      </c>
      <c r="N185" s="10">
        <f t="shared" si="248"/>
        <v>0</v>
      </c>
      <c r="O185" s="10">
        <f t="shared" si="248"/>
        <v>0</v>
      </c>
      <c r="P185" s="10">
        <f t="shared" si="248"/>
        <v>0</v>
      </c>
      <c r="Q185" s="13">
        <f t="shared" ref="Q185:Q187" si="249">Q179-(Q179-ROUNDDOWN(Q179,0))+(Q179-ROUNDDOWN(Q179,0))/0.3</f>
        <v>127</v>
      </c>
      <c r="R185" s="10">
        <f t="shared" si="248"/>
        <v>109</v>
      </c>
      <c r="S185" s="9">
        <f>S179*(C9/C10)*(1000/940)</f>
        <v>69.07078375705764</v>
      </c>
      <c r="T185" s="9">
        <f>T179*(C9/C10)*(1000/940)</f>
        <v>65.558710006698774</v>
      </c>
      <c r="U185" s="11">
        <f>VLOOKUP(D185,$F$2:$AG$5,MATCH($U$173,$F$2:$AG$2,0),0)/I185*100</f>
        <v>107.19145225120022</v>
      </c>
      <c r="V185" s="11">
        <f>VLOOKUP(D185,$F$2:$AG$5,26,0)/J185*100</f>
        <v>110.52590829087066</v>
      </c>
      <c r="W185" s="3">
        <f>(V185^2/(V185^2+100^2)-0.325)/9*Q185</f>
        <v>3.1732147555423036</v>
      </c>
      <c r="X185" s="10"/>
      <c r="Y185" s="10"/>
      <c r="Z185" s="10"/>
      <c r="AA185" s="10"/>
      <c r="AB185" s="10"/>
      <c r="AC185" s="10"/>
      <c r="AD185" s="10"/>
      <c r="AF185" s="10"/>
      <c r="AH185" s="10"/>
      <c r="AI185" s="3"/>
    </row>
    <row r="186" spans="1:35" x14ac:dyDescent="0.3">
      <c r="A186" s="10" t="s">
        <v>523</v>
      </c>
      <c r="B186" s="10" t="s">
        <v>551</v>
      </c>
      <c r="C186" s="10">
        <v>23</v>
      </c>
      <c r="D186" s="10">
        <v>2018</v>
      </c>
      <c r="E186" s="10" t="s">
        <v>558</v>
      </c>
      <c r="F186" s="10">
        <f t="shared" ref="F186:R186" si="250">F180</f>
        <v>6</v>
      </c>
      <c r="G186" s="10">
        <f t="shared" si="250"/>
        <v>3</v>
      </c>
      <c r="H186" s="10">
        <f t="shared" si="250"/>
        <v>0.66700000000000004</v>
      </c>
      <c r="I186" s="3">
        <f>T186*9/Q186</f>
        <v>4.9437246317729855</v>
      </c>
      <c r="J186" s="3">
        <f>S186*9/Q186</f>
        <v>5.0738226483985907</v>
      </c>
      <c r="K186" s="10">
        <f t="shared" si="250"/>
        <v>14</v>
      </c>
      <c r="L186" s="10">
        <f t="shared" si="250"/>
        <v>12</v>
      </c>
      <c r="M186" s="10">
        <f t="shared" si="250"/>
        <v>1</v>
      </c>
      <c r="N186" s="10">
        <f t="shared" si="250"/>
        <v>0</v>
      </c>
      <c r="O186" s="10">
        <f t="shared" si="250"/>
        <v>0</v>
      </c>
      <c r="P186" s="10">
        <f t="shared" si="250"/>
        <v>0</v>
      </c>
      <c r="Q186" s="13">
        <f t="shared" si="249"/>
        <v>74.333333333333314</v>
      </c>
      <c r="R186" s="10">
        <f t="shared" si="250"/>
        <v>69</v>
      </c>
      <c r="S186" s="9">
        <f>S180*(C9/C5)*(1000/900)</f>
        <v>41.906016688625385</v>
      </c>
      <c r="T186" s="9">
        <f>T180*(C9/C5)*(1000/900)</f>
        <v>40.831503440199093</v>
      </c>
      <c r="U186" s="11">
        <f>VLOOKUP(D186,$F$2:$AG$5,MATCH($U$173,$F$2:$AG$2,0),0)/I186*100</f>
        <v>114.08402409292984</v>
      </c>
      <c r="V186" s="11">
        <f>VLOOKUP(D186,$F$2:$AG$5,26,0)/J186*100</f>
        <v>111.75006287989935</v>
      </c>
      <c r="W186" s="3">
        <f>(V186^2/(V186^2+100^2)-0.325)/9*Q186</f>
        <v>1.90227181466549</v>
      </c>
      <c r="X186" s="10"/>
      <c r="Y186" s="10"/>
      <c r="Z186" s="10"/>
      <c r="AA186" s="10"/>
      <c r="AB186" s="10"/>
      <c r="AC186" s="10"/>
      <c r="AD186" s="10"/>
      <c r="AF186" s="10"/>
      <c r="AH186" s="10"/>
      <c r="AI186" s="3"/>
    </row>
    <row r="187" spans="1:35" x14ac:dyDescent="0.3">
      <c r="A187" s="10" t="s">
        <v>523</v>
      </c>
      <c r="B187" s="10" t="s">
        <v>551</v>
      </c>
      <c r="C187" s="10">
        <v>23</v>
      </c>
      <c r="D187" s="10">
        <v>2018</v>
      </c>
      <c r="E187" s="10" t="s">
        <v>558</v>
      </c>
      <c r="F187" s="10">
        <f t="shared" ref="F187:R187" si="251">F181</f>
        <v>3</v>
      </c>
      <c r="G187" s="10">
        <f t="shared" si="251"/>
        <v>1</v>
      </c>
      <c r="H187" s="10">
        <f t="shared" si="251"/>
        <v>0.75</v>
      </c>
      <c r="I187" s="3">
        <f>T187*9/Q187</f>
        <v>3.639707300290238</v>
      </c>
      <c r="J187" s="3">
        <f>S187*9/Q187</f>
        <v>4.0441192225447082</v>
      </c>
      <c r="K187" s="10">
        <f t="shared" si="251"/>
        <v>11</v>
      </c>
      <c r="L187" s="10">
        <f t="shared" si="251"/>
        <v>9</v>
      </c>
      <c r="M187" s="10">
        <f t="shared" si="251"/>
        <v>1</v>
      </c>
      <c r="N187" s="10">
        <f t="shared" si="251"/>
        <v>0</v>
      </c>
      <c r="O187" s="10">
        <f t="shared" si="251"/>
        <v>0</v>
      </c>
      <c r="P187" s="10">
        <f t="shared" si="251"/>
        <v>0</v>
      </c>
      <c r="Q187" s="13">
        <f t="shared" si="249"/>
        <v>52.666666666666679</v>
      </c>
      <c r="R187" s="10">
        <f t="shared" si="251"/>
        <v>40</v>
      </c>
      <c r="S187" s="9">
        <f>S181*(C9/C10)*(1000/930)</f>
        <v>23.66558656155793</v>
      </c>
      <c r="T187" s="9">
        <f>T181*(C9/C10)*(1000/930)</f>
        <v>21.299027905402138</v>
      </c>
      <c r="U187" s="11">
        <f>VLOOKUP(D187,$F$2:$AG$5,MATCH($U$173,$F$2:$AG$2,0),0)/I187*100</f>
        <v>154.95751539004948</v>
      </c>
      <c r="V187" s="11">
        <f>VLOOKUP(D187,$F$2:$AG$5,26,0)/J187*100</f>
        <v>140.20358174386928</v>
      </c>
      <c r="W187" s="3">
        <f>(V187^2/(V187^2+100^2)-0.325)/9*Q187</f>
        <v>1.9768256721791451</v>
      </c>
      <c r="X187" s="10"/>
      <c r="Y187" s="10"/>
      <c r="Z187" s="10"/>
      <c r="AA187" s="10"/>
      <c r="AB187" s="10"/>
      <c r="AC187" s="10"/>
      <c r="AD187" s="10"/>
      <c r="AF187" s="10"/>
      <c r="AH187" s="10"/>
      <c r="AI187" s="3"/>
    </row>
    <row r="188" spans="1:35" x14ac:dyDescent="0.3">
      <c r="U188" s="10"/>
      <c r="V188" s="10"/>
    </row>
    <row r="189" spans="1:35" x14ac:dyDescent="0.3">
      <c r="B189" s="10" t="s">
        <v>146</v>
      </c>
      <c r="C189" s="10" t="s">
        <v>176</v>
      </c>
      <c r="D189" s="10" t="s">
        <v>173</v>
      </c>
      <c r="E189" s="10" t="s">
        <v>171</v>
      </c>
      <c r="F189" s="10" t="s">
        <v>531</v>
      </c>
      <c r="G189" s="10" t="s">
        <v>532</v>
      </c>
      <c r="H189" s="10" t="s">
        <v>533</v>
      </c>
      <c r="I189" s="10" t="s">
        <v>534</v>
      </c>
      <c r="J189" s="10" t="s">
        <v>535</v>
      </c>
      <c r="K189" s="10" t="s">
        <v>148</v>
      </c>
      <c r="L189" s="10" t="s">
        <v>536</v>
      </c>
      <c r="M189" s="10" t="s">
        <v>537</v>
      </c>
      <c r="N189" s="10" t="s">
        <v>538</v>
      </c>
      <c r="O189" s="10" t="s">
        <v>539</v>
      </c>
      <c r="P189" s="10" t="s">
        <v>540</v>
      </c>
      <c r="Q189" s="10" t="s">
        <v>541</v>
      </c>
      <c r="R189" s="10" t="s">
        <v>152</v>
      </c>
      <c r="S189" s="10" t="s">
        <v>151</v>
      </c>
      <c r="T189" s="10" t="s">
        <v>542</v>
      </c>
      <c r="U189" s="10"/>
      <c r="V189" s="10"/>
      <c r="X189" s="10"/>
      <c r="Y189" s="10"/>
      <c r="Z189" s="10"/>
      <c r="AA189" s="10"/>
      <c r="AB189" s="10"/>
      <c r="AC189" s="10"/>
      <c r="AD189" s="10"/>
      <c r="AF189" s="10"/>
      <c r="AH189" s="10"/>
    </row>
    <row r="190" spans="1:35" x14ac:dyDescent="0.3">
      <c r="B190" s="5" t="s">
        <v>562</v>
      </c>
      <c r="C190" s="5">
        <v>30</v>
      </c>
      <c r="D190" s="5">
        <v>2017</v>
      </c>
      <c r="E190" s="5" t="s">
        <v>563</v>
      </c>
      <c r="F190" s="5">
        <v>0</v>
      </c>
      <c r="G190" s="5">
        <v>0</v>
      </c>
      <c r="I190" s="5">
        <v>7.84</v>
      </c>
      <c r="J190" s="5">
        <v>7.84</v>
      </c>
      <c r="K190" s="5">
        <v>4</v>
      </c>
      <c r="L190" s="5">
        <v>0</v>
      </c>
      <c r="M190" s="5">
        <v>1</v>
      </c>
      <c r="N190" s="5">
        <v>0</v>
      </c>
      <c r="O190" s="5">
        <v>0</v>
      </c>
      <c r="P190" s="5">
        <v>0</v>
      </c>
      <c r="Q190" s="5">
        <v>10.1</v>
      </c>
      <c r="R190" s="5">
        <v>18</v>
      </c>
      <c r="S190" s="5">
        <v>9</v>
      </c>
      <c r="T190" s="5">
        <v>9</v>
      </c>
      <c r="U190" s="10"/>
      <c r="V190" s="10"/>
    </row>
    <row r="191" spans="1:35" x14ac:dyDescent="0.3">
      <c r="B191" s="10" t="s">
        <v>562</v>
      </c>
      <c r="C191" s="5">
        <v>30</v>
      </c>
      <c r="D191" s="5">
        <v>2017</v>
      </c>
      <c r="E191" s="5" t="s">
        <v>564</v>
      </c>
      <c r="F191" s="5">
        <v>0</v>
      </c>
      <c r="G191" s="5">
        <v>2</v>
      </c>
      <c r="H191" s="5">
        <v>0</v>
      </c>
      <c r="I191" s="5">
        <v>4.0599999999999996</v>
      </c>
      <c r="J191" s="5">
        <v>4.0599999999999996</v>
      </c>
      <c r="K191" s="5">
        <v>17</v>
      </c>
      <c r="L191" s="5">
        <v>4</v>
      </c>
      <c r="M191" s="5">
        <v>3</v>
      </c>
      <c r="N191" s="5">
        <v>0</v>
      </c>
      <c r="O191" s="5">
        <v>0</v>
      </c>
      <c r="P191" s="5">
        <v>0</v>
      </c>
      <c r="Q191" s="5">
        <v>37.200000000000003</v>
      </c>
      <c r="R191" s="5">
        <v>37</v>
      </c>
      <c r="S191" s="5">
        <v>17</v>
      </c>
      <c r="T191" s="5">
        <v>17</v>
      </c>
      <c r="U191" s="10"/>
      <c r="V191" s="10"/>
    </row>
    <row r="192" spans="1:35" x14ac:dyDescent="0.3">
      <c r="U192" s="10"/>
      <c r="V192" s="10"/>
    </row>
    <row r="193" spans="1:35" x14ac:dyDescent="0.3">
      <c r="B193" s="10" t="s">
        <v>146</v>
      </c>
      <c r="C193" s="10" t="s">
        <v>176</v>
      </c>
      <c r="D193" s="10" t="s">
        <v>173</v>
      </c>
      <c r="E193" s="10" t="s">
        <v>171</v>
      </c>
      <c r="F193" s="10" t="s">
        <v>531</v>
      </c>
      <c r="G193" s="10" t="s">
        <v>532</v>
      </c>
      <c r="H193" s="10" t="s">
        <v>533</v>
      </c>
      <c r="I193" s="10" t="s">
        <v>534</v>
      </c>
      <c r="J193" s="10" t="s">
        <v>535</v>
      </c>
      <c r="K193" s="10" t="s">
        <v>148</v>
      </c>
      <c r="L193" s="10" t="s">
        <v>536</v>
      </c>
      <c r="M193" s="10" t="s">
        <v>537</v>
      </c>
      <c r="N193" s="10" t="s">
        <v>538</v>
      </c>
      <c r="O193" s="10" t="s">
        <v>539</v>
      </c>
      <c r="P193" s="10" t="s">
        <v>540</v>
      </c>
      <c r="Q193" s="10" t="s">
        <v>541</v>
      </c>
      <c r="R193" s="10" t="s">
        <v>152</v>
      </c>
      <c r="S193" s="10" t="s">
        <v>151</v>
      </c>
      <c r="T193" s="10" t="s">
        <v>542</v>
      </c>
      <c r="U193" s="10" t="s">
        <v>560</v>
      </c>
      <c r="V193" s="10" t="s">
        <v>559</v>
      </c>
      <c r="W193" s="10" t="s">
        <v>549</v>
      </c>
      <c r="X193" s="10"/>
      <c r="Y193" s="10"/>
      <c r="Z193" s="10"/>
      <c r="AA193" s="10"/>
      <c r="AB193" s="10"/>
      <c r="AC193" s="10"/>
      <c r="AD193" s="10"/>
      <c r="AF193" s="10"/>
      <c r="AH193" s="10"/>
      <c r="AI193" s="10"/>
    </row>
    <row r="194" spans="1:35" x14ac:dyDescent="0.3">
      <c r="A194" s="10" t="s">
        <v>523</v>
      </c>
      <c r="B194" s="10" t="s">
        <v>562</v>
      </c>
      <c r="C194" s="10">
        <v>30</v>
      </c>
      <c r="D194" s="10">
        <v>2017</v>
      </c>
      <c r="E194" s="10" t="s">
        <v>175</v>
      </c>
      <c r="F194" s="10">
        <f>F188</f>
        <v>0</v>
      </c>
      <c r="G194" s="10">
        <f t="shared" ref="G194:H195" si="252">G188</f>
        <v>0</v>
      </c>
      <c r="H194" s="10">
        <f t="shared" si="252"/>
        <v>0</v>
      </c>
      <c r="I194" s="3">
        <f>T194*9/Q194</f>
        <v>5.3307510742601227</v>
      </c>
      <c r="J194" s="3">
        <f>S194*9/Q194</f>
        <v>5.3307510742601227</v>
      </c>
      <c r="K194" s="10">
        <f>K190</f>
        <v>4</v>
      </c>
      <c r="L194" s="10">
        <f t="shared" ref="L194:P195" si="253">L190</f>
        <v>0</v>
      </c>
      <c r="M194" s="10">
        <f t="shared" si="253"/>
        <v>1</v>
      </c>
      <c r="N194" s="10">
        <f t="shared" si="253"/>
        <v>0</v>
      </c>
      <c r="O194" s="10">
        <f t="shared" si="253"/>
        <v>0</v>
      </c>
      <c r="P194" s="10">
        <f t="shared" si="253"/>
        <v>0</v>
      </c>
      <c r="Q194" s="13">
        <f>Q190-(Q190-ROUNDDOWN(Q190,0))+(Q190-ROUNDDOWN(Q190,0))/0.3</f>
        <v>10.333333333333332</v>
      </c>
      <c r="R194" s="10">
        <f>R190</f>
        <v>18</v>
      </c>
      <c r="S194" s="9">
        <f>S190*(C9/C3)*(1000/975)</f>
        <v>6.1204919741505108</v>
      </c>
      <c r="T194" s="9">
        <f>T190*(C9/C3)*(1000/975)</f>
        <v>6.1204919741505108</v>
      </c>
      <c r="U194" s="11">
        <f>VLOOKUP(D194,$F$2:$AG$5,MATCH($U$173,$F$2:$AG$2,0),0)/I194*100</f>
        <v>93.420231607629418</v>
      </c>
      <c r="V194" s="11">
        <f>VLOOKUP(D194,$F$2:$AG$5,26,0)/J194*100</f>
        <v>101.48663714804722</v>
      </c>
      <c r="W194" s="3">
        <f>(V194^2/(V194^2+100^2)-0.325)/9*Q194</f>
        <v>0.20939689350633278</v>
      </c>
      <c r="X194" s="10"/>
      <c r="Y194" s="10"/>
      <c r="Z194" s="10"/>
      <c r="AA194" s="10"/>
      <c r="AB194" s="9"/>
      <c r="AC194" s="3"/>
      <c r="AD194" s="3"/>
      <c r="AE194" s="3"/>
      <c r="AF194" s="3"/>
      <c r="AG194" s="3"/>
      <c r="AH194" s="3"/>
      <c r="AI194" s="3"/>
    </row>
    <row r="195" spans="1:35" x14ac:dyDescent="0.3">
      <c r="A195" s="10" t="s">
        <v>523</v>
      </c>
      <c r="B195" s="10" t="s">
        <v>562</v>
      </c>
      <c r="C195" s="10">
        <v>30</v>
      </c>
      <c r="D195" s="10">
        <v>2017</v>
      </c>
      <c r="E195" s="10" t="s">
        <v>175</v>
      </c>
      <c r="F195" s="10" t="str">
        <f>F189</f>
        <v>W</v>
      </c>
      <c r="G195" s="10" t="str">
        <f t="shared" si="252"/>
        <v>L</v>
      </c>
      <c r="H195" s="10" t="str">
        <f t="shared" si="252"/>
        <v>W-L%</v>
      </c>
      <c r="I195" s="3">
        <f>T195*9/Q195</f>
        <v>4.3480028387345548</v>
      </c>
      <c r="J195" s="3">
        <f>S195*9/Q195</f>
        <v>4.3480028387345548</v>
      </c>
      <c r="K195" s="10">
        <f>K191</f>
        <v>17</v>
      </c>
      <c r="L195" s="10">
        <f t="shared" si="253"/>
        <v>4</v>
      </c>
      <c r="M195" s="10">
        <f t="shared" si="253"/>
        <v>3</v>
      </c>
      <c r="N195" s="10">
        <f t="shared" si="253"/>
        <v>0</v>
      </c>
      <c r="O195" s="10">
        <f t="shared" si="253"/>
        <v>0</v>
      </c>
      <c r="P195" s="10">
        <f t="shared" si="253"/>
        <v>0</v>
      </c>
      <c r="Q195" s="13">
        <f>Q191-(Q191-ROUNDDOWN(Q191,0))+(Q191-ROUNDDOWN(Q191,0))/0.3</f>
        <v>37.666666666666679</v>
      </c>
      <c r="R195" s="10">
        <f>R191</f>
        <v>37</v>
      </c>
      <c r="S195" s="9">
        <f>S191*(C9/C6)*(1000/855)</f>
        <v>18.197197065814994</v>
      </c>
      <c r="T195" s="9">
        <f>T191*(C9/C6)*(1000/855)</f>
        <v>18.197197065814994</v>
      </c>
      <c r="U195" s="11">
        <f>VLOOKUP(D195,$F$2:$AG$5,MATCH($U$173,$F$2:$AG$2,0),0)/I195*100</f>
        <v>114.53534380509703</v>
      </c>
      <c r="V195" s="11">
        <f>VLOOKUP(D195,$F$2:$AG$5,26,0)/J195*100</f>
        <v>124.42494176417165</v>
      </c>
      <c r="W195" s="3">
        <f>(V195^2/(V195^2+100^2)-0.325)/9*Q195</f>
        <v>1.1825635958410468</v>
      </c>
      <c r="X195" s="10"/>
      <c r="Y195" s="10"/>
      <c r="Z195" s="10"/>
      <c r="AA195" s="10"/>
      <c r="AB195" s="9"/>
      <c r="AC195" s="3"/>
      <c r="AD195" s="3"/>
      <c r="AE195" s="3"/>
      <c r="AF195" s="3"/>
      <c r="AG195" s="3"/>
      <c r="AH195" s="3"/>
      <c r="AI195" s="3"/>
    </row>
    <row r="196" spans="1:35" x14ac:dyDescent="0.3">
      <c r="U196" s="10"/>
      <c r="W196" s="10"/>
    </row>
    <row r="197" spans="1:35" x14ac:dyDescent="0.3">
      <c r="B197" s="10" t="s">
        <v>146</v>
      </c>
      <c r="C197" s="10" t="s">
        <v>176</v>
      </c>
      <c r="D197" s="10" t="s">
        <v>173</v>
      </c>
      <c r="E197" s="10" t="s">
        <v>171</v>
      </c>
      <c r="F197" s="10" t="s">
        <v>531</v>
      </c>
      <c r="G197" s="10" t="s">
        <v>532</v>
      </c>
      <c r="H197" s="10" t="s">
        <v>533</v>
      </c>
      <c r="I197" s="10" t="s">
        <v>534</v>
      </c>
      <c r="J197" s="10" t="s">
        <v>535</v>
      </c>
      <c r="K197" s="10" t="s">
        <v>148</v>
      </c>
      <c r="L197" s="10" t="s">
        <v>536</v>
      </c>
      <c r="M197" s="10" t="s">
        <v>537</v>
      </c>
      <c r="N197" s="10" t="s">
        <v>538</v>
      </c>
      <c r="O197" s="10" t="s">
        <v>539</v>
      </c>
      <c r="P197" s="10" t="s">
        <v>540</v>
      </c>
      <c r="Q197" s="10" t="s">
        <v>541</v>
      </c>
      <c r="R197" s="10" t="s">
        <v>152</v>
      </c>
      <c r="S197" s="10" t="s">
        <v>151</v>
      </c>
      <c r="T197" s="10" t="s">
        <v>542</v>
      </c>
      <c r="U197" s="10"/>
      <c r="W197" s="10"/>
      <c r="X197" s="10"/>
      <c r="Y197" s="10"/>
      <c r="Z197" s="10"/>
      <c r="AA197" s="10"/>
      <c r="AB197" s="10"/>
      <c r="AC197" s="10"/>
      <c r="AD197" s="10"/>
      <c r="AF197" s="10"/>
      <c r="AH197" s="10"/>
    </row>
    <row r="198" spans="1:35" x14ac:dyDescent="0.3">
      <c r="B198" s="5" t="s">
        <v>565</v>
      </c>
      <c r="C198" s="5">
        <v>27</v>
      </c>
      <c r="D198" s="5">
        <v>2016</v>
      </c>
      <c r="E198" s="5" t="s">
        <v>566</v>
      </c>
      <c r="F198" s="5">
        <v>0</v>
      </c>
      <c r="G198" s="5">
        <v>0</v>
      </c>
      <c r="I198" s="5">
        <v>3.68</v>
      </c>
      <c r="J198" s="5">
        <v>3.68</v>
      </c>
      <c r="K198" s="5">
        <v>4</v>
      </c>
      <c r="L198" s="5">
        <v>1</v>
      </c>
      <c r="M198" s="5">
        <v>2</v>
      </c>
      <c r="N198" s="5">
        <v>0</v>
      </c>
      <c r="O198" s="5">
        <v>0</v>
      </c>
      <c r="P198" s="5">
        <v>0</v>
      </c>
      <c r="Q198" s="5">
        <v>7.1</v>
      </c>
      <c r="R198" s="5">
        <v>5</v>
      </c>
      <c r="S198" s="5">
        <v>3</v>
      </c>
      <c r="T198" s="5">
        <v>3</v>
      </c>
      <c r="U198" s="10"/>
      <c r="W198" s="10"/>
    </row>
    <row r="199" spans="1:35" x14ac:dyDescent="0.3">
      <c r="B199" s="10" t="s">
        <v>565</v>
      </c>
      <c r="C199" s="5">
        <v>27</v>
      </c>
      <c r="D199" s="5">
        <v>2016</v>
      </c>
      <c r="E199" s="5" t="s">
        <v>567</v>
      </c>
      <c r="F199" s="5">
        <v>0</v>
      </c>
      <c r="G199" s="5">
        <v>1</v>
      </c>
      <c r="H199" s="5">
        <v>1.5</v>
      </c>
      <c r="I199" s="5">
        <v>1.5</v>
      </c>
      <c r="J199" s="5">
        <v>3</v>
      </c>
      <c r="K199" s="5">
        <v>0</v>
      </c>
      <c r="L199" s="5">
        <v>0</v>
      </c>
      <c r="M199" s="5">
        <v>0</v>
      </c>
      <c r="N199" s="5">
        <v>0</v>
      </c>
      <c r="O199" s="5">
        <v>0</v>
      </c>
      <c r="P199" s="5">
        <v>6</v>
      </c>
      <c r="Q199" s="5">
        <v>4</v>
      </c>
      <c r="R199" s="5">
        <v>1</v>
      </c>
      <c r="S199" s="5">
        <v>1</v>
      </c>
      <c r="T199" s="5">
        <v>0</v>
      </c>
      <c r="U199" s="10"/>
      <c r="W199" s="10"/>
    </row>
    <row r="200" spans="1:35" x14ac:dyDescent="0.3">
      <c r="B200" s="10" t="s">
        <v>565</v>
      </c>
      <c r="C200" s="5">
        <v>28</v>
      </c>
      <c r="D200" s="5">
        <v>2017</v>
      </c>
      <c r="E200" s="5" t="s">
        <v>563</v>
      </c>
      <c r="F200" s="5">
        <v>0</v>
      </c>
      <c r="G200" s="5">
        <v>1</v>
      </c>
      <c r="H200" s="5">
        <v>0</v>
      </c>
      <c r="I200" s="5">
        <v>9</v>
      </c>
      <c r="J200" s="5">
        <v>9</v>
      </c>
      <c r="K200" s="5">
        <v>1</v>
      </c>
      <c r="L200" s="5">
        <v>0</v>
      </c>
      <c r="M200" s="5">
        <v>0</v>
      </c>
      <c r="N200" s="5">
        <v>0</v>
      </c>
      <c r="O200" s="5">
        <v>0</v>
      </c>
      <c r="P200" s="5">
        <v>0</v>
      </c>
      <c r="Q200" s="5">
        <v>2</v>
      </c>
      <c r="R200" s="5">
        <v>4</v>
      </c>
      <c r="S200" s="5">
        <v>2</v>
      </c>
      <c r="T200" s="5">
        <v>2</v>
      </c>
      <c r="U200" s="10"/>
      <c r="W200" s="10"/>
    </row>
    <row r="201" spans="1:35" x14ac:dyDescent="0.3">
      <c r="B201" s="10" t="s">
        <v>565</v>
      </c>
      <c r="C201" s="5">
        <v>28</v>
      </c>
      <c r="D201" s="5">
        <v>2017</v>
      </c>
      <c r="E201" s="10" t="s">
        <v>566</v>
      </c>
      <c r="F201" s="5">
        <v>2</v>
      </c>
      <c r="G201" s="5">
        <v>8</v>
      </c>
      <c r="H201" s="5">
        <v>0.2</v>
      </c>
      <c r="I201" s="5">
        <v>4.4000000000000004</v>
      </c>
      <c r="J201" s="5">
        <v>4.71</v>
      </c>
      <c r="K201" s="5">
        <v>24</v>
      </c>
      <c r="L201" s="5">
        <v>21</v>
      </c>
      <c r="M201" s="5">
        <v>0</v>
      </c>
      <c r="N201" s="5">
        <v>0</v>
      </c>
      <c r="O201" s="5">
        <v>0</v>
      </c>
      <c r="P201" s="5">
        <v>0</v>
      </c>
      <c r="Q201" s="5">
        <v>116.2</v>
      </c>
      <c r="R201" s="5">
        <v>102</v>
      </c>
      <c r="S201" s="5">
        <v>61</v>
      </c>
      <c r="T201" s="5">
        <v>57</v>
      </c>
      <c r="U201" s="10"/>
      <c r="W201" s="10"/>
    </row>
    <row r="202" spans="1:35" x14ac:dyDescent="0.3">
      <c r="U202" s="10"/>
      <c r="W202" s="10"/>
    </row>
    <row r="203" spans="1:35" x14ac:dyDescent="0.3">
      <c r="B203" s="10" t="s">
        <v>146</v>
      </c>
      <c r="C203" s="10" t="s">
        <v>176</v>
      </c>
      <c r="D203" s="10" t="s">
        <v>173</v>
      </c>
      <c r="E203" s="10" t="s">
        <v>171</v>
      </c>
      <c r="F203" s="10" t="s">
        <v>531</v>
      </c>
      <c r="G203" s="10" t="s">
        <v>532</v>
      </c>
      <c r="H203" s="10" t="s">
        <v>533</v>
      </c>
      <c r="I203" s="10" t="s">
        <v>534</v>
      </c>
      <c r="J203" s="10" t="s">
        <v>535</v>
      </c>
      <c r="K203" s="10" t="s">
        <v>148</v>
      </c>
      <c r="L203" s="10" t="s">
        <v>536</v>
      </c>
      <c r="M203" s="10" t="s">
        <v>537</v>
      </c>
      <c r="N203" s="10" t="s">
        <v>538</v>
      </c>
      <c r="O203" s="10" t="s">
        <v>539</v>
      </c>
      <c r="P203" s="10" t="s">
        <v>540</v>
      </c>
      <c r="Q203" s="10" t="s">
        <v>541</v>
      </c>
      <c r="R203" s="10" t="s">
        <v>152</v>
      </c>
      <c r="S203" s="10" t="s">
        <v>151</v>
      </c>
      <c r="T203" s="10" t="s">
        <v>542</v>
      </c>
      <c r="U203" s="10" t="s">
        <v>560</v>
      </c>
      <c r="V203" s="10" t="s">
        <v>559</v>
      </c>
      <c r="W203" s="10" t="s">
        <v>549</v>
      </c>
      <c r="X203" s="10"/>
      <c r="Y203" s="10"/>
      <c r="Z203" s="10"/>
      <c r="AA203" s="10"/>
      <c r="AB203" s="10"/>
      <c r="AC203" s="10"/>
      <c r="AD203" s="10"/>
      <c r="AF203" s="10"/>
      <c r="AH203" s="10"/>
      <c r="AI203" s="10"/>
    </row>
    <row r="204" spans="1:35" x14ac:dyDescent="0.3">
      <c r="A204" s="10" t="s">
        <v>523</v>
      </c>
      <c r="B204" s="10" t="s">
        <v>565</v>
      </c>
      <c r="C204" s="10">
        <v>27</v>
      </c>
      <c r="D204" s="10">
        <v>2016</v>
      </c>
      <c r="E204" s="5" t="s">
        <v>568</v>
      </c>
      <c r="F204" s="5">
        <f>F198</f>
        <v>0</v>
      </c>
      <c r="G204" s="10">
        <f t="shared" ref="G204:H204" si="254">G198</f>
        <v>0</v>
      </c>
      <c r="H204" s="10">
        <f t="shared" si="254"/>
        <v>0</v>
      </c>
      <c r="I204" s="3">
        <f>T204*9/Q204</f>
        <v>3.5784383650194922</v>
      </c>
      <c r="J204" s="3">
        <f>S204*9/Q204</f>
        <v>3.5784383650194922</v>
      </c>
      <c r="K204" s="5">
        <f>K198</f>
        <v>4</v>
      </c>
      <c r="L204" s="10">
        <f t="shared" ref="L204:P204" si="255">L198</f>
        <v>1</v>
      </c>
      <c r="M204" s="10">
        <f t="shared" si="255"/>
        <v>2</v>
      </c>
      <c r="N204" s="10">
        <f t="shared" si="255"/>
        <v>0</v>
      </c>
      <c r="O204" s="10">
        <f t="shared" si="255"/>
        <v>0</v>
      </c>
      <c r="P204" s="10">
        <f t="shared" si="255"/>
        <v>0</v>
      </c>
      <c r="Q204" s="13">
        <f>Q198-(Q198-ROUNDDOWN(Q198,0))+(Q198-ROUNDDOWN(Q198,0))/0.3</f>
        <v>7.3333333333333321</v>
      </c>
      <c r="R204" s="5">
        <f>R198</f>
        <v>5</v>
      </c>
      <c r="S204" s="9">
        <f>S198*(C9/C5)*(1000/995)</f>
        <v>2.9157645937195857</v>
      </c>
      <c r="T204" s="9">
        <f>T198*(C9/C5)*(1000/995)</f>
        <v>2.9157645937195857</v>
      </c>
      <c r="U204" s="11">
        <f>IFERROR(VLOOKUP(D204,$F$2:$AG$5,MATCH($U$173,$F$2:$AG$2,0),0)/I204*100,"-")</f>
        <v>145.03533303057827</v>
      </c>
      <c r="V204" s="11">
        <f>VLOOKUP(D204,$F$2:$AG$5,26,0)/J204*100</f>
        <v>157.61065092340294</v>
      </c>
      <c r="W204" s="3">
        <f>(V204^2/(V204^2+100^2)-0.325)/9*Q204</f>
        <v>0.31613413164642246</v>
      </c>
      <c r="X204" s="10"/>
      <c r="Y204" s="10"/>
      <c r="Z204" s="10"/>
      <c r="AA204" s="10"/>
      <c r="AB204" s="10"/>
      <c r="AC204" s="10"/>
      <c r="AD204" s="10"/>
      <c r="AF204" s="10"/>
      <c r="AH204" s="10"/>
      <c r="AI204" s="3"/>
    </row>
    <row r="205" spans="1:35" x14ac:dyDescent="0.3">
      <c r="A205" s="10" t="s">
        <v>523</v>
      </c>
      <c r="B205" s="10" t="s">
        <v>565</v>
      </c>
      <c r="C205" s="10">
        <v>27</v>
      </c>
      <c r="D205" s="10">
        <v>2016</v>
      </c>
      <c r="E205" s="10" t="s">
        <v>568</v>
      </c>
      <c r="F205" s="10">
        <f t="shared" ref="F205:H205" si="256">F199</f>
        <v>0</v>
      </c>
      <c r="G205" s="10">
        <f t="shared" si="256"/>
        <v>1</v>
      </c>
      <c r="H205" s="10">
        <f t="shared" si="256"/>
        <v>1.5</v>
      </c>
      <c r="I205" s="3">
        <f>T205*9/Q205</f>
        <v>0</v>
      </c>
      <c r="J205" s="3">
        <f>S205*9/Q205</f>
        <v>2.5137177604091354</v>
      </c>
      <c r="K205" s="10">
        <f t="shared" ref="K205:P205" si="257">K199</f>
        <v>0</v>
      </c>
      <c r="L205" s="10">
        <f t="shared" si="257"/>
        <v>0</v>
      </c>
      <c r="M205" s="10">
        <f t="shared" si="257"/>
        <v>0</v>
      </c>
      <c r="N205" s="10">
        <f t="shared" si="257"/>
        <v>0</v>
      </c>
      <c r="O205" s="10">
        <f t="shared" si="257"/>
        <v>0</v>
      </c>
      <c r="P205" s="10">
        <f t="shared" si="257"/>
        <v>6</v>
      </c>
      <c r="Q205" s="13">
        <f t="shared" ref="Q205:Q207" si="258">Q199-(Q199-ROUNDDOWN(Q199,0))+(Q199-ROUNDDOWN(Q199,0))/0.3</f>
        <v>4</v>
      </c>
      <c r="R205" s="10">
        <f t="shared" ref="R205" si="259">R199</f>
        <v>1</v>
      </c>
      <c r="S205" s="9">
        <f>S199*(C9/C10)*(1000/985)</f>
        <v>1.1172078935151712</v>
      </c>
      <c r="T205" s="9">
        <f>T199*(C9/C10)*(1000/985)</f>
        <v>0</v>
      </c>
      <c r="U205" s="3" t="str">
        <f>IFERROR(VLOOKUP(D205,$F$2:$AG$5,MATCH($U$173,$F$2:$AG$2,0),0)/I205*100,"-")</f>
        <v>-</v>
      </c>
      <c r="V205" s="11">
        <f>VLOOKUP(D205,$F$2:$AG$5,26,0)/J205*100</f>
        <v>224.36886466848321</v>
      </c>
      <c r="W205" s="3">
        <f>(V205^2/(V205^2+100^2)-0.325)/9*Q205</f>
        <v>0.22634500740628452</v>
      </c>
      <c r="X205" s="10"/>
      <c r="Y205" s="10"/>
      <c r="Z205" s="10"/>
      <c r="AA205" s="10"/>
      <c r="AB205" s="10"/>
      <c r="AC205" s="10"/>
      <c r="AD205" s="10"/>
      <c r="AF205" s="10"/>
      <c r="AH205" s="10"/>
      <c r="AI205" s="3"/>
    </row>
    <row r="206" spans="1:35" x14ac:dyDescent="0.3">
      <c r="A206" s="10" t="s">
        <v>523</v>
      </c>
      <c r="B206" s="10" t="s">
        <v>565</v>
      </c>
      <c r="C206" s="10">
        <v>28</v>
      </c>
      <c r="D206" s="10">
        <v>2017</v>
      </c>
      <c r="E206" s="10" t="s">
        <v>568</v>
      </c>
      <c r="F206" s="10">
        <f t="shared" ref="F206:H206" si="260">F200</f>
        <v>0</v>
      </c>
      <c r="G206" s="10">
        <f t="shared" si="260"/>
        <v>1</v>
      </c>
      <c r="H206" s="10">
        <f t="shared" si="260"/>
        <v>0</v>
      </c>
      <c r="I206" s="3">
        <f>T206*9/Q206</f>
        <v>6.6059999999999999</v>
      </c>
      <c r="J206" s="3">
        <f>S206*9/Q206</f>
        <v>6.6059999999999999</v>
      </c>
      <c r="K206" s="10">
        <f t="shared" ref="K206:P206" si="261">K200</f>
        <v>1</v>
      </c>
      <c r="L206" s="10">
        <f t="shared" si="261"/>
        <v>0</v>
      </c>
      <c r="M206" s="10">
        <f t="shared" si="261"/>
        <v>0</v>
      </c>
      <c r="N206" s="10">
        <f t="shared" si="261"/>
        <v>0</v>
      </c>
      <c r="O206" s="10">
        <f t="shared" si="261"/>
        <v>0</v>
      </c>
      <c r="P206" s="10">
        <f t="shared" si="261"/>
        <v>0</v>
      </c>
      <c r="Q206" s="13">
        <f t="shared" si="258"/>
        <v>2</v>
      </c>
      <c r="R206" s="10">
        <f t="shared" ref="R206" si="262">R200</f>
        <v>4</v>
      </c>
      <c r="S206" s="9">
        <f>S200*(C9/C4)</f>
        <v>1.468</v>
      </c>
      <c r="T206" s="9">
        <f>T200*(C9/C4)</f>
        <v>1.468</v>
      </c>
      <c r="U206" s="11">
        <f>IFERROR(VLOOKUP(D206,$F$2:$AG$5,MATCH($U$173,$F$2:$AG$2,0),0)/I206*100,"-")</f>
        <v>75.386012715712994</v>
      </c>
      <c r="V206" s="11">
        <f>VLOOKUP(D206,$F$2:$AG$5,26,0)/J206*100</f>
        <v>81.895246745382991</v>
      </c>
      <c r="W206" s="3">
        <f>(V206^2/(V206^2+100^2)-0.325)/9*Q206</f>
        <v>1.6987212370508226E-2</v>
      </c>
      <c r="X206" s="10"/>
      <c r="Y206" s="10"/>
      <c r="Z206" s="10"/>
      <c r="AA206" s="10"/>
      <c r="AB206" s="10"/>
      <c r="AC206" s="10"/>
      <c r="AD206" s="10"/>
      <c r="AF206" s="10"/>
      <c r="AH206" s="10"/>
      <c r="AI206" s="3"/>
    </row>
    <row r="207" spans="1:35" x14ac:dyDescent="0.3">
      <c r="A207" s="10" t="s">
        <v>523</v>
      </c>
      <c r="B207" s="10" t="s">
        <v>565</v>
      </c>
      <c r="C207" s="10">
        <v>28</v>
      </c>
      <c r="D207" s="10">
        <v>2017</v>
      </c>
      <c r="E207" s="10" t="s">
        <v>568</v>
      </c>
      <c r="F207" s="10">
        <f t="shared" ref="F207:H207" si="263">F201</f>
        <v>2</v>
      </c>
      <c r="G207" s="10">
        <f t="shared" si="263"/>
        <v>8</v>
      </c>
      <c r="H207" s="10">
        <f t="shared" si="263"/>
        <v>0.2</v>
      </c>
      <c r="I207" s="3">
        <f>T207*9/Q207</f>
        <v>4.4761151891586675</v>
      </c>
      <c r="J207" s="3">
        <f>S207*9/Q207</f>
        <v>4.7902285357662935</v>
      </c>
      <c r="K207" s="10">
        <f t="shared" ref="K207:P207" si="264">K201</f>
        <v>24</v>
      </c>
      <c r="L207" s="10">
        <f t="shared" si="264"/>
        <v>21</v>
      </c>
      <c r="M207" s="10">
        <f t="shared" si="264"/>
        <v>0</v>
      </c>
      <c r="N207" s="10">
        <f t="shared" si="264"/>
        <v>0</v>
      </c>
      <c r="O207" s="10">
        <f t="shared" si="264"/>
        <v>0</v>
      </c>
      <c r="P207" s="10">
        <f t="shared" si="264"/>
        <v>0</v>
      </c>
      <c r="Q207" s="13">
        <f t="shared" si="258"/>
        <v>116.66666666666667</v>
      </c>
      <c r="R207" s="10">
        <f t="shared" ref="R207" si="265">R201</f>
        <v>102</v>
      </c>
      <c r="S207" s="9">
        <f>S201*(C9/C5)*(1000/950)</f>
        <v>62.095555093266768</v>
      </c>
      <c r="T207" s="9">
        <f>T201*(C9/C5)*(1000/950)</f>
        <v>58.023715415019758</v>
      </c>
      <c r="U207" s="11">
        <f>IFERROR(VLOOKUP(D207,$F$2:$AG$5,MATCH($U$173,$F$2:$AG$2,0),0)/I207*100,"-")</f>
        <v>111.25719043293975</v>
      </c>
      <c r="V207" s="11">
        <f>VLOOKUP(D207,$F$2:$AG$5,26,0)/J207*100</f>
        <v>112.93824416948328</v>
      </c>
      <c r="W207" s="3">
        <f>(V207^2/(V207^2+100^2)-0.325)/9*Q207</f>
        <v>3.0532581012938498</v>
      </c>
      <c r="X207" s="10"/>
      <c r="Y207" s="10"/>
      <c r="Z207" s="10"/>
      <c r="AA207" s="10"/>
      <c r="AB207" s="10"/>
      <c r="AC207" s="10"/>
      <c r="AD207" s="10"/>
      <c r="AF207" s="10"/>
      <c r="AH207" s="10"/>
      <c r="AI207" s="3"/>
    </row>
    <row r="209" spans="1:34" x14ac:dyDescent="0.3">
      <c r="B209" s="10" t="s">
        <v>146</v>
      </c>
      <c r="C209" s="10" t="s">
        <v>176</v>
      </c>
      <c r="D209" s="10" t="s">
        <v>173</v>
      </c>
      <c r="E209" s="10" t="s">
        <v>171</v>
      </c>
      <c r="F209" s="10" t="s">
        <v>531</v>
      </c>
      <c r="G209" s="10" t="s">
        <v>532</v>
      </c>
      <c r="H209" s="10" t="s">
        <v>533</v>
      </c>
      <c r="I209" s="10" t="s">
        <v>534</v>
      </c>
      <c r="J209" s="10" t="s">
        <v>535</v>
      </c>
      <c r="K209" s="10" t="s">
        <v>148</v>
      </c>
      <c r="L209" s="10" t="s">
        <v>536</v>
      </c>
      <c r="M209" s="10" t="s">
        <v>537</v>
      </c>
      <c r="N209" s="10" t="s">
        <v>538</v>
      </c>
      <c r="O209" s="10" t="s">
        <v>539</v>
      </c>
      <c r="P209" s="10" t="s">
        <v>540</v>
      </c>
      <c r="Q209" s="10" t="s">
        <v>541</v>
      </c>
      <c r="R209" s="10" t="s">
        <v>152</v>
      </c>
      <c r="S209" s="10" t="s">
        <v>151</v>
      </c>
      <c r="T209" s="10" t="s">
        <v>542</v>
      </c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F209" s="10"/>
      <c r="AH209" s="10"/>
    </row>
    <row r="210" spans="1:34" x14ac:dyDescent="0.3">
      <c r="B210" s="5" t="s">
        <v>571</v>
      </c>
      <c r="C210" s="5">
        <v>27</v>
      </c>
      <c r="D210" s="5">
        <v>2016</v>
      </c>
      <c r="E210" s="5" t="s">
        <v>572</v>
      </c>
      <c r="F210" s="5">
        <v>10</v>
      </c>
      <c r="G210" s="5">
        <v>4</v>
      </c>
      <c r="H210" s="5">
        <v>0.71399999999999997</v>
      </c>
      <c r="I210" s="5">
        <v>3.7</v>
      </c>
      <c r="J210" s="5">
        <v>3.81</v>
      </c>
      <c r="K210" s="5">
        <v>28</v>
      </c>
      <c r="L210" s="5">
        <v>10</v>
      </c>
      <c r="M210" s="5">
        <v>4</v>
      </c>
      <c r="N210" s="5">
        <v>0</v>
      </c>
      <c r="O210" s="5">
        <v>0</v>
      </c>
      <c r="P210" s="5">
        <v>0</v>
      </c>
      <c r="Q210" s="5">
        <v>80.099999999999994</v>
      </c>
      <c r="R210" s="5">
        <v>79</v>
      </c>
      <c r="S210" s="5">
        <v>34</v>
      </c>
      <c r="T210" s="5">
        <v>33</v>
      </c>
    </row>
    <row r="211" spans="1:34" x14ac:dyDescent="0.3">
      <c r="B211" s="10" t="s">
        <v>571</v>
      </c>
      <c r="C211" s="10">
        <v>27</v>
      </c>
      <c r="D211" s="10">
        <v>2016</v>
      </c>
      <c r="E211" s="10" t="s">
        <v>573</v>
      </c>
      <c r="F211" s="5">
        <v>1</v>
      </c>
      <c r="G211" s="5">
        <v>0</v>
      </c>
      <c r="H211" s="5">
        <v>1</v>
      </c>
      <c r="I211" s="5">
        <v>1.5</v>
      </c>
      <c r="J211" s="5">
        <v>2</v>
      </c>
      <c r="K211" s="5">
        <v>5</v>
      </c>
      <c r="L211" s="5">
        <v>2</v>
      </c>
      <c r="M211" s="5">
        <v>0</v>
      </c>
      <c r="N211" s="5">
        <v>0</v>
      </c>
      <c r="O211" s="5">
        <v>0</v>
      </c>
      <c r="P211" s="5">
        <v>0</v>
      </c>
      <c r="Q211" s="5">
        <v>18</v>
      </c>
      <c r="R211" s="5">
        <v>12</v>
      </c>
      <c r="S211" s="5">
        <v>4</v>
      </c>
      <c r="T211" s="5">
        <v>3</v>
      </c>
    </row>
    <row r="212" spans="1:34" x14ac:dyDescent="0.3">
      <c r="B212" s="10" t="s">
        <v>571</v>
      </c>
      <c r="C212" s="10">
        <v>28</v>
      </c>
      <c r="D212" s="10">
        <v>2017</v>
      </c>
      <c r="E212" s="5" t="s">
        <v>574</v>
      </c>
      <c r="F212" s="5">
        <v>0</v>
      </c>
      <c r="G212" s="5">
        <v>3</v>
      </c>
      <c r="H212" s="5">
        <v>0</v>
      </c>
      <c r="I212" s="5">
        <v>6.93</v>
      </c>
      <c r="J212" s="5">
        <v>7.07</v>
      </c>
      <c r="K212" s="5">
        <v>28</v>
      </c>
      <c r="L212" s="5">
        <v>4</v>
      </c>
      <c r="M212" s="5">
        <v>6</v>
      </c>
      <c r="N212" s="5">
        <v>0</v>
      </c>
      <c r="O212" s="5">
        <v>0</v>
      </c>
      <c r="P212" s="5">
        <v>0</v>
      </c>
      <c r="Q212" s="5">
        <v>62.1</v>
      </c>
      <c r="R212" s="5">
        <v>81</v>
      </c>
      <c r="S212" s="5">
        <v>49</v>
      </c>
      <c r="T212" s="5">
        <v>48</v>
      </c>
    </row>
    <row r="213" spans="1:34" x14ac:dyDescent="0.3">
      <c r="B213" s="10" t="s">
        <v>571</v>
      </c>
      <c r="C213" s="10">
        <v>28</v>
      </c>
      <c r="D213" s="10">
        <v>2017</v>
      </c>
      <c r="E213" s="5" t="s">
        <v>572</v>
      </c>
      <c r="F213" s="5">
        <v>2</v>
      </c>
      <c r="G213" s="5">
        <v>4</v>
      </c>
      <c r="H213" s="5">
        <v>0.33300000000000002</v>
      </c>
      <c r="I213" s="5">
        <v>3.41</v>
      </c>
      <c r="J213" s="5">
        <v>3.93</v>
      </c>
      <c r="K213" s="5">
        <v>7</v>
      </c>
      <c r="L213" s="5">
        <v>7</v>
      </c>
      <c r="M213" s="5">
        <v>0</v>
      </c>
      <c r="N213" s="5">
        <v>0</v>
      </c>
      <c r="O213" s="5">
        <v>0</v>
      </c>
      <c r="P213" s="5">
        <v>0</v>
      </c>
      <c r="Q213" s="5">
        <v>34.1</v>
      </c>
      <c r="R213" s="5">
        <v>34</v>
      </c>
      <c r="S213" s="5">
        <v>15</v>
      </c>
      <c r="T213" s="5">
        <v>13</v>
      </c>
    </row>
    <row r="214" spans="1:34" x14ac:dyDescent="0.3">
      <c r="B214" s="10" t="s">
        <v>571</v>
      </c>
      <c r="C214" s="5">
        <v>29</v>
      </c>
      <c r="D214" s="5">
        <v>2018</v>
      </c>
      <c r="E214" s="5" t="s">
        <v>574</v>
      </c>
      <c r="F214" s="5">
        <v>0</v>
      </c>
      <c r="G214" s="5">
        <v>1</v>
      </c>
      <c r="H214" s="5">
        <v>0</v>
      </c>
      <c r="I214" s="5">
        <v>8.59</v>
      </c>
      <c r="J214" s="5">
        <v>8.59</v>
      </c>
      <c r="K214" s="5">
        <v>3</v>
      </c>
      <c r="L214" s="5">
        <v>0</v>
      </c>
      <c r="M214" s="5">
        <v>0</v>
      </c>
      <c r="N214" s="5">
        <v>0</v>
      </c>
      <c r="O214" s="5">
        <v>0</v>
      </c>
      <c r="P214" s="5">
        <v>0</v>
      </c>
      <c r="Q214" s="5">
        <v>7.1</v>
      </c>
      <c r="R214" s="5">
        <v>14</v>
      </c>
      <c r="S214" s="5">
        <v>7</v>
      </c>
      <c r="T214" s="5">
        <v>7</v>
      </c>
    </row>
    <row r="215" spans="1:34" x14ac:dyDescent="0.3">
      <c r="B215" s="10" t="s">
        <v>571</v>
      </c>
      <c r="C215" s="5">
        <v>29</v>
      </c>
      <c r="D215" s="5">
        <v>2018</v>
      </c>
      <c r="E215" s="5" t="s">
        <v>572</v>
      </c>
      <c r="F215" s="5">
        <v>0</v>
      </c>
      <c r="G215" s="5">
        <v>0</v>
      </c>
      <c r="I215" s="5">
        <v>4.3499999999999996</v>
      </c>
      <c r="J215" s="5">
        <v>4.3499999999999996</v>
      </c>
      <c r="K215" s="5">
        <v>4</v>
      </c>
      <c r="L215" s="5">
        <v>3</v>
      </c>
      <c r="M215" s="5">
        <v>0</v>
      </c>
      <c r="N215" s="5">
        <v>0</v>
      </c>
      <c r="O215" s="5">
        <v>0</v>
      </c>
      <c r="P215" s="5">
        <v>0</v>
      </c>
      <c r="Q215" s="5">
        <v>10.1</v>
      </c>
      <c r="R215" s="5">
        <v>8</v>
      </c>
      <c r="S215" s="5">
        <v>5</v>
      </c>
      <c r="T215" s="5">
        <v>5</v>
      </c>
    </row>
    <row r="216" spans="1:34" x14ac:dyDescent="0.3">
      <c r="B216" s="10" t="s">
        <v>571</v>
      </c>
      <c r="C216" s="5">
        <v>29</v>
      </c>
      <c r="D216" s="5">
        <v>2018</v>
      </c>
      <c r="E216" s="5" t="s">
        <v>572</v>
      </c>
      <c r="F216" s="5">
        <v>2</v>
      </c>
      <c r="G216" s="5">
        <v>3</v>
      </c>
      <c r="H216" s="5">
        <v>0.4</v>
      </c>
      <c r="I216" s="5">
        <v>6.22</v>
      </c>
      <c r="J216" s="5">
        <v>6.41</v>
      </c>
      <c r="K216" s="5">
        <v>28</v>
      </c>
      <c r="L216" s="5">
        <v>1</v>
      </c>
      <c r="M216" s="5">
        <v>6</v>
      </c>
      <c r="N216" s="5">
        <v>0</v>
      </c>
      <c r="O216" s="5">
        <v>0</v>
      </c>
      <c r="P216" s="5">
        <v>0</v>
      </c>
      <c r="Q216" s="5">
        <v>46.1</v>
      </c>
      <c r="R216" s="5">
        <v>60</v>
      </c>
      <c r="S216" s="5">
        <v>33</v>
      </c>
      <c r="T216" s="5">
        <v>32</v>
      </c>
    </row>
    <row r="218" spans="1:34" x14ac:dyDescent="0.3">
      <c r="B218" s="10" t="s">
        <v>146</v>
      </c>
      <c r="C218" s="10" t="s">
        <v>176</v>
      </c>
      <c r="D218" s="10" t="s">
        <v>173</v>
      </c>
      <c r="E218" s="10" t="s">
        <v>171</v>
      </c>
      <c r="F218" s="10" t="s">
        <v>531</v>
      </c>
      <c r="G218" s="10" t="s">
        <v>532</v>
      </c>
      <c r="H218" s="10" t="s">
        <v>533</v>
      </c>
      <c r="I218" s="10" t="s">
        <v>534</v>
      </c>
      <c r="J218" s="10" t="s">
        <v>535</v>
      </c>
      <c r="K218" s="10" t="s">
        <v>148</v>
      </c>
      <c r="L218" s="10" t="s">
        <v>536</v>
      </c>
      <c r="M218" s="10" t="s">
        <v>537</v>
      </c>
      <c r="N218" s="10" t="s">
        <v>538</v>
      </c>
      <c r="O218" s="10" t="s">
        <v>539</v>
      </c>
      <c r="P218" s="10" t="s">
        <v>540</v>
      </c>
      <c r="Q218" s="10" t="s">
        <v>541</v>
      </c>
      <c r="R218" s="10" t="s">
        <v>152</v>
      </c>
      <c r="S218" s="10" t="s">
        <v>151</v>
      </c>
      <c r="T218" s="10" t="s">
        <v>542</v>
      </c>
      <c r="U218" s="10" t="s">
        <v>550</v>
      </c>
      <c r="V218" s="10" t="s">
        <v>559</v>
      </c>
      <c r="W218" s="10" t="s">
        <v>549</v>
      </c>
    </row>
    <row r="219" spans="1:34" x14ac:dyDescent="0.3">
      <c r="A219" s="10" t="s">
        <v>523</v>
      </c>
      <c r="B219" s="10" t="s">
        <v>571</v>
      </c>
      <c r="C219" s="10">
        <v>27</v>
      </c>
      <c r="D219" s="10">
        <v>2016</v>
      </c>
      <c r="E219" s="5" t="s">
        <v>575</v>
      </c>
      <c r="F219" s="5">
        <f>F210</f>
        <v>10</v>
      </c>
      <c r="G219" s="10">
        <f t="shared" ref="G219:R219" si="266">G210</f>
        <v>4</v>
      </c>
      <c r="H219" s="10">
        <f t="shared" si="266"/>
        <v>0.71399999999999997</v>
      </c>
      <c r="I219" s="3">
        <f>T219*9/Q219</f>
        <v>3.407478345667216</v>
      </c>
      <c r="J219" s="3">
        <f>S219*9/Q219</f>
        <v>3.5107352652328894</v>
      </c>
      <c r="K219" s="10">
        <f t="shared" si="266"/>
        <v>28</v>
      </c>
      <c r="L219" s="10">
        <f t="shared" si="266"/>
        <v>10</v>
      </c>
      <c r="M219" s="10">
        <f t="shared" si="266"/>
        <v>4</v>
      </c>
      <c r="N219" s="10">
        <f t="shared" si="266"/>
        <v>0</v>
      </c>
      <c r="O219" s="10">
        <f t="shared" si="266"/>
        <v>0</v>
      </c>
      <c r="P219" s="10">
        <f t="shared" si="266"/>
        <v>0</v>
      </c>
      <c r="Q219" s="13">
        <f>Q210-(Q210-ROUNDDOWN(Q210,0))+(Q210-ROUNDDOWN(Q210,0))/0.3</f>
        <v>80.333333333333314</v>
      </c>
      <c r="R219" s="9">
        <f t="shared" si="266"/>
        <v>79</v>
      </c>
      <c r="S219" s="9">
        <f>S210*(C9/C6)*(1000/993)</f>
        <v>31.336562923004671</v>
      </c>
      <c r="T219" s="9">
        <f>T210*(C9/C6)*(1000/993)</f>
        <v>30.414899307622182</v>
      </c>
      <c r="U219" s="11">
        <f>IFERROR(VLOOKUP(D219,$F$2:$AG$5,MATCH($U$173,$F$2:$AG$2,0),0)/I219*100,"-")</f>
        <v>152.31204643161865</v>
      </c>
      <c r="V219" s="11">
        <f>VLOOKUP(D219,$F$2:$AG$5,26,0)/J219*100</f>
        <v>160.65010813698771</v>
      </c>
      <c r="W219" s="3">
        <f>(V219^2/(V219^2+100^2)-0.325)/9*Q219</f>
        <v>3.5323134636886953</v>
      </c>
    </row>
    <row r="220" spans="1:34" x14ac:dyDescent="0.3">
      <c r="A220" s="10" t="s">
        <v>523</v>
      </c>
      <c r="B220" s="10" t="s">
        <v>571</v>
      </c>
      <c r="C220" s="10">
        <v>27</v>
      </c>
      <c r="D220" s="10">
        <v>2016</v>
      </c>
      <c r="E220" s="10" t="s">
        <v>575</v>
      </c>
      <c r="F220" s="10">
        <f t="shared" ref="F220:R220" si="267">F211</f>
        <v>1</v>
      </c>
      <c r="G220" s="10">
        <f t="shared" si="267"/>
        <v>0</v>
      </c>
      <c r="H220" s="10">
        <f t="shared" si="267"/>
        <v>1</v>
      </c>
      <c r="I220" s="3">
        <f>T220*9/Q220</f>
        <v>1.4505928853754941</v>
      </c>
      <c r="J220" s="3">
        <f>S220*9/Q220</f>
        <v>1.9341238471673254</v>
      </c>
      <c r="K220" s="10">
        <f t="shared" si="267"/>
        <v>5</v>
      </c>
      <c r="L220" s="10">
        <f t="shared" si="267"/>
        <v>2</v>
      </c>
      <c r="M220" s="10">
        <f t="shared" si="267"/>
        <v>0</v>
      </c>
      <c r="N220" s="10">
        <f t="shared" si="267"/>
        <v>0</v>
      </c>
      <c r="O220" s="10">
        <f t="shared" si="267"/>
        <v>0</v>
      </c>
      <c r="P220" s="10">
        <f t="shared" si="267"/>
        <v>0</v>
      </c>
      <c r="Q220" s="13">
        <f t="shared" ref="Q220:Q225" si="268">Q211-(Q211-ROUNDDOWN(Q211,0))+(Q211-ROUNDDOWN(Q211,0))/0.3</f>
        <v>18</v>
      </c>
      <c r="R220" s="9">
        <f t="shared" si="267"/>
        <v>12</v>
      </c>
      <c r="S220" s="9">
        <f>S211*(C9/C5)</f>
        <v>3.8682476943346509</v>
      </c>
      <c r="T220" s="9">
        <f>T211*(C9/C5)</f>
        <v>2.9011857707509883</v>
      </c>
      <c r="U220" s="11">
        <f t="shared" ref="U220:U225" si="269">IFERROR(VLOOKUP(D220,$F$2:$AG$5,MATCH($U$173,$F$2:$AG$2,0),0)/I220*100,"-")</f>
        <v>357.78474114441417</v>
      </c>
      <c r="V220" s="11">
        <f t="shared" ref="V220:V225" si="270">VLOOKUP(D220,$F$2:$AG$5,26,0)/J220*100</f>
        <v>291.60490463215257</v>
      </c>
      <c r="W220" s="3">
        <f t="shared" ref="W220:W225" si="271">(V220^2/(V220^2+100^2)-0.325)/9*Q220</f>
        <v>1.1395477200056994</v>
      </c>
    </row>
    <row r="221" spans="1:34" x14ac:dyDescent="0.3">
      <c r="A221" s="10" t="s">
        <v>523</v>
      </c>
      <c r="B221" s="10" t="s">
        <v>571</v>
      </c>
      <c r="C221" s="10">
        <v>28</v>
      </c>
      <c r="D221" s="10">
        <v>2017</v>
      </c>
      <c r="E221" s="10" t="s">
        <v>575</v>
      </c>
      <c r="F221" s="10">
        <f t="shared" ref="F221:P221" si="272">F212</f>
        <v>0</v>
      </c>
      <c r="G221" s="10">
        <f t="shared" si="272"/>
        <v>3</v>
      </c>
      <c r="H221" s="10">
        <f t="shared" si="272"/>
        <v>0</v>
      </c>
      <c r="I221" s="3">
        <f>T221*9/Q221</f>
        <v>4.4185369866861981</v>
      </c>
      <c r="J221" s="3">
        <f>S221*9/Q221</f>
        <v>4.5105898405754932</v>
      </c>
      <c r="K221" s="10">
        <f t="shared" si="272"/>
        <v>28</v>
      </c>
      <c r="L221" s="10">
        <f t="shared" si="272"/>
        <v>4</v>
      </c>
      <c r="M221" s="10">
        <f t="shared" si="272"/>
        <v>6</v>
      </c>
      <c r="N221" s="10">
        <f t="shared" si="272"/>
        <v>0</v>
      </c>
      <c r="O221" s="10">
        <f t="shared" si="272"/>
        <v>0</v>
      </c>
      <c r="P221" s="10">
        <f t="shared" si="272"/>
        <v>0</v>
      </c>
      <c r="Q221" s="13">
        <f t="shared" si="268"/>
        <v>62.333333333333336</v>
      </c>
      <c r="R221" s="9">
        <f>R212</f>
        <v>81</v>
      </c>
      <c r="S221" s="9">
        <f>S212*(C9/C3)*(1000/1040)</f>
        <v>31.240011118059897</v>
      </c>
      <c r="T221" s="9">
        <f>T212*(C9/C3)*(1000/1040)</f>
        <v>30.602459870752554</v>
      </c>
      <c r="U221" s="11">
        <f t="shared" si="269"/>
        <v>112.70698910081745</v>
      </c>
      <c r="V221" s="11">
        <f t="shared" si="270"/>
        <v>119.93996774731693</v>
      </c>
      <c r="W221" s="3">
        <f t="shared" si="271"/>
        <v>1.8348291201200593</v>
      </c>
    </row>
    <row r="222" spans="1:34" x14ac:dyDescent="0.3">
      <c r="A222" s="10" t="s">
        <v>523</v>
      </c>
      <c r="B222" s="10" t="s">
        <v>571</v>
      </c>
      <c r="C222" s="10">
        <v>28</v>
      </c>
      <c r="D222" s="10">
        <v>2017</v>
      </c>
      <c r="E222" s="10" t="s">
        <v>575</v>
      </c>
      <c r="F222" s="10">
        <f t="shared" ref="F222:R222" si="273">F213</f>
        <v>2</v>
      </c>
      <c r="G222" s="10">
        <f t="shared" si="273"/>
        <v>4</v>
      </c>
      <c r="H222" s="10">
        <f t="shared" si="273"/>
        <v>0.33300000000000002</v>
      </c>
      <c r="I222" s="3">
        <f>T222*9/Q222</f>
        <v>3.0191956831949485</v>
      </c>
      <c r="J222" s="3">
        <f>S222*9/Q222</f>
        <v>3.4836873267634019</v>
      </c>
      <c r="K222" s="10">
        <f t="shared" si="273"/>
        <v>7</v>
      </c>
      <c r="L222" s="10">
        <f t="shared" si="273"/>
        <v>7</v>
      </c>
      <c r="M222" s="10">
        <f t="shared" si="273"/>
        <v>0</v>
      </c>
      <c r="N222" s="10">
        <f t="shared" si="273"/>
        <v>0</v>
      </c>
      <c r="O222" s="10">
        <f t="shared" si="273"/>
        <v>0</v>
      </c>
      <c r="P222" s="10">
        <f t="shared" si="273"/>
        <v>0</v>
      </c>
      <c r="Q222" s="13">
        <f t="shared" si="268"/>
        <v>34.333333333333336</v>
      </c>
      <c r="R222" s="9">
        <f t="shared" si="273"/>
        <v>34</v>
      </c>
      <c r="S222" s="9">
        <f>S213*(C9/C6)*(1000/1033)</f>
        <v>13.289622024319646</v>
      </c>
      <c r="T222" s="9">
        <f>T213*(C9/C6)*(1000/1033)</f>
        <v>11.517672421077027</v>
      </c>
      <c r="U222" s="11">
        <f t="shared" si="269"/>
        <v>164.94459195603068</v>
      </c>
      <c r="V222" s="11">
        <f t="shared" si="270"/>
        <v>155.29522292192286</v>
      </c>
      <c r="W222" s="3">
        <f t="shared" si="271"/>
        <v>1.4568305122504175</v>
      </c>
    </row>
    <row r="223" spans="1:34" x14ac:dyDescent="0.3">
      <c r="A223" s="10" t="s">
        <v>523</v>
      </c>
      <c r="B223" s="10" t="s">
        <v>571</v>
      </c>
      <c r="C223" s="10">
        <v>29</v>
      </c>
      <c r="D223" s="10">
        <v>2018</v>
      </c>
      <c r="E223" s="10" t="s">
        <v>575</v>
      </c>
      <c r="F223" s="10">
        <f t="shared" ref="F223:P223" si="274">F214</f>
        <v>0</v>
      </c>
      <c r="G223" s="10">
        <f t="shared" si="274"/>
        <v>1</v>
      </c>
      <c r="H223" s="10">
        <f t="shared" si="274"/>
        <v>0</v>
      </c>
      <c r="I223" s="3">
        <f t="shared" ref="I223:I225" si="275">T223*9/Q223</f>
        <v>5.696230598669624</v>
      </c>
      <c r="J223" s="3">
        <f t="shared" ref="J223:J225" si="276">S223*9/Q223</f>
        <v>5.696230598669624</v>
      </c>
      <c r="K223" s="10">
        <f t="shared" si="274"/>
        <v>3</v>
      </c>
      <c r="L223" s="10">
        <f t="shared" si="274"/>
        <v>0</v>
      </c>
      <c r="M223" s="10">
        <f t="shared" si="274"/>
        <v>0</v>
      </c>
      <c r="N223" s="10">
        <f t="shared" si="274"/>
        <v>0</v>
      </c>
      <c r="O223" s="10">
        <f t="shared" si="274"/>
        <v>0</v>
      </c>
      <c r="P223" s="10">
        <f t="shared" si="274"/>
        <v>0</v>
      </c>
      <c r="Q223" s="13">
        <f t="shared" si="268"/>
        <v>7.3333333333333321</v>
      </c>
      <c r="R223" s="9">
        <f t="shared" ref="F223:R224" si="277">R214</f>
        <v>14</v>
      </c>
      <c r="S223" s="9">
        <f>S214*(C9/C3)</f>
        <v>4.6413730803974707</v>
      </c>
      <c r="T223" s="9">
        <f>T214*(C9/C3)</f>
        <v>4.6413730803974707</v>
      </c>
      <c r="U223" s="11">
        <f t="shared" si="269"/>
        <v>99.012845465161519</v>
      </c>
      <c r="V223" s="11">
        <f t="shared" si="270"/>
        <v>99.53950953678472</v>
      </c>
      <c r="W223" s="3">
        <f t="shared" si="271"/>
        <v>0.14071220081414429</v>
      </c>
    </row>
    <row r="224" spans="1:34" x14ac:dyDescent="0.3">
      <c r="A224" s="10" t="s">
        <v>523</v>
      </c>
      <c r="B224" s="10" t="s">
        <v>571</v>
      </c>
      <c r="C224" s="10">
        <v>29</v>
      </c>
      <c r="D224" s="10">
        <v>2018</v>
      </c>
      <c r="E224" s="10" t="s">
        <v>575</v>
      </c>
      <c r="F224" s="10">
        <f t="shared" si="277"/>
        <v>0</v>
      </c>
      <c r="G224" s="10">
        <f t="shared" si="277"/>
        <v>0</v>
      </c>
      <c r="H224" s="10">
        <f t="shared" si="277"/>
        <v>0</v>
      </c>
      <c r="I224" s="3">
        <f t="shared" si="275"/>
        <v>3.9461391236058687</v>
      </c>
      <c r="J224" s="3">
        <f t="shared" si="276"/>
        <v>3.9461391236058687</v>
      </c>
      <c r="K224" s="10">
        <f t="shared" si="277"/>
        <v>4</v>
      </c>
      <c r="L224" s="10">
        <f t="shared" si="277"/>
        <v>3</v>
      </c>
      <c r="M224" s="10">
        <f t="shared" si="277"/>
        <v>0</v>
      </c>
      <c r="N224" s="10">
        <f t="shared" si="277"/>
        <v>0</v>
      </c>
      <c r="O224" s="10">
        <f t="shared" si="277"/>
        <v>0</v>
      </c>
      <c r="P224" s="10">
        <f t="shared" si="277"/>
        <v>0</v>
      </c>
      <c r="Q224" s="13">
        <f t="shared" si="268"/>
        <v>10.333333333333332</v>
      </c>
      <c r="R224" s="9">
        <f t="shared" si="277"/>
        <v>8</v>
      </c>
      <c r="S224" s="9">
        <f>S215*(C9/C6)*(1000/1010)</f>
        <v>4.5307523271030341</v>
      </c>
      <c r="T224" s="9">
        <f>T215*(C9/C6)*(1000/1010)</f>
        <v>4.5307523271030341</v>
      </c>
      <c r="U224" s="11">
        <f t="shared" si="269"/>
        <v>142.92450983953981</v>
      </c>
      <c r="V224" s="11">
        <f t="shared" si="270"/>
        <v>143.68474659400545</v>
      </c>
      <c r="W224" s="3">
        <f t="shared" si="271"/>
        <v>0.4003429047110475</v>
      </c>
    </row>
    <row r="225" spans="1:23" x14ac:dyDescent="0.3">
      <c r="A225" s="10" t="s">
        <v>523</v>
      </c>
      <c r="B225" s="10" t="s">
        <v>571</v>
      </c>
      <c r="C225" s="10">
        <v>29</v>
      </c>
      <c r="D225" s="10">
        <v>2018</v>
      </c>
      <c r="E225" s="10" t="s">
        <v>575</v>
      </c>
      <c r="F225" s="10">
        <f t="shared" ref="F225:R225" si="278">F216</f>
        <v>2</v>
      </c>
      <c r="G225" s="10">
        <f t="shared" si="278"/>
        <v>3</v>
      </c>
      <c r="H225" s="10">
        <f t="shared" si="278"/>
        <v>0.4</v>
      </c>
      <c r="I225" s="3">
        <f t="shared" si="275"/>
        <v>5.7462622058327035</v>
      </c>
      <c r="J225" s="3">
        <f t="shared" si="276"/>
        <v>5.9258328997649761</v>
      </c>
      <c r="K225" s="10">
        <f t="shared" si="278"/>
        <v>28</v>
      </c>
      <c r="L225" s="10">
        <f t="shared" si="278"/>
        <v>1</v>
      </c>
      <c r="M225" s="10">
        <f t="shared" si="278"/>
        <v>6</v>
      </c>
      <c r="N225" s="10">
        <f t="shared" si="278"/>
        <v>0</v>
      </c>
      <c r="O225" s="10">
        <f t="shared" si="278"/>
        <v>0</v>
      </c>
      <c r="P225" s="10">
        <f t="shared" si="278"/>
        <v>0</v>
      </c>
      <c r="Q225" s="13">
        <f t="shared" si="268"/>
        <v>46.333333333333336</v>
      </c>
      <c r="R225" s="9">
        <f t="shared" si="278"/>
        <v>60</v>
      </c>
      <c r="S225" s="9">
        <f>S216*(C9/C6)*(1000/990)</f>
        <v>30.507065669160433</v>
      </c>
      <c r="T225" s="9">
        <f>T216*(C9/C6)*(1000/990)</f>
        <v>29.582609133731328</v>
      </c>
      <c r="U225" s="11">
        <f t="shared" si="269"/>
        <v>98.150759536784747</v>
      </c>
      <c r="V225" s="11">
        <f t="shared" si="270"/>
        <v>95.682752043596736</v>
      </c>
      <c r="W225" s="3">
        <f t="shared" si="271"/>
        <v>0.78740023903485024</v>
      </c>
    </row>
    <row r="227" spans="1:23" x14ac:dyDescent="0.3">
      <c r="B227" s="10" t="s">
        <v>146</v>
      </c>
      <c r="C227" s="10" t="s">
        <v>176</v>
      </c>
      <c r="D227" s="10" t="s">
        <v>173</v>
      </c>
      <c r="E227" s="10" t="s">
        <v>171</v>
      </c>
      <c r="F227" s="10" t="s">
        <v>531</v>
      </c>
      <c r="G227" s="10" t="s">
        <v>532</v>
      </c>
      <c r="H227" s="10" t="s">
        <v>533</v>
      </c>
      <c r="I227" s="10" t="s">
        <v>534</v>
      </c>
      <c r="J227" s="10" t="s">
        <v>535</v>
      </c>
      <c r="K227" s="10" t="s">
        <v>148</v>
      </c>
      <c r="L227" s="10" t="s">
        <v>536</v>
      </c>
      <c r="M227" s="10" t="s">
        <v>537</v>
      </c>
      <c r="N227" s="10" t="s">
        <v>538</v>
      </c>
      <c r="O227" s="10" t="s">
        <v>539</v>
      </c>
      <c r="P227" s="10" t="s">
        <v>540</v>
      </c>
      <c r="Q227" s="10" t="s">
        <v>541</v>
      </c>
      <c r="R227" s="10" t="s">
        <v>152</v>
      </c>
      <c r="S227" s="10" t="s">
        <v>151</v>
      </c>
      <c r="T227" s="10" t="s">
        <v>542</v>
      </c>
    </row>
    <row r="228" spans="1:23" x14ac:dyDescent="0.3">
      <c r="B228" s="5" t="s">
        <v>576</v>
      </c>
      <c r="C228" s="5">
        <v>26</v>
      </c>
      <c r="D228" s="5">
        <v>2016</v>
      </c>
      <c r="E228" s="5" t="s">
        <v>574</v>
      </c>
      <c r="F228" s="5">
        <v>1</v>
      </c>
      <c r="G228" s="5">
        <v>1</v>
      </c>
      <c r="H228" s="5">
        <v>0.5</v>
      </c>
      <c r="I228" s="5">
        <v>7.45</v>
      </c>
      <c r="J228" s="5">
        <v>7.45</v>
      </c>
      <c r="K228" s="5">
        <v>6</v>
      </c>
      <c r="L228" s="5">
        <v>0</v>
      </c>
      <c r="M228" s="5">
        <v>2</v>
      </c>
      <c r="N228" s="5">
        <v>0</v>
      </c>
      <c r="O228" s="5">
        <v>0</v>
      </c>
      <c r="P228" s="5">
        <v>0</v>
      </c>
      <c r="Q228" s="5">
        <v>9.1999999999999993</v>
      </c>
      <c r="R228" s="5">
        <v>17</v>
      </c>
      <c r="S228" s="5">
        <v>8</v>
      </c>
      <c r="T228" s="5">
        <v>8</v>
      </c>
    </row>
    <row r="229" spans="1:23" x14ac:dyDescent="0.3">
      <c r="B229" s="10" t="s">
        <v>576</v>
      </c>
      <c r="C229" s="5">
        <v>26</v>
      </c>
      <c r="D229" s="5">
        <v>2016</v>
      </c>
      <c r="E229" s="5" t="s">
        <v>572</v>
      </c>
      <c r="F229" s="5">
        <v>7</v>
      </c>
      <c r="G229" s="5">
        <v>2</v>
      </c>
      <c r="H229" s="5">
        <v>0.77800000000000002</v>
      </c>
      <c r="I229" s="5">
        <v>2.2999999999999998</v>
      </c>
      <c r="J229" s="5">
        <v>2.42</v>
      </c>
      <c r="K229" s="5">
        <v>18</v>
      </c>
      <c r="L229" s="5">
        <v>11</v>
      </c>
      <c r="M229" s="5">
        <v>1</v>
      </c>
      <c r="N229" s="5">
        <v>1</v>
      </c>
      <c r="O229" s="5">
        <v>0</v>
      </c>
      <c r="P229" s="5">
        <v>0</v>
      </c>
      <c r="Q229" s="5">
        <v>74.099999999999994</v>
      </c>
      <c r="R229" s="5">
        <v>64</v>
      </c>
      <c r="S229" s="5">
        <v>20</v>
      </c>
      <c r="T229" s="5">
        <v>19</v>
      </c>
    </row>
    <row r="230" spans="1:23" x14ac:dyDescent="0.3">
      <c r="B230" s="10" t="s">
        <v>576</v>
      </c>
      <c r="C230" s="5">
        <v>27</v>
      </c>
      <c r="D230" s="5">
        <v>2017</v>
      </c>
      <c r="E230" s="5" t="s">
        <v>574</v>
      </c>
      <c r="F230" s="5">
        <v>3</v>
      </c>
      <c r="G230" s="5">
        <v>2</v>
      </c>
      <c r="H230" s="5">
        <v>0.6</v>
      </c>
      <c r="I230" s="5">
        <v>4.88</v>
      </c>
      <c r="J230" s="5">
        <v>5.17</v>
      </c>
      <c r="K230" s="5">
        <v>45</v>
      </c>
      <c r="L230" s="5">
        <v>0</v>
      </c>
      <c r="M230" s="5">
        <v>10</v>
      </c>
      <c r="N230" s="5">
        <v>0</v>
      </c>
      <c r="O230" s="5">
        <v>0</v>
      </c>
      <c r="P230" s="5">
        <v>0</v>
      </c>
      <c r="Q230" s="5">
        <v>62.2</v>
      </c>
      <c r="R230" s="5">
        <v>64</v>
      </c>
      <c r="S230" s="5">
        <v>36</v>
      </c>
      <c r="T230" s="5">
        <v>34</v>
      </c>
    </row>
    <row r="231" spans="1:23" x14ac:dyDescent="0.3">
      <c r="B231" s="10" t="s">
        <v>576</v>
      </c>
      <c r="C231" s="5">
        <v>27</v>
      </c>
      <c r="D231" s="5">
        <v>2017</v>
      </c>
      <c r="E231" s="5" t="s">
        <v>572</v>
      </c>
      <c r="F231" s="5">
        <v>2</v>
      </c>
      <c r="G231" s="5">
        <v>0</v>
      </c>
      <c r="H231" s="5">
        <v>1</v>
      </c>
      <c r="I231" s="5">
        <v>2.9</v>
      </c>
      <c r="J231" s="5">
        <v>2.9</v>
      </c>
      <c r="K231" s="5">
        <v>7</v>
      </c>
      <c r="L231" s="5">
        <v>7</v>
      </c>
      <c r="M231" s="5">
        <v>0</v>
      </c>
      <c r="N231" s="5">
        <v>0</v>
      </c>
      <c r="O231" s="5">
        <v>0</v>
      </c>
      <c r="P231" s="5">
        <v>0</v>
      </c>
      <c r="Q231" s="5">
        <v>40.1</v>
      </c>
      <c r="R231" s="5">
        <v>38</v>
      </c>
      <c r="S231" s="5">
        <v>13</v>
      </c>
      <c r="T231" s="5">
        <v>13</v>
      </c>
    </row>
    <row r="232" spans="1:23" x14ac:dyDescent="0.3">
      <c r="B232" s="10" t="s">
        <v>576</v>
      </c>
      <c r="C232" s="5">
        <v>28</v>
      </c>
      <c r="D232" s="5">
        <v>2018</v>
      </c>
      <c r="E232" s="10" t="s">
        <v>574</v>
      </c>
      <c r="F232" s="5">
        <v>4</v>
      </c>
      <c r="G232" s="5">
        <v>1</v>
      </c>
      <c r="H232" s="5">
        <v>0.8</v>
      </c>
      <c r="I232" s="5">
        <v>4.46</v>
      </c>
      <c r="J232" s="5">
        <v>4.46</v>
      </c>
      <c r="K232" s="5">
        <v>31</v>
      </c>
      <c r="L232" s="5">
        <v>0</v>
      </c>
      <c r="M232" s="5">
        <v>13</v>
      </c>
      <c r="N232" s="5">
        <v>0</v>
      </c>
      <c r="O232" s="5">
        <v>0</v>
      </c>
      <c r="P232" s="5">
        <v>1</v>
      </c>
      <c r="Q232" s="5">
        <v>34.1</v>
      </c>
      <c r="R232" s="5">
        <v>41</v>
      </c>
      <c r="S232" s="5">
        <v>17</v>
      </c>
      <c r="T232" s="5">
        <v>17</v>
      </c>
    </row>
    <row r="233" spans="1:23" x14ac:dyDescent="0.3">
      <c r="B233" s="10" t="s">
        <v>576</v>
      </c>
      <c r="C233" s="5">
        <v>28</v>
      </c>
      <c r="D233" s="5">
        <v>2018</v>
      </c>
      <c r="E233" s="10" t="s">
        <v>572</v>
      </c>
      <c r="F233" s="5">
        <v>3</v>
      </c>
      <c r="G233" s="5">
        <v>2</v>
      </c>
      <c r="H233" s="5">
        <v>0.6</v>
      </c>
      <c r="I233" s="5">
        <v>4.8899999999999997</v>
      </c>
      <c r="J233" s="5">
        <v>5.0599999999999996</v>
      </c>
      <c r="K233" s="5">
        <v>15</v>
      </c>
      <c r="L233" s="5">
        <v>8</v>
      </c>
      <c r="M233" s="5">
        <v>1</v>
      </c>
      <c r="N233" s="5">
        <v>0</v>
      </c>
      <c r="O233" s="5">
        <v>0</v>
      </c>
      <c r="P233" s="5">
        <v>0</v>
      </c>
      <c r="Q233" s="5">
        <v>53.1</v>
      </c>
      <c r="R233" s="5">
        <v>59</v>
      </c>
      <c r="S233" s="5">
        <v>30</v>
      </c>
      <c r="T233" s="5">
        <v>29</v>
      </c>
    </row>
    <row r="235" spans="1:23" x14ac:dyDescent="0.3">
      <c r="B235" s="10" t="s">
        <v>146</v>
      </c>
      <c r="C235" s="10" t="s">
        <v>176</v>
      </c>
      <c r="D235" s="10" t="s">
        <v>173</v>
      </c>
      <c r="E235" s="10" t="s">
        <v>171</v>
      </c>
      <c r="F235" s="10" t="s">
        <v>531</v>
      </c>
      <c r="G235" s="10" t="s">
        <v>532</v>
      </c>
      <c r="H235" s="10" t="s">
        <v>533</v>
      </c>
      <c r="I235" s="10" t="s">
        <v>534</v>
      </c>
      <c r="J235" s="10" t="s">
        <v>535</v>
      </c>
      <c r="K235" s="10" t="s">
        <v>148</v>
      </c>
      <c r="L235" s="10" t="s">
        <v>536</v>
      </c>
      <c r="M235" s="10" t="s">
        <v>537</v>
      </c>
      <c r="N235" s="10" t="s">
        <v>538</v>
      </c>
      <c r="O235" s="10" t="s">
        <v>539</v>
      </c>
      <c r="P235" s="10" t="s">
        <v>540</v>
      </c>
      <c r="Q235" s="10" t="s">
        <v>541</v>
      </c>
      <c r="R235" s="10" t="s">
        <v>152</v>
      </c>
      <c r="S235" s="10" t="s">
        <v>151</v>
      </c>
      <c r="T235" s="10" t="s">
        <v>542</v>
      </c>
      <c r="U235" s="10" t="s">
        <v>550</v>
      </c>
      <c r="V235" s="10" t="s">
        <v>559</v>
      </c>
      <c r="W235" s="10" t="s">
        <v>549</v>
      </c>
    </row>
    <row r="236" spans="1:23" x14ac:dyDescent="0.3">
      <c r="A236" s="10" t="s">
        <v>523</v>
      </c>
      <c r="B236" s="10" t="s">
        <v>576</v>
      </c>
      <c r="C236" s="10">
        <v>26</v>
      </c>
      <c r="D236" s="10">
        <v>2016</v>
      </c>
      <c r="E236" s="10" t="s">
        <v>575</v>
      </c>
      <c r="F236" s="5">
        <f>F228</f>
        <v>1</v>
      </c>
      <c r="G236" s="10">
        <f t="shared" ref="G236:R236" si="279">G228</f>
        <v>1</v>
      </c>
      <c r="H236" s="10">
        <f t="shared" si="279"/>
        <v>0.5</v>
      </c>
      <c r="I236" s="3">
        <f>T236*9/Q236</f>
        <v>4.9634209736656381</v>
      </c>
      <c r="J236" s="3">
        <f>S236*9/Q236</f>
        <v>4.9634209736656381</v>
      </c>
      <c r="K236" s="10">
        <f t="shared" si="279"/>
        <v>6</v>
      </c>
      <c r="L236" s="10">
        <f t="shared" si="279"/>
        <v>0</v>
      </c>
      <c r="M236" s="10">
        <f t="shared" si="279"/>
        <v>2</v>
      </c>
      <c r="N236" s="10">
        <f t="shared" si="279"/>
        <v>0</v>
      </c>
      <c r="O236" s="10">
        <f t="shared" si="279"/>
        <v>0</v>
      </c>
      <c r="P236" s="10">
        <f t="shared" si="279"/>
        <v>0</v>
      </c>
      <c r="Q236" s="13">
        <f>Q228-(Q228-ROUNDDOWN(Q228,0))+(Q228-ROUNDDOWN(Q228,0))/0.3</f>
        <v>9.6666666666666643</v>
      </c>
      <c r="R236" s="10">
        <f t="shared" si="279"/>
        <v>17</v>
      </c>
      <c r="S236" s="9">
        <f>S228*(C9/C3)*(1000/995)</f>
        <v>5.3310817865297579</v>
      </c>
      <c r="T236" s="9">
        <f>T228*(C9/C3)*(1000/995)</f>
        <v>5.3310817865297579</v>
      </c>
      <c r="U236" s="11">
        <f>IFERROR(VLOOKUP(D236,$F$2:$AG$5,MATCH($U$173,$F$2:$AG$2,0),0)/I236*100,"-")</f>
        <v>104.56497700953678</v>
      </c>
      <c r="V236" s="11">
        <f>VLOOKUP(D236,$F$2:$AG$5,26,0)/J236*100</f>
        <v>113.63130449591277</v>
      </c>
      <c r="W236" s="3">
        <f>(V236^2/(V236^2+100^2)-0.325)/9*Q236</f>
        <v>0.25621917116346193</v>
      </c>
    </row>
    <row r="237" spans="1:23" x14ac:dyDescent="0.3">
      <c r="A237" s="10" t="s">
        <v>523</v>
      </c>
      <c r="B237" s="10" t="s">
        <v>576</v>
      </c>
      <c r="C237" s="10">
        <v>26</v>
      </c>
      <c r="D237" s="10">
        <v>2016</v>
      </c>
      <c r="E237" s="10" t="s">
        <v>575</v>
      </c>
      <c r="F237" s="10">
        <f t="shared" ref="F237:R237" si="280">F229</f>
        <v>7</v>
      </c>
      <c r="G237" s="10">
        <f t="shared" si="280"/>
        <v>2</v>
      </c>
      <c r="H237" s="10">
        <f t="shared" si="280"/>
        <v>0.77800000000000002</v>
      </c>
      <c r="I237" s="3">
        <f>T237*9/Q237</f>
        <v>2.1202396174494065</v>
      </c>
      <c r="J237" s="3">
        <f>S237*9/Q237</f>
        <v>2.2318311762625331</v>
      </c>
      <c r="K237" s="10">
        <f t="shared" si="280"/>
        <v>18</v>
      </c>
      <c r="L237" s="10">
        <f t="shared" si="280"/>
        <v>11</v>
      </c>
      <c r="M237" s="10">
        <f t="shared" si="280"/>
        <v>1</v>
      </c>
      <c r="N237" s="10">
        <f t="shared" si="280"/>
        <v>1</v>
      </c>
      <c r="O237" s="10">
        <f t="shared" si="280"/>
        <v>0</v>
      </c>
      <c r="P237" s="10">
        <f t="shared" si="280"/>
        <v>0</v>
      </c>
      <c r="Q237" s="13">
        <f t="shared" ref="Q237:Q241" si="281">Q229-(Q229-ROUNDDOWN(Q229,0))+(Q229-ROUNDDOWN(Q229,0))/0.3</f>
        <v>74.333333333333314</v>
      </c>
      <c r="R237" s="10">
        <f t="shared" si="280"/>
        <v>64</v>
      </c>
      <c r="S237" s="9">
        <f>S229*(C9/C6)*(1000/993)</f>
        <v>18.433272307649805</v>
      </c>
      <c r="T237" s="9">
        <f>T229*(C9/C6)*(1000/993)</f>
        <v>17.511608692267316</v>
      </c>
      <c r="U237" s="11">
        <f t="shared" ref="U237:U241" si="282">IFERROR(VLOOKUP(D237,$F$2:$AG$5,MATCH($U$173,$F$2:$AG$2,0),0)/I237*100,"-")</f>
        <v>244.7836535685262</v>
      </c>
      <c r="V237" s="11">
        <f t="shared" ref="V237:V241" si="283">VLOOKUP(D237,$F$2:$AG$5,26,0)/J237*100</f>
        <v>252.70728628519521</v>
      </c>
      <c r="W237" s="3">
        <f t="shared" ref="W237:W241" si="284">(V237^2/(V237^2+100^2)-0.325)/9*Q237</f>
        <v>4.456783034388776</v>
      </c>
    </row>
    <row r="238" spans="1:23" x14ac:dyDescent="0.3">
      <c r="A238" s="10" t="s">
        <v>523</v>
      </c>
      <c r="B238" s="10" t="s">
        <v>576</v>
      </c>
      <c r="C238" s="10">
        <v>27</v>
      </c>
      <c r="D238" s="10">
        <v>2017</v>
      </c>
      <c r="E238" s="10" t="s">
        <v>575</v>
      </c>
      <c r="F238" s="10">
        <f t="shared" ref="F238:R238" si="285">F230</f>
        <v>3</v>
      </c>
      <c r="G238" s="10">
        <f t="shared" si="285"/>
        <v>2</v>
      </c>
      <c r="H238" s="10">
        <f t="shared" si="285"/>
        <v>0.6</v>
      </c>
      <c r="I238" s="3">
        <f>T238*9/Q238</f>
        <v>3.1131491756816092</v>
      </c>
      <c r="J238" s="3">
        <f>S238*9/Q238</f>
        <v>3.2962755977805274</v>
      </c>
      <c r="K238" s="10">
        <f t="shared" si="285"/>
        <v>45</v>
      </c>
      <c r="L238" s="10">
        <f t="shared" si="285"/>
        <v>0</v>
      </c>
      <c r="M238" s="10">
        <f t="shared" si="285"/>
        <v>10</v>
      </c>
      <c r="N238" s="10">
        <f t="shared" si="285"/>
        <v>0</v>
      </c>
      <c r="O238" s="10">
        <f t="shared" si="285"/>
        <v>0</v>
      </c>
      <c r="P238" s="10">
        <f t="shared" si="285"/>
        <v>0</v>
      </c>
      <c r="Q238" s="13">
        <f t="shared" si="281"/>
        <v>62.666666666666679</v>
      </c>
      <c r="R238" s="10">
        <f t="shared" si="285"/>
        <v>64</v>
      </c>
      <c r="S238" s="9">
        <f>S230*(C9/C3)*(1000/1040)</f>
        <v>22.951844903064416</v>
      </c>
      <c r="T238" s="9">
        <f>T230*(C9/C3)*(1000/1040)</f>
        <v>21.676742408449726</v>
      </c>
      <c r="U238" s="11">
        <f t="shared" si="282"/>
        <v>159.96663567879469</v>
      </c>
      <c r="V238" s="11">
        <f t="shared" si="283"/>
        <v>164.12462609748715</v>
      </c>
      <c r="W238" s="3">
        <f t="shared" si="284"/>
        <v>2.8149029011752882</v>
      </c>
    </row>
    <row r="239" spans="1:23" x14ac:dyDescent="0.3">
      <c r="A239" s="10" t="s">
        <v>523</v>
      </c>
      <c r="B239" s="10" t="s">
        <v>576</v>
      </c>
      <c r="C239" s="10">
        <v>27</v>
      </c>
      <c r="D239" s="10">
        <v>2017</v>
      </c>
      <c r="E239" s="10" t="s">
        <v>575</v>
      </c>
      <c r="F239" s="10">
        <f t="shared" ref="F239:R239" si="286">F231</f>
        <v>2</v>
      </c>
      <c r="G239" s="10">
        <f t="shared" si="286"/>
        <v>0</v>
      </c>
      <c r="H239" s="10">
        <f t="shared" si="286"/>
        <v>1</v>
      </c>
      <c r="I239" s="3">
        <f>T239*9/Q239</f>
        <v>2.5700591352816504</v>
      </c>
      <c r="J239" s="3">
        <f>S239*9/Q239</f>
        <v>2.5700591352816504</v>
      </c>
      <c r="K239" s="10">
        <f t="shared" si="286"/>
        <v>7</v>
      </c>
      <c r="L239" s="10">
        <f t="shared" si="286"/>
        <v>7</v>
      </c>
      <c r="M239" s="10">
        <f t="shared" si="286"/>
        <v>0</v>
      </c>
      <c r="N239" s="10">
        <f t="shared" si="286"/>
        <v>0</v>
      </c>
      <c r="O239" s="10">
        <f t="shared" si="286"/>
        <v>0</v>
      </c>
      <c r="P239" s="10">
        <f t="shared" si="286"/>
        <v>0</v>
      </c>
      <c r="Q239" s="13">
        <f t="shared" si="281"/>
        <v>40.333333333333336</v>
      </c>
      <c r="R239" s="10">
        <f t="shared" si="286"/>
        <v>38</v>
      </c>
      <c r="S239" s="9">
        <f>S231*(C9/C6)*(1000/1033)</f>
        <v>11.517672421077027</v>
      </c>
      <c r="T239" s="9">
        <f>T231*(C9/C6)*(1000/1033)</f>
        <v>11.517672421077027</v>
      </c>
      <c r="U239" s="11">
        <f t="shared" si="282"/>
        <v>193.76986045320109</v>
      </c>
      <c r="V239" s="11">
        <f t="shared" si="283"/>
        <v>210.50099298229276</v>
      </c>
      <c r="W239" s="3">
        <f t="shared" si="284"/>
        <v>2.1998432411764992</v>
      </c>
    </row>
    <row r="240" spans="1:23" x14ac:dyDescent="0.3">
      <c r="A240" s="10" t="s">
        <v>523</v>
      </c>
      <c r="B240" s="10" t="s">
        <v>576</v>
      </c>
      <c r="C240" s="10">
        <v>28</v>
      </c>
      <c r="D240" s="10">
        <v>2018</v>
      </c>
      <c r="E240" s="10" t="s">
        <v>575</v>
      </c>
      <c r="F240" s="10">
        <f t="shared" ref="F240:R240" si="287">F232</f>
        <v>4</v>
      </c>
      <c r="G240" s="10">
        <f t="shared" si="287"/>
        <v>1</v>
      </c>
      <c r="H240" s="10">
        <f t="shared" si="287"/>
        <v>0.8</v>
      </c>
      <c r="I240" s="3">
        <f t="shared" ref="I240:I241" si="288">T240*9/Q240</f>
        <v>2.9547714894624675</v>
      </c>
      <c r="J240" s="3">
        <f t="shared" ref="J240:J241" si="289">S240*9/Q240</f>
        <v>2.9547714894624675</v>
      </c>
      <c r="K240" s="10">
        <f t="shared" si="287"/>
        <v>31</v>
      </c>
      <c r="L240" s="10">
        <f t="shared" si="287"/>
        <v>0</v>
      </c>
      <c r="M240" s="10">
        <f t="shared" si="287"/>
        <v>13</v>
      </c>
      <c r="N240" s="10">
        <f t="shared" si="287"/>
        <v>0</v>
      </c>
      <c r="O240" s="10">
        <f t="shared" si="287"/>
        <v>0</v>
      </c>
      <c r="P240" s="10">
        <f t="shared" si="287"/>
        <v>1</v>
      </c>
      <c r="Q240" s="13">
        <f t="shared" si="281"/>
        <v>34.333333333333336</v>
      </c>
      <c r="R240" s="10">
        <f t="shared" si="287"/>
        <v>41</v>
      </c>
      <c r="S240" s="9">
        <f>S232*(C9/C3)</f>
        <v>11.271906052393858</v>
      </c>
      <c r="T240" s="9">
        <f>T232*(C9/C3)</f>
        <v>11.271906052393858</v>
      </c>
      <c r="U240" s="11">
        <f t="shared" si="282"/>
        <v>190.87770476037824</v>
      </c>
      <c r="V240" s="11">
        <f t="shared" si="283"/>
        <v>191.89301170059304</v>
      </c>
      <c r="W240" s="3">
        <f t="shared" si="284"/>
        <v>1.760267777414092</v>
      </c>
    </row>
    <row r="241" spans="1:23" x14ac:dyDescent="0.3">
      <c r="A241" s="10" t="s">
        <v>523</v>
      </c>
      <c r="B241" s="10" t="s">
        <v>576</v>
      </c>
      <c r="C241" s="10">
        <v>28</v>
      </c>
      <c r="D241" s="10">
        <v>2018</v>
      </c>
      <c r="E241" s="10" t="s">
        <v>575</v>
      </c>
      <c r="F241" s="10">
        <f t="shared" ref="F241:R241" si="290">F233</f>
        <v>3</v>
      </c>
      <c r="G241" s="10">
        <f t="shared" si="290"/>
        <v>2</v>
      </c>
      <c r="H241" s="10">
        <f t="shared" si="290"/>
        <v>0.6</v>
      </c>
      <c r="I241" s="3">
        <f t="shared" si="288"/>
        <v>4.4344738401520942</v>
      </c>
      <c r="J241" s="3">
        <f t="shared" si="289"/>
        <v>4.5873867311918222</v>
      </c>
      <c r="K241" s="10">
        <f t="shared" si="290"/>
        <v>15</v>
      </c>
      <c r="L241" s="10">
        <f t="shared" si="290"/>
        <v>8</v>
      </c>
      <c r="M241" s="10">
        <f t="shared" si="290"/>
        <v>1</v>
      </c>
      <c r="N241" s="10">
        <f t="shared" si="290"/>
        <v>0</v>
      </c>
      <c r="O241" s="10">
        <f t="shared" si="290"/>
        <v>0</v>
      </c>
      <c r="P241" s="10">
        <f t="shared" si="290"/>
        <v>0</v>
      </c>
      <c r="Q241" s="13">
        <f t="shared" si="281"/>
        <v>53.333333333333336</v>
      </c>
      <c r="R241" s="10">
        <f t="shared" si="290"/>
        <v>59</v>
      </c>
      <c r="S241" s="9">
        <f>S233*(C9/C6)*(1000/1010)</f>
        <v>27.184513962618205</v>
      </c>
      <c r="T241" s="9">
        <f>T233*(C9/C6)*(1000/1010)</f>
        <v>26.278363497197596</v>
      </c>
      <c r="U241" s="11">
        <f t="shared" si="282"/>
        <v>127.18532577489641</v>
      </c>
      <c r="V241" s="11">
        <f t="shared" si="283"/>
        <v>123.59978201634878</v>
      </c>
      <c r="W241" s="3">
        <f t="shared" si="284"/>
        <v>1.655596812724982</v>
      </c>
    </row>
    <row r="242" spans="1:23" x14ac:dyDescent="0.3">
      <c r="I242" s="3"/>
      <c r="J242" s="3"/>
    </row>
    <row r="243" spans="1:23" x14ac:dyDescent="0.3">
      <c r="B243" s="10" t="s">
        <v>146</v>
      </c>
      <c r="C243" s="10" t="s">
        <v>176</v>
      </c>
      <c r="D243" s="10" t="s">
        <v>173</v>
      </c>
      <c r="E243" s="10" t="s">
        <v>171</v>
      </c>
      <c r="F243" s="10" t="s">
        <v>531</v>
      </c>
      <c r="G243" s="10" t="s">
        <v>532</v>
      </c>
      <c r="H243" s="10" t="s">
        <v>533</v>
      </c>
      <c r="I243" s="10" t="s">
        <v>534</v>
      </c>
      <c r="J243" s="10" t="s">
        <v>535</v>
      </c>
      <c r="K243" s="10" t="s">
        <v>148</v>
      </c>
      <c r="L243" s="10" t="s">
        <v>536</v>
      </c>
      <c r="M243" s="10" t="s">
        <v>537</v>
      </c>
      <c r="N243" s="10" t="s">
        <v>538</v>
      </c>
      <c r="O243" s="10" t="s">
        <v>539</v>
      </c>
      <c r="P243" s="10" t="s">
        <v>540</v>
      </c>
      <c r="Q243" s="10" t="s">
        <v>541</v>
      </c>
      <c r="R243" s="10" t="s">
        <v>152</v>
      </c>
      <c r="S243" s="10" t="s">
        <v>151</v>
      </c>
      <c r="T243" s="10" t="s">
        <v>542</v>
      </c>
    </row>
    <row r="244" spans="1:23" x14ac:dyDescent="0.3">
      <c r="B244" s="5" t="s">
        <v>578</v>
      </c>
      <c r="C244" s="5">
        <v>28</v>
      </c>
      <c r="D244" s="5">
        <v>2016</v>
      </c>
      <c r="E244" s="5" t="s">
        <v>579</v>
      </c>
      <c r="F244" s="5">
        <v>0</v>
      </c>
      <c r="G244" s="5">
        <v>3</v>
      </c>
      <c r="H244" s="5">
        <v>0</v>
      </c>
      <c r="I244" s="5">
        <v>5.24</v>
      </c>
      <c r="J244" s="5">
        <v>6.29</v>
      </c>
      <c r="K244" s="5">
        <v>11</v>
      </c>
      <c r="L244" s="5">
        <v>4</v>
      </c>
      <c r="M244" s="5">
        <v>0</v>
      </c>
      <c r="N244" s="5">
        <v>0</v>
      </c>
      <c r="O244" s="5">
        <v>0</v>
      </c>
      <c r="P244" s="5">
        <v>0</v>
      </c>
      <c r="Q244" s="5">
        <v>34.1</v>
      </c>
      <c r="R244" s="5">
        <v>39</v>
      </c>
      <c r="S244" s="5">
        <v>24</v>
      </c>
      <c r="T244" s="5">
        <v>20</v>
      </c>
    </row>
    <row r="246" spans="1:23" x14ac:dyDescent="0.3">
      <c r="B246" s="10" t="s">
        <v>146</v>
      </c>
      <c r="C246" s="10" t="s">
        <v>176</v>
      </c>
      <c r="D246" s="10" t="s">
        <v>173</v>
      </c>
      <c r="E246" s="10" t="s">
        <v>171</v>
      </c>
      <c r="F246" s="10" t="s">
        <v>531</v>
      </c>
      <c r="G246" s="10" t="s">
        <v>532</v>
      </c>
      <c r="H246" s="10" t="s">
        <v>533</v>
      </c>
      <c r="I246" s="10" t="s">
        <v>534</v>
      </c>
      <c r="J246" s="10" t="s">
        <v>535</v>
      </c>
      <c r="K246" s="10" t="s">
        <v>148</v>
      </c>
      <c r="L246" s="10" t="s">
        <v>536</v>
      </c>
      <c r="M246" s="10" t="s">
        <v>537</v>
      </c>
      <c r="N246" s="10" t="s">
        <v>538</v>
      </c>
      <c r="O246" s="10" t="s">
        <v>539</v>
      </c>
      <c r="P246" s="10" t="s">
        <v>540</v>
      </c>
      <c r="Q246" s="10" t="s">
        <v>541</v>
      </c>
      <c r="R246" s="10" t="s">
        <v>152</v>
      </c>
      <c r="S246" s="10" t="s">
        <v>151</v>
      </c>
      <c r="T246" s="10" t="s">
        <v>542</v>
      </c>
      <c r="U246" s="10" t="s">
        <v>550</v>
      </c>
      <c r="V246" s="10" t="s">
        <v>559</v>
      </c>
      <c r="W246" s="10" t="s">
        <v>549</v>
      </c>
    </row>
    <row r="247" spans="1:23" x14ac:dyDescent="0.3">
      <c r="A247" s="10" t="s">
        <v>523</v>
      </c>
      <c r="B247" s="10" t="s">
        <v>578</v>
      </c>
      <c r="C247" s="5">
        <f>C244</f>
        <v>28</v>
      </c>
      <c r="D247" s="10">
        <f t="shared" ref="D247:R247" si="291">D244</f>
        <v>2016</v>
      </c>
      <c r="E247" s="10" t="s">
        <v>581</v>
      </c>
      <c r="F247" s="10">
        <f t="shared" si="291"/>
        <v>0</v>
      </c>
      <c r="G247" s="10">
        <f t="shared" si="291"/>
        <v>3</v>
      </c>
      <c r="H247" s="10">
        <f t="shared" si="291"/>
        <v>0</v>
      </c>
      <c r="I247" s="3">
        <f>T247*9/Q247</f>
        <v>4.3227015117676801</v>
      </c>
      <c r="J247" s="3">
        <f>S247*9/Q247</f>
        <v>5.1872418141212178</v>
      </c>
      <c r="K247" s="10">
        <f t="shared" si="291"/>
        <v>11</v>
      </c>
      <c r="L247" s="10">
        <f t="shared" si="291"/>
        <v>4</v>
      </c>
      <c r="M247" s="10">
        <f t="shared" si="291"/>
        <v>0</v>
      </c>
      <c r="N247" s="10">
        <f t="shared" si="291"/>
        <v>0</v>
      </c>
      <c r="O247" s="10">
        <f t="shared" si="291"/>
        <v>0</v>
      </c>
      <c r="P247" s="10">
        <f t="shared" si="291"/>
        <v>0</v>
      </c>
      <c r="Q247" s="13">
        <f>Q244-(Q244-ROUNDDOWN(Q244,0))+(Q244-ROUNDDOWN(Q244,0))/0.3</f>
        <v>34.333333333333336</v>
      </c>
      <c r="R247" s="10">
        <f t="shared" si="291"/>
        <v>39</v>
      </c>
      <c r="S247" s="9">
        <f>S244*(C9/C8)*(1000/1110)</f>
        <v>19.788366920536497</v>
      </c>
      <c r="T247" s="9">
        <f>T244*(C9/C8)*(1000/1110)</f>
        <v>16.490305767113746</v>
      </c>
      <c r="U247" s="11">
        <f>IFERROR(VLOOKUP(D247,$F$2:$AG$5,MATCH($U$173,$F$2:$AG$2,0),0)/I247*100,"-")</f>
        <v>120.06380699364219</v>
      </c>
      <c r="V247" s="11">
        <f>VLOOKUP(D247,$F$2:$AG$5,26,0)/J247*100</f>
        <v>108.72830305782621</v>
      </c>
      <c r="W247" s="3">
        <f>(V247^2/(V247^2+100^2)-0.325)/9*Q247</f>
        <v>0.82683662995079188</v>
      </c>
    </row>
    <row r="249" spans="1:23" x14ac:dyDescent="0.3">
      <c r="B249" s="10" t="s">
        <v>146</v>
      </c>
      <c r="C249" s="10" t="s">
        <v>176</v>
      </c>
      <c r="D249" s="10" t="s">
        <v>173</v>
      </c>
      <c r="E249" s="10" t="s">
        <v>171</v>
      </c>
      <c r="F249" s="10" t="s">
        <v>531</v>
      </c>
      <c r="G249" s="10" t="s">
        <v>532</v>
      </c>
      <c r="H249" s="10" t="s">
        <v>533</v>
      </c>
      <c r="I249" s="10" t="s">
        <v>534</v>
      </c>
      <c r="J249" s="10" t="s">
        <v>535</v>
      </c>
      <c r="K249" s="10" t="s">
        <v>148</v>
      </c>
      <c r="L249" s="10" t="s">
        <v>536</v>
      </c>
      <c r="M249" s="10" t="s">
        <v>537</v>
      </c>
      <c r="N249" s="10" t="s">
        <v>538</v>
      </c>
      <c r="O249" s="10" t="s">
        <v>539</v>
      </c>
      <c r="P249" s="10" t="s">
        <v>540</v>
      </c>
      <c r="Q249" s="10" t="s">
        <v>541</v>
      </c>
      <c r="R249" s="10" t="s">
        <v>152</v>
      </c>
      <c r="S249" s="10" t="s">
        <v>151</v>
      </c>
      <c r="T249" s="10" t="s">
        <v>542</v>
      </c>
    </row>
    <row r="250" spans="1:23" x14ac:dyDescent="0.3">
      <c r="B250" s="5" t="s">
        <v>580</v>
      </c>
      <c r="C250" s="5">
        <v>26</v>
      </c>
      <c r="D250" s="5">
        <v>2016</v>
      </c>
      <c r="E250" s="5" t="s">
        <v>582</v>
      </c>
      <c r="F250" s="5">
        <v>0</v>
      </c>
      <c r="G250" s="5">
        <v>1</v>
      </c>
      <c r="H250" s="5">
        <v>0</v>
      </c>
      <c r="I250" s="5">
        <v>16.62</v>
      </c>
      <c r="J250" s="5">
        <v>16.62</v>
      </c>
      <c r="K250" s="5">
        <v>1</v>
      </c>
      <c r="L250" s="5">
        <v>1</v>
      </c>
      <c r="M250" s="5">
        <v>0</v>
      </c>
      <c r="N250" s="5">
        <v>0</v>
      </c>
      <c r="O250" s="5">
        <v>0</v>
      </c>
      <c r="P250" s="5">
        <v>0</v>
      </c>
      <c r="Q250" s="5">
        <v>4.0999999999999996</v>
      </c>
      <c r="R250" s="5">
        <v>11</v>
      </c>
      <c r="S250" s="5">
        <v>8</v>
      </c>
      <c r="T250" s="5">
        <v>8</v>
      </c>
    </row>
    <row r="251" spans="1:23" x14ac:dyDescent="0.3">
      <c r="B251" s="10" t="s">
        <v>580</v>
      </c>
      <c r="C251" s="10">
        <v>26</v>
      </c>
      <c r="D251" s="10">
        <v>2016</v>
      </c>
      <c r="E251" s="10" t="s">
        <v>582</v>
      </c>
      <c r="F251" s="5">
        <v>2</v>
      </c>
      <c r="G251" s="5">
        <v>0</v>
      </c>
      <c r="H251" s="5">
        <v>1</v>
      </c>
      <c r="I251" s="5">
        <v>2.64</v>
      </c>
      <c r="J251" s="5">
        <v>3.23</v>
      </c>
      <c r="K251" s="5">
        <v>18</v>
      </c>
      <c r="L251" s="5">
        <v>0</v>
      </c>
      <c r="M251" s="5">
        <v>7</v>
      </c>
      <c r="N251" s="5">
        <v>0</v>
      </c>
      <c r="O251" s="5">
        <v>0</v>
      </c>
      <c r="P251" s="5">
        <v>1</v>
      </c>
      <c r="Q251" s="5">
        <v>30.2</v>
      </c>
      <c r="R251" s="5">
        <v>33</v>
      </c>
      <c r="S251" s="5">
        <v>11</v>
      </c>
      <c r="T251" s="5">
        <v>9</v>
      </c>
    </row>
    <row r="252" spans="1:23" x14ac:dyDescent="0.3">
      <c r="B252" s="10" t="s">
        <v>580</v>
      </c>
      <c r="C252" s="10">
        <v>26</v>
      </c>
      <c r="D252" s="10">
        <v>2016</v>
      </c>
      <c r="E252" s="10" t="s">
        <v>582</v>
      </c>
      <c r="F252" s="5">
        <v>1</v>
      </c>
      <c r="G252" s="5">
        <v>1</v>
      </c>
      <c r="H252" s="5">
        <v>0.5</v>
      </c>
      <c r="I252" s="5">
        <v>4.13</v>
      </c>
      <c r="J252" s="5">
        <v>5.25</v>
      </c>
      <c r="K252" s="5">
        <v>7</v>
      </c>
      <c r="L252" s="5">
        <v>4</v>
      </c>
      <c r="M252" s="5">
        <v>0</v>
      </c>
      <c r="N252" s="5">
        <v>0</v>
      </c>
      <c r="O252" s="5">
        <v>0</v>
      </c>
      <c r="P252" s="5">
        <v>0</v>
      </c>
      <c r="Q252" s="5">
        <v>24</v>
      </c>
      <c r="R252" s="5">
        <v>26</v>
      </c>
      <c r="S252" s="5">
        <v>14</v>
      </c>
      <c r="T252" s="5">
        <v>11</v>
      </c>
    </row>
    <row r="253" spans="1:23" x14ac:dyDescent="0.3">
      <c r="B253" s="10" t="s">
        <v>580</v>
      </c>
      <c r="C253" s="5">
        <v>27</v>
      </c>
      <c r="D253" s="5">
        <v>2017</v>
      </c>
      <c r="E253" s="5" t="s">
        <v>582</v>
      </c>
      <c r="F253" s="5">
        <v>8</v>
      </c>
      <c r="G253" s="5">
        <v>8</v>
      </c>
      <c r="H253" s="5">
        <v>0.5</v>
      </c>
      <c r="I253" s="5">
        <v>4.21</v>
      </c>
      <c r="J253" s="5">
        <v>4.68</v>
      </c>
      <c r="K253" s="5">
        <v>28</v>
      </c>
      <c r="L253" s="5">
        <v>21</v>
      </c>
      <c r="M253" s="5">
        <v>2</v>
      </c>
      <c r="N253" s="5">
        <v>0</v>
      </c>
      <c r="O253" s="5">
        <v>0</v>
      </c>
      <c r="P253" s="5">
        <v>0</v>
      </c>
      <c r="Q253" s="5">
        <v>134.19999999999999</v>
      </c>
      <c r="R253" s="5">
        <v>139</v>
      </c>
      <c r="S253" s="5">
        <v>70</v>
      </c>
      <c r="T253" s="5">
        <v>63</v>
      </c>
    </row>
    <row r="254" spans="1:23" x14ac:dyDescent="0.3">
      <c r="B254" s="10" t="s">
        <v>580</v>
      </c>
      <c r="C254" s="5">
        <v>27</v>
      </c>
      <c r="D254" s="5">
        <v>2017</v>
      </c>
      <c r="E254" s="5" t="s">
        <v>583</v>
      </c>
      <c r="F254" s="5">
        <v>0</v>
      </c>
      <c r="G254" s="5">
        <v>0</v>
      </c>
      <c r="I254" s="5">
        <v>1.5</v>
      </c>
      <c r="J254" s="5">
        <v>1.5</v>
      </c>
      <c r="K254" s="5">
        <v>1</v>
      </c>
      <c r="L254" s="5">
        <v>1</v>
      </c>
      <c r="M254" s="5">
        <v>0</v>
      </c>
      <c r="N254" s="5">
        <v>0</v>
      </c>
      <c r="O254" s="5">
        <v>0</v>
      </c>
      <c r="P254" s="5">
        <v>0</v>
      </c>
      <c r="Q254" s="5">
        <v>6</v>
      </c>
      <c r="R254" s="5">
        <v>6</v>
      </c>
      <c r="S254" s="5">
        <v>1</v>
      </c>
      <c r="T254" s="5">
        <v>1</v>
      </c>
    </row>
    <row r="255" spans="1:23" x14ac:dyDescent="0.3">
      <c r="B255" s="10" t="s">
        <v>580</v>
      </c>
      <c r="C255" s="5">
        <v>28</v>
      </c>
      <c r="D255" s="5">
        <v>2018</v>
      </c>
      <c r="E255" s="5" t="s">
        <v>582</v>
      </c>
      <c r="F255" s="5">
        <v>5</v>
      </c>
      <c r="G255" s="5">
        <v>11</v>
      </c>
      <c r="H255" s="5">
        <v>0.313</v>
      </c>
      <c r="I255" s="5">
        <v>4.0599999999999996</v>
      </c>
      <c r="J255" s="5">
        <v>5.09</v>
      </c>
      <c r="K255" s="5">
        <v>26</v>
      </c>
      <c r="L255" s="5">
        <v>23</v>
      </c>
      <c r="M255" s="5">
        <v>2</v>
      </c>
      <c r="N255" s="5">
        <v>0</v>
      </c>
      <c r="O255" s="5">
        <v>0</v>
      </c>
      <c r="P255" s="5">
        <v>1</v>
      </c>
      <c r="Q255" s="5">
        <v>148.19999999999999</v>
      </c>
      <c r="R255" s="5">
        <v>165</v>
      </c>
      <c r="S255" s="5">
        <v>84</v>
      </c>
      <c r="T255" s="5">
        <v>67</v>
      </c>
    </row>
    <row r="257" spans="1:23" x14ac:dyDescent="0.3">
      <c r="B257" s="10" t="s">
        <v>146</v>
      </c>
      <c r="C257" s="10" t="s">
        <v>176</v>
      </c>
      <c r="D257" s="10" t="s">
        <v>173</v>
      </c>
      <c r="E257" s="10" t="s">
        <v>171</v>
      </c>
      <c r="F257" s="10" t="s">
        <v>531</v>
      </c>
      <c r="G257" s="10" t="s">
        <v>532</v>
      </c>
      <c r="H257" s="10" t="s">
        <v>533</v>
      </c>
      <c r="I257" s="10" t="s">
        <v>534</v>
      </c>
      <c r="J257" s="10" t="s">
        <v>535</v>
      </c>
      <c r="K257" s="10" t="s">
        <v>148</v>
      </c>
      <c r="L257" s="10" t="s">
        <v>536</v>
      </c>
      <c r="M257" s="10" t="s">
        <v>537</v>
      </c>
      <c r="N257" s="10" t="s">
        <v>538</v>
      </c>
      <c r="O257" s="10" t="s">
        <v>539</v>
      </c>
      <c r="P257" s="10" t="s">
        <v>540</v>
      </c>
      <c r="Q257" s="10" t="s">
        <v>541</v>
      </c>
      <c r="R257" s="10" t="s">
        <v>152</v>
      </c>
      <c r="S257" s="10" t="s">
        <v>151</v>
      </c>
      <c r="T257" s="10" t="s">
        <v>542</v>
      </c>
      <c r="U257" s="10" t="s">
        <v>550</v>
      </c>
      <c r="V257" s="10" t="s">
        <v>559</v>
      </c>
      <c r="W257" s="10" t="s">
        <v>549</v>
      </c>
    </row>
    <row r="258" spans="1:23" x14ac:dyDescent="0.3">
      <c r="A258" s="10" t="s">
        <v>523</v>
      </c>
      <c r="B258" s="10" t="s">
        <v>580</v>
      </c>
      <c r="C258" s="10">
        <v>26</v>
      </c>
      <c r="D258" s="10">
        <v>2016</v>
      </c>
      <c r="E258" s="5" t="s">
        <v>581</v>
      </c>
      <c r="F258" s="5">
        <f t="shared" ref="F258:H263" si="292">F250</f>
        <v>0</v>
      </c>
      <c r="G258" s="10">
        <f t="shared" si="292"/>
        <v>1</v>
      </c>
      <c r="H258" s="10">
        <f t="shared" si="292"/>
        <v>0</v>
      </c>
      <c r="I258" s="3">
        <f>T258*9/Q258</f>
        <v>17.003286568503963</v>
      </c>
      <c r="J258" s="3">
        <f>S258*9/Q258</f>
        <v>17.003286568503963</v>
      </c>
      <c r="K258" s="10">
        <f t="shared" ref="K258:P263" si="293">K250</f>
        <v>1</v>
      </c>
      <c r="L258" s="10">
        <f t="shared" si="293"/>
        <v>1</v>
      </c>
      <c r="M258" s="10">
        <f t="shared" si="293"/>
        <v>0</v>
      </c>
      <c r="N258" s="10">
        <f t="shared" si="293"/>
        <v>0</v>
      </c>
      <c r="O258" s="10">
        <f t="shared" si="293"/>
        <v>0</v>
      </c>
      <c r="P258" s="10">
        <f t="shared" si="293"/>
        <v>0</v>
      </c>
      <c r="Q258" s="13">
        <f t="shared" ref="Q258:Q263" si="294">Q250-(Q250-ROUNDDOWN(Q250,0))+(Q250-ROUNDDOWN(Q250,0))/0.3</f>
        <v>4.3333333333333321</v>
      </c>
      <c r="R258" s="10">
        <f t="shared" ref="R258:R263" si="295">R250</f>
        <v>11</v>
      </c>
      <c r="S258" s="9">
        <f>S250*(C9/C5)*(1000/945)</f>
        <v>8.1867676070574618</v>
      </c>
      <c r="T258" s="9">
        <f>T250*(C9/C5)*(1000/945)</f>
        <v>8.1867676070574618</v>
      </c>
      <c r="U258" s="11">
        <f>IFERROR(VLOOKUP(D258,$F$2:$AG$5,MATCH($U$173,$F$2:$AG$2,0),0)/I258*100,"-")</f>
        <v>30.52351072888283</v>
      </c>
      <c r="V258" s="11">
        <f>VLOOKUP(D258,$F$2:$AG$5,26,0)/J258*100</f>
        <v>33.170057901907349</v>
      </c>
      <c r="W258" s="3">
        <f>(V258^2/(V258^2+100^2)-0.325)/9*Q258</f>
        <v>-0.10875722400780354</v>
      </c>
    </row>
    <row r="259" spans="1:23" x14ac:dyDescent="0.3">
      <c r="A259" s="10" t="s">
        <v>523</v>
      </c>
      <c r="B259" s="10" t="s">
        <v>580</v>
      </c>
      <c r="C259" s="10">
        <v>26</v>
      </c>
      <c r="D259" s="10">
        <v>2016</v>
      </c>
      <c r="E259" s="10" t="s">
        <v>581</v>
      </c>
      <c r="F259" s="10">
        <f t="shared" si="292"/>
        <v>2</v>
      </c>
      <c r="G259" s="10">
        <f t="shared" si="292"/>
        <v>0</v>
      </c>
      <c r="H259" s="10">
        <f t="shared" si="292"/>
        <v>1</v>
      </c>
      <c r="I259" s="3">
        <f t="shared" ref="I259:I263" si="296">T259*9/Q259</f>
        <v>2.9874910682790499</v>
      </c>
      <c r="J259" s="3">
        <f t="shared" ref="J259:J263" si="297">S259*9/Q259</f>
        <v>3.6513779723410607</v>
      </c>
      <c r="K259" s="10">
        <f t="shared" si="293"/>
        <v>18</v>
      </c>
      <c r="L259" s="10">
        <f t="shared" si="293"/>
        <v>0</v>
      </c>
      <c r="M259" s="10">
        <f t="shared" si="293"/>
        <v>7</v>
      </c>
      <c r="N259" s="10">
        <f t="shared" si="293"/>
        <v>0</v>
      </c>
      <c r="O259" s="10">
        <f t="shared" si="293"/>
        <v>0</v>
      </c>
      <c r="P259" s="10">
        <f t="shared" si="293"/>
        <v>1</v>
      </c>
      <c r="Q259" s="13">
        <f t="shared" si="294"/>
        <v>30.666666666666664</v>
      </c>
      <c r="R259" s="10">
        <f t="shared" si="295"/>
        <v>33</v>
      </c>
      <c r="S259" s="9">
        <f>S251*(C9/C5)*(1000/855)</f>
        <v>12.441732350199167</v>
      </c>
      <c r="T259" s="9">
        <f>T251*(C9/C5)*(1000/855)</f>
        <v>10.179599195617502</v>
      </c>
      <c r="U259" s="11">
        <f t="shared" ref="U259:U263" si="298">IFERROR(VLOOKUP(D259,$F$2:$AG$5,MATCH($U$173,$F$2:$AG$2,0),0)/I259*100,"-")</f>
        <v>173.72436875567666</v>
      </c>
      <c r="V259" s="11">
        <f t="shared" ref="V259:V263" si="299">VLOOKUP(D259,$F$2:$AG$5,26,0)/J259*100</f>
        <v>154.46223433242506</v>
      </c>
      <c r="W259" s="3">
        <f t="shared" ref="W259:W263" si="300">(V259^2/(V259^2+100^2)-0.325)/9*Q259</f>
        <v>1.2936355208212955</v>
      </c>
    </row>
    <row r="260" spans="1:23" x14ac:dyDescent="0.3">
      <c r="A260" s="10" t="s">
        <v>523</v>
      </c>
      <c r="B260" s="10" t="s">
        <v>580</v>
      </c>
      <c r="C260" s="10">
        <v>26</v>
      </c>
      <c r="D260" s="10">
        <v>2016</v>
      </c>
      <c r="E260" s="10" t="s">
        <v>581</v>
      </c>
      <c r="F260" s="10">
        <f t="shared" si="292"/>
        <v>1</v>
      </c>
      <c r="G260" s="10">
        <f t="shared" si="292"/>
        <v>1</v>
      </c>
      <c r="H260" s="10">
        <f t="shared" si="292"/>
        <v>0.5</v>
      </c>
      <c r="I260" s="3">
        <f t="shared" si="296"/>
        <v>4.6385237613751267</v>
      </c>
      <c r="J260" s="3">
        <f t="shared" si="297"/>
        <v>5.9035756962956158</v>
      </c>
      <c r="K260" s="10">
        <f t="shared" si="293"/>
        <v>7</v>
      </c>
      <c r="L260" s="10">
        <f t="shared" si="293"/>
        <v>4</v>
      </c>
      <c r="M260" s="10">
        <f t="shared" si="293"/>
        <v>0</v>
      </c>
      <c r="N260" s="10">
        <f t="shared" si="293"/>
        <v>0</v>
      </c>
      <c r="O260" s="10">
        <f t="shared" si="293"/>
        <v>0</v>
      </c>
      <c r="P260" s="10">
        <f t="shared" si="293"/>
        <v>0</v>
      </c>
      <c r="Q260" s="13">
        <f t="shared" si="294"/>
        <v>24</v>
      </c>
      <c r="R260" s="10">
        <f t="shared" si="295"/>
        <v>26</v>
      </c>
      <c r="S260" s="9">
        <f>S252*(C9/C5)*(1000/860)</f>
        <v>15.742868523454975</v>
      </c>
      <c r="T260" s="9">
        <f>T252*(C9/C5)*(1000/860)</f>
        <v>12.369396697000337</v>
      </c>
      <c r="U260" s="11">
        <f t="shared" si="298"/>
        <v>111.8890463215259</v>
      </c>
      <c r="V260" s="11">
        <f t="shared" si="299"/>
        <v>95.535321136629022</v>
      </c>
      <c r="W260" s="3">
        <f t="shared" si="300"/>
        <v>0.40581010957897135</v>
      </c>
    </row>
    <row r="261" spans="1:23" x14ac:dyDescent="0.3">
      <c r="A261" s="10" t="s">
        <v>523</v>
      </c>
      <c r="B261" s="10" t="s">
        <v>580</v>
      </c>
      <c r="C261" s="10">
        <v>27</v>
      </c>
      <c r="D261" s="10">
        <v>2017</v>
      </c>
      <c r="E261" s="10" t="s">
        <v>581</v>
      </c>
      <c r="F261" s="10">
        <f t="shared" si="292"/>
        <v>8</v>
      </c>
      <c r="G261" s="10">
        <f t="shared" si="292"/>
        <v>8</v>
      </c>
      <c r="H261" s="10">
        <f t="shared" si="292"/>
        <v>0.5</v>
      </c>
      <c r="I261" s="3">
        <f t="shared" si="296"/>
        <v>3.5100980113003812</v>
      </c>
      <c r="J261" s="3">
        <f t="shared" si="297"/>
        <v>3.9001089014448675</v>
      </c>
      <c r="K261" s="10">
        <f t="shared" si="293"/>
        <v>28</v>
      </c>
      <c r="L261" s="10">
        <f t="shared" si="293"/>
        <v>21</v>
      </c>
      <c r="M261" s="10">
        <f t="shared" si="293"/>
        <v>2</v>
      </c>
      <c r="N261" s="10">
        <f t="shared" si="293"/>
        <v>0</v>
      </c>
      <c r="O261" s="10">
        <f t="shared" si="293"/>
        <v>0</v>
      </c>
      <c r="P261" s="10">
        <f t="shared" si="293"/>
        <v>0</v>
      </c>
      <c r="Q261" s="13">
        <f t="shared" si="294"/>
        <v>134.66666666666663</v>
      </c>
      <c r="R261" s="10">
        <f t="shared" si="295"/>
        <v>139</v>
      </c>
      <c r="S261" s="9">
        <f>S253*(C9/C5)*(1000/1160)</f>
        <v>58.35718504384171</v>
      </c>
      <c r="T261" s="9">
        <f>T253*(C9/C5)*(1000/1160)</f>
        <v>52.521466539457542</v>
      </c>
      <c r="U261" s="11">
        <f t="shared" si="298"/>
        <v>141.87638020270171</v>
      </c>
      <c r="V261" s="11">
        <f t="shared" si="299"/>
        <v>138.71407534276199</v>
      </c>
      <c r="W261" s="3">
        <f t="shared" si="300"/>
        <v>4.9829866779169407</v>
      </c>
    </row>
    <row r="262" spans="1:23" x14ac:dyDescent="0.3">
      <c r="A262" s="10" t="s">
        <v>523</v>
      </c>
      <c r="B262" s="10" t="s">
        <v>580</v>
      </c>
      <c r="C262" s="10">
        <v>27</v>
      </c>
      <c r="D262" s="10">
        <v>2017</v>
      </c>
      <c r="E262" s="10" t="s">
        <v>581</v>
      </c>
      <c r="F262" s="10">
        <f t="shared" si="292"/>
        <v>0</v>
      </c>
      <c r="G262" s="10">
        <f t="shared" si="292"/>
        <v>0</v>
      </c>
      <c r="H262" s="10">
        <f t="shared" si="292"/>
        <v>0</v>
      </c>
      <c r="I262" s="3">
        <f t="shared" si="296"/>
        <v>1.7271942897482153</v>
      </c>
      <c r="J262" s="3">
        <f t="shared" si="297"/>
        <v>1.6490799751364869</v>
      </c>
      <c r="K262" s="10">
        <f t="shared" si="293"/>
        <v>1</v>
      </c>
      <c r="L262" s="10">
        <f t="shared" si="293"/>
        <v>1</v>
      </c>
      <c r="M262" s="10">
        <f t="shared" si="293"/>
        <v>0</v>
      </c>
      <c r="N262" s="10">
        <f t="shared" si="293"/>
        <v>0</v>
      </c>
      <c r="O262" s="10">
        <f t="shared" si="293"/>
        <v>0</v>
      </c>
      <c r="P262" s="10">
        <f t="shared" si="293"/>
        <v>0</v>
      </c>
      <c r="Q262" s="13">
        <f t="shared" si="294"/>
        <v>6</v>
      </c>
      <c r="R262" s="10">
        <f t="shared" si="295"/>
        <v>6</v>
      </c>
      <c r="S262" s="9">
        <f>S254*(C9/C11)*(1000/995)</f>
        <v>1.0993866500909912</v>
      </c>
      <c r="T262" s="9">
        <f>T254*(C9/C11)*(1000/950)</f>
        <v>1.1514628598321435</v>
      </c>
      <c r="U262" s="11">
        <f t="shared" si="298"/>
        <v>288.32888283378753</v>
      </c>
      <c r="V262" s="11">
        <f t="shared" si="299"/>
        <v>328.06171207992742</v>
      </c>
      <c r="W262" s="3">
        <f t="shared" si="300"/>
        <v>0.39332245911963337</v>
      </c>
    </row>
    <row r="263" spans="1:23" x14ac:dyDescent="0.3">
      <c r="A263" s="10" t="s">
        <v>523</v>
      </c>
      <c r="B263" s="10" t="s">
        <v>580</v>
      </c>
      <c r="C263" s="10">
        <v>28</v>
      </c>
      <c r="D263" s="10">
        <v>2018</v>
      </c>
      <c r="E263" s="10" t="s">
        <v>581</v>
      </c>
      <c r="F263" s="10">
        <f t="shared" si="292"/>
        <v>5</v>
      </c>
      <c r="G263" s="10">
        <f t="shared" si="292"/>
        <v>11</v>
      </c>
      <c r="H263" s="10">
        <f t="shared" si="292"/>
        <v>0.313</v>
      </c>
      <c r="I263" s="3">
        <f t="shared" si="296"/>
        <v>4.7834819527585219</v>
      </c>
      <c r="J263" s="3">
        <f t="shared" si="297"/>
        <v>5.9972012542047128</v>
      </c>
      <c r="K263" s="10">
        <f t="shared" si="293"/>
        <v>26</v>
      </c>
      <c r="L263" s="10">
        <f t="shared" si="293"/>
        <v>23</v>
      </c>
      <c r="M263" s="10">
        <f t="shared" si="293"/>
        <v>2</v>
      </c>
      <c r="N263" s="10">
        <f t="shared" si="293"/>
        <v>0</v>
      </c>
      <c r="O263" s="10">
        <f t="shared" si="293"/>
        <v>0</v>
      </c>
      <c r="P263" s="10">
        <f t="shared" si="293"/>
        <v>1</v>
      </c>
      <c r="Q263" s="13">
        <f t="shared" si="294"/>
        <v>148.66666666666663</v>
      </c>
      <c r="R263" s="10">
        <f t="shared" si="295"/>
        <v>165</v>
      </c>
      <c r="S263" s="9">
        <f>S255*(C9/C5)*(1000/820)</f>
        <v>99.064879976863011</v>
      </c>
      <c r="T263" s="9">
        <f>T255*(C9/C5)*(1000/820)</f>
        <v>79.016035219640742</v>
      </c>
      <c r="U263" s="11">
        <f t="shared" si="298"/>
        <v>117.90574430300806</v>
      </c>
      <c r="V263" s="11">
        <f t="shared" si="299"/>
        <v>94.544100817438675</v>
      </c>
      <c r="W263" s="3">
        <f t="shared" si="300"/>
        <v>2.4278506025496891</v>
      </c>
    </row>
    <row r="264" spans="1:23" x14ac:dyDescent="0.3"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</row>
    <row r="265" spans="1:23" x14ac:dyDescent="0.3">
      <c r="B265" s="10" t="s">
        <v>146</v>
      </c>
      <c r="C265" s="10" t="s">
        <v>176</v>
      </c>
      <c r="D265" s="10" t="s">
        <v>173</v>
      </c>
      <c r="E265" s="10" t="s">
        <v>171</v>
      </c>
      <c r="F265" s="10" t="s">
        <v>531</v>
      </c>
      <c r="G265" s="10" t="s">
        <v>532</v>
      </c>
      <c r="H265" s="10" t="s">
        <v>533</v>
      </c>
      <c r="I265" s="10" t="s">
        <v>534</v>
      </c>
      <c r="J265" s="10" t="s">
        <v>535</v>
      </c>
      <c r="K265" s="10" t="s">
        <v>148</v>
      </c>
      <c r="L265" s="10" t="s">
        <v>536</v>
      </c>
      <c r="M265" s="10" t="s">
        <v>537</v>
      </c>
      <c r="N265" s="10" t="s">
        <v>538</v>
      </c>
      <c r="O265" s="10" t="s">
        <v>539</v>
      </c>
      <c r="P265" s="10" t="s">
        <v>540</v>
      </c>
      <c r="Q265" s="10" t="s">
        <v>541</v>
      </c>
      <c r="R265" s="10" t="s">
        <v>152</v>
      </c>
      <c r="S265" s="10" t="s">
        <v>151</v>
      </c>
      <c r="T265" s="10" t="s">
        <v>542</v>
      </c>
    </row>
    <row r="266" spans="1:23" x14ac:dyDescent="0.3">
      <c r="B266" s="5" t="s">
        <v>586</v>
      </c>
      <c r="C266" s="5">
        <v>25</v>
      </c>
      <c r="D266" s="5">
        <v>2016</v>
      </c>
      <c r="E266" s="5" t="s">
        <v>587</v>
      </c>
      <c r="F266" s="5">
        <v>1</v>
      </c>
      <c r="G266" s="5">
        <v>2</v>
      </c>
      <c r="H266" s="5">
        <v>0.33300000000000002</v>
      </c>
      <c r="I266" s="5">
        <v>6.57</v>
      </c>
      <c r="J266" s="5">
        <v>9.85</v>
      </c>
      <c r="K266" s="5">
        <v>18</v>
      </c>
      <c r="L266" s="5">
        <v>2</v>
      </c>
      <c r="M266" s="5">
        <v>8</v>
      </c>
      <c r="N266" s="5">
        <v>0</v>
      </c>
      <c r="O266" s="5">
        <v>0</v>
      </c>
      <c r="P266" s="5">
        <v>0</v>
      </c>
      <c r="Q266" s="5">
        <v>24.2</v>
      </c>
      <c r="R266" s="5">
        <v>33</v>
      </c>
      <c r="S266" s="5">
        <v>27</v>
      </c>
      <c r="T266" s="5">
        <v>18</v>
      </c>
    </row>
    <row r="267" spans="1:23" x14ac:dyDescent="0.3">
      <c r="B267" s="10" t="s">
        <v>586</v>
      </c>
      <c r="C267" s="5">
        <v>25</v>
      </c>
      <c r="D267" s="5">
        <v>2016</v>
      </c>
      <c r="E267" s="5" t="s">
        <v>588</v>
      </c>
      <c r="F267" s="5">
        <v>4</v>
      </c>
      <c r="G267" s="5">
        <v>7</v>
      </c>
      <c r="H267" s="5">
        <v>0.36399999999999999</v>
      </c>
      <c r="I267" s="5">
        <v>4.71</v>
      </c>
      <c r="J267" s="5">
        <v>5.05</v>
      </c>
      <c r="K267" s="5">
        <v>18</v>
      </c>
      <c r="L267" s="5">
        <v>18</v>
      </c>
      <c r="M267" s="5">
        <v>0</v>
      </c>
      <c r="N267" s="5">
        <v>1</v>
      </c>
      <c r="O267" s="5">
        <v>1</v>
      </c>
      <c r="P267" s="5">
        <v>0</v>
      </c>
      <c r="Q267" s="5">
        <v>107</v>
      </c>
      <c r="R267" s="5">
        <v>125</v>
      </c>
      <c r="S267" s="5">
        <v>60</v>
      </c>
      <c r="T267" s="5">
        <v>56</v>
      </c>
    </row>
    <row r="268" spans="1:23" x14ac:dyDescent="0.3">
      <c r="B268" s="10" t="s">
        <v>586</v>
      </c>
      <c r="C268" s="5">
        <v>26</v>
      </c>
      <c r="D268" s="5">
        <v>2017</v>
      </c>
      <c r="E268" s="5" t="s">
        <v>589</v>
      </c>
      <c r="F268" s="5">
        <v>2</v>
      </c>
      <c r="G268" s="5">
        <v>3</v>
      </c>
      <c r="H268" s="5">
        <v>0.4</v>
      </c>
      <c r="I268" s="5">
        <v>5.08</v>
      </c>
      <c r="J268" s="5">
        <v>5.31</v>
      </c>
      <c r="K268" s="5">
        <v>18</v>
      </c>
      <c r="L268" s="5">
        <v>2</v>
      </c>
      <c r="M268" s="5">
        <v>6</v>
      </c>
      <c r="N268" s="5">
        <v>0</v>
      </c>
      <c r="O268" s="5">
        <v>0</v>
      </c>
      <c r="P268" s="5">
        <v>0</v>
      </c>
      <c r="Q268" s="5">
        <v>39</v>
      </c>
      <c r="R268" s="5">
        <v>43</v>
      </c>
      <c r="S268" s="5">
        <v>23</v>
      </c>
      <c r="T268" s="5">
        <v>22</v>
      </c>
    </row>
    <row r="269" spans="1:23" x14ac:dyDescent="0.3">
      <c r="B269" s="10" t="s">
        <v>586</v>
      </c>
      <c r="C269" s="5">
        <v>26</v>
      </c>
      <c r="D269" s="5">
        <v>2017</v>
      </c>
      <c r="E269" s="5" t="s">
        <v>588</v>
      </c>
      <c r="F269" s="5">
        <v>2</v>
      </c>
      <c r="G269" s="5">
        <v>6</v>
      </c>
      <c r="H269" s="5">
        <v>0.25</v>
      </c>
      <c r="I269" s="5">
        <v>5.21</v>
      </c>
      <c r="J269" s="5">
        <v>5.21</v>
      </c>
      <c r="K269" s="5">
        <v>14</v>
      </c>
      <c r="L269" s="5">
        <v>14</v>
      </c>
      <c r="M269" s="5">
        <v>0</v>
      </c>
      <c r="N269" s="5">
        <v>0</v>
      </c>
      <c r="O269" s="5">
        <v>0</v>
      </c>
      <c r="P269" s="5">
        <v>0</v>
      </c>
      <c r="Q269" s="5">
        <v>65.2</v>
      </c>
      <c r="R269" s="5">
        <v>72</v>
      </c>
      <c r="S269" s="5">
        <v>38</v>
      </c>
      <c r="T269" s="5">
        <v>38</v>
      </c>
    </row>
    <row r="270" spans="1:23" x14ac:dyDescent="0.3">
      <c r="B270" s="10" t="s">
        <v>586</v>
      </c>
      <c r="C270" s="5">
        <v>27</v>
      </c>
      <c r="D270" s="5">
        <v>2018</v>
      </c>
      <c r="E270" s="5" t="s">
        <v>589</v>
      </c>
      <c r="F270" s="5">
        <v>0</v>
      </c>
      <c r="G270" s="5">
        <v>0</v>
      </c>
      <c r="I270" s="5">
        <v>15.88</v>
      </c>
      <c r="J270" s="5">
        <v>15.88</v>
      </c>
      <c r="K270" s="5">
        <v>4</v>
      </c>
      <c r="L270" s="5">
        <v>0</v>
      </c>
      <c r="M270" s="5">
        <v>1</v>
      </c>
      <c r="N270" s="5">
        <v>0</v>
      </c>
      <c r="O270" s="5">
        <v>0</v>
      </c>
      <c r="P270" s="5">
        <v>0</v>
      </c>
      <c r="Q270" s="5">
        <v>5.2</v>
      </c>
      <c r="R270" s="5">
        <v>13</v>
      </c>
      <c r="S270" s="5">
        <v>10</v>
      </c>
      <c r="T270" s="5">
        <v>10</v>
      </c>
    </row>
    <row r="271" spans="1:23" x14ac:dyDescent="0.3">
      <c r="B271" s="10" t="s">
        <v>586</v>
      </c>
      <c r="C271" s="5">
        <v>27</v>
      </c>
      <c r="D271" s="5">
        <v>2018</v>
      </c>
      <c r="E271" s="5" t="s">
        <v>587</v>
      </c>
      <c r="F271" s="5">
        <v>0</v>
      </c>
      <c r="G271" s="5">
        <v>1</v>
      </c>
      <c r="H271" s="5">
        <v>0</v>
      </c>
      <c r="I271" s="5">
        <v>45</v>
      </c>
      <c r="J271" s="5">
        <v>63</v>
      </c>
      <c r="K271" s="5">
        <v>1</v>
      </c>
      <c r="L271" s="5">
        <v>1</v>
      </c>
      <c r="M271" s="5">
        <v>0</v>
      </c>
      <c r="N271" s="5">
        <v>0</v>
      </c>
      <c r="O271" s="5">
        <v>0</v>
      </c>
      <c r="P271" s="5">
        <v>0</v>
      </c>
      <c r="Q271" s="5">
        <v>1</v>
      </c>
      <c r="R271" s="5">
        <v>6</v>
      </c>
      <c r="S271" s="5">
        <v>7</v>
      </c>
      <c r="T271" s="5">
        <v>5</v>
      </c>
    </row>
    <row r="272" spans="1:23" x14ac:dyDescent="0.3">
      <c r="B272" s="10" t="s">
        <v>586</v>
      </c>
      <c r="C272" s="10">
        <v>27</v>
      </c>
      <c r="D272" s="10">
        <v>2018</v>
      </c>
      <c r="E272" s="5" t="s">
        <v>588</v>
      </c>
      <c r="F272" s="5">
        <v>3</v>
      </c>
      <c r="G272" s="5">
        <v>4</v>
      </c>
      <c r="H272" s="5">
        <v>0.42899999999999999</v>
      </c>
      <c r="I272" s="5">
        <v>3.5</v>
      </c>
      <c r="J272" s="5">
        <v>3.61</v>
      </c>
      <c r="K272" s="5">
        <v>15</v>
      </c>
      <c r="L272" s="5">
        <v>15</v>
      </c>
      <c r="M272" s="5">
        <v>0</v>
      </c>
      <c r="N272" s="5">
        <v>0</v>
      </c>
      <c r="O272" s="5">
        <v>0</v>
      </c>
      <c r="P272" s="5">
        <v>0</v>
      </c>
      <c r="Q272" s="5">
        <v>82.1</v>
      </c>
      <c r="R272" s="5">
        <v>74</v>
      </c>
      <c r="S272" s="5">
        <v>33</v>
      </c>
      <c r="T272" s="5">
        <v>32</v>
      </c>
    </row>
    <row r="273" spans="1:23" x14ac:dyDescent="0.3">
      <c r="B273" s="10" t="s">
        <v>586</v>
      </c>
      <c r="C273" s="10">
        <v>27</v>
      </c>
      <c r="D273" s="10">
        <v>2018</v>
      </c>
      <c r="E273" s="5" t="s">
        <v>582</v>
      </c>
      <c r="F273" s="5">
        <v>1</v>
      </c>
      <c r="G273" s="5">
        <v>0</v>
      </c>
      <c r="H273" s="5">
        <v>1</v>
      </c>
      <c r="I273" s="5">
        <v>5.82</v>
      </c>
      <c r="J273" s="5">
        <v>6.65</v>
      </c>
      <c r="K273" s="5">
        <v>11</v>
      </c>
      <c r="L273" s="5">
        <v>0</v>
      </c>
      <c r="M273" s="5">
        <v>2</v>
      </c>
      <c r="N273" s="5">
        <v>0</v>
      </c>
      <c r="O273" s="5">
        <v>0</v>
      </c>
      <c r="P273" s="5">
        <v>1</v>
      </c>
      <c r="Q273" s="5">
        <v>21.2</v>
      </c>
      <c r="R273" s="5">
        <v>31</v>
      </c>
      <c r="S273" s="5">
        <v>16</v>
      </c>
      <c r="T273" s="5">
        <v>14</v>
      </c>
    </row>
    <row r="275" spans="1:23" x14ac:dyDescent="0.3">
      <c r="B275" s="10" t="s">
        <v>146</v>
      </c>
      <c r="C275" s="10" t="s">
        <v>176</v>
      </c>
      <c r="D275" s="10" t="s">
        <v>173</v>
      </c>
      <c r="E275" s="10" t="s">
        <v>171</v>
      </c>
      <c r="F275" s="10" t="s">
        <v>531</v>
      </c>
      <c r="G275" s="10" t="s">
        <v>532</v>
      </c>
      <c r="H275" s="10" t="s">
        <v>533</v>
      </c>
      <c r="I275" s="10" t="s">
        <v>534</v>
      </c>
      <c r="J275" s="10" t="s">
        <v>535</v>
      </c>
      <c r="K275" s="10" t="s">
        <v>148</v>
      </c>
      <c r="L275" s="10" t="s">
        <v>536</v>
      </c>
      <c r="M275" s="10" t="s">
        <v>537</v>
      </c>
      <c r="N275" s="10" t="s">
        <v>538</v>
      </c>
      <c r="O275" s="10" t="s">
        <v>539</v>
      </c>
      <c r="P275" s="10" t="s">
        <v>540</v>
      </c>
      <c r="Q275" s="10" t="s">
        <v>541</v>
      </c>
      <c r="R275" s="10" t="s">
        <v>152</v>
      </c>
      <c r="S275" s="10" t="s">
        <v>151</v>
      </c>
      <c r="T275" s="10" t="s">
        <v>542</v>
      </c>
      <c r="U275" s="10" t="s">
        <v>550</v>
      </c>
      <c r="V275" s="10" t="s">
        <v>559</v>
      </c>
      <c r="W275" s="10" t="s">
        <v>549</v>
      </c>
    </row>
    <row r="276" spans="1:23" x14ac:dyDescent="0.3">
      <c r="A276" s="10" t="s">
        <v>523</v>
      </c>
      <c r="B276" s="10" t="s">
        <v>586</v>
      </c>
      <c r="C276" s="10">
        <v>25</v>
      </c>
      <c r="D276" s="10">
        <v>2016</v>
      </c>
      <c r="E276" s="5" t="s">
        <v>581</v>
      </c>
      <c r="F276" s="5">
        <f>F266</f>
        <v>1</v>
      </c>
      <c r="G276" s="10">
        <f t="shared" ref="G276:R276" si="301">G266</f>
        <v>2</v>
      </c>
      <c r="H276" s="10">
        <f t="shared" si="301"/>
        <v>0.33300000000000002</v>
      </c>
      <c r="I276" s="3">
        <f>T276*9/Q276</f>
        <v>4.6080924129704623</v>
      </c>
      <c r="J276" s="3">
        <f>S276*9/Q276</f>
        <v>6.9121386194556926</v>
      </c>
      <c r="K276" s="10">
        <f t="shared" si="301"/>
        <v>18</v>
      </c>
      <c r="L276" s="10">
        <f t="shared" si="301"/>
        <v>2</v>
      </c>
      <c r="M276" s="10">
        <f t="shared" si="301"/>
        <v>8</v>
      </c>
      <c r="N276" s="10">
        <f t="shared" si="301"/>
        <v>0</v>
      </c>
      <c r="O276" s="10">
        <f t="shared" si="301"/>
        <v>0</v>
      </c>
      <c r="P276" s="10">
        <f t="shared" si="301"/>
        <v>0</v>
      </c>
      <c r="Q276" s="13">
        <f>Q266-(Q266-ROUNDDOWN(Q266,0))+(Q266-ROUNDDOWN(Q266,0))/0.3</f>
        <v>24.666666666666664</v>
      </c>
      <c r="R276" s="10">
        <f t="shared" si="301"/>
        <v>33</v>
      </c>
      <c r="S276" s="9">
        <f>S266*(C9/C3)*(1000/945)</f>
        <v>18.944379919989675</v>
      </c>
      <c r="T276" s="9">
        <f>T266*(C9/C3)*(1000/945)</f>
        <v>12.629586613326451</v>
      </c>
      <c r="U276" s="11">
        <f>IFERROR(VLOOKUP(D276,$F$2:$AG$5,MATCH($U$173,$F$2:$AG$2,0),0)/I276*100,"-")</f>
        <v>112.62794959128064</v>
      </c>
      <c r="V276" s="11">
        <f>VLOOKUP(D276,$F$2:$AG$5,26,0)/J276*100</f>
        <v>81.595585831062664</v>
      </c>
      <c r="W276" s="3">
        <f>(V276^2/(V276^2+100^2)-0.325)/9*Q276</f>
        <v>0.2046841594755302</v>
      </c>
    </row>
    <row r="277" spans="1:23" x14ac:dyDescent="0.3">
      <c r="A277" s="10" t="s">
        <v>523</v>
      </c>
      <c r="B277" s="10" t="s">
        <v>586</v>
      </c>
      <c r="C277" s="10">
        <v>25</v>
      </c>
      <c r="D277" s="10">
        <v>2016</v>
      </c>
      <c r="E277" s="10" t="s">
        <v>581</v>
      </c>
      <c r="F277" s="10">
        <f t="shared" ref="F277:R277" si="302">F267</f>
        <v>4</v>
      </c>
      <c r="G277" s="10">
        <f t="shared" si="302"/>
        <v>7</v>
      </c>
      <c r="H277" s="10">
        <f t="shared" si="302"/>
        <v>0.36399999999999999</v>
      </c>
      <c r="I277" s="3">
        <f t="shared" ref="I277:I283" si="303">T277*9/Q277</f>
        <v>3.9368995256066719</v>
      </c>
      <c r="J277" s="3">
        <f t="shared" ref="J277:J283" si="304">S277*9/Q277</f>
        <v>4.2181066345785769</v>
      </c>
      <c r="K277" s="10">
        <f t="shared" si="302"/>
        <v>18</v>
      </c>
      <c r="L277" s="10">
        <f t="shared" si="302"/>
        <v>18</v>
      </c>
      <c r="M277" s="10">
        <f t="shared" si="302"/>
        <v>0</v>
      </c>
      <c r="N277" s="10">
        <f t="shared" si="302"/>
        <v>1</v>
      </c>
      <c r="O277" s="10">
        <f t="shared" si="302"/>
        <v>1</v>
      </c>
      <c r="P277" s="10">
        <f t="shared" si="302"/>
        <v>0</v>
      </c>
      <c r="Q277" s="13">
        <f t="shared" ref="Q277:Q283" si="305">Q267-(Q267-ROUNDDOWN(Q267,0))+(Q267-ROUNDDOWN(Q267,0))/0.3</f>
        <v>107</v>
      </c>
      <c r="R277" s="10">
        <f t="shared" si="302"/>
        <v>125</v>
      </c>
      <c r="S277" s="9">
        <f>S267*(C9/C6)*(1000/1095)</f>
        <v>50.148601099989747</v>
      </c>
      <c r="T277" s="9">
        <f>T267*(C9/C6)*(1000/1095)</f>
        <v>46.805361026657096</v>
      </c>
      <c r="U277" s="11">
        <f t="shared" ref="U277:U283" si="306">IFERROR(VLOOKUP(D277,$F$2:$AG$5,MATCH($U$173,$F$2:$AG$2,0),0)/I277*100,"-")</f>
        <v>131.82962801673804</v>
      </c>
      <c r="V277" s="11">
        <f t="shared" ref="V277:V283" si="307">VLOOKUP(D277,$F$2:$AG$5,26,0)/J277*100</f>
        <v>133.70927974568573</v>
      </c>
      <c r="W277" s="3">
        <f t="shared" ref="W277:W283" si="308">(V277^2/(V277^2+100^2)-0.325)/9*Q277</f>
        <v>3.7604129580892542</v>
      </c>
    </row>
    <row r="278" spans="1:23" x14ac:dyDescent="0.3">
      <c r="A278" s="10" t="s">
        <v>523</v>
      </c>
      <c r="B278" s="10" t="s">
        <v>586</v>
      </c>
      <c r="C278" s="10">
        <v>26</v>
      </c>
      <c r="D278" s="10">
        <v>2017</v>
      </c>
      <c r="E278" s="10" t="s">
        <v>581</v>
      </c>
      <c r="F278" s="10">
        <f t="shared" ref="F278:R278" si="309">F268</f>
        <v>2</v>
      </c>
      <c r="G278" s="10">
        <f t="shared" si="309"/>
        <v>3</v>
      </c>
      <c r="H278" s="10">
        <f t="shared" si="309"/>
        <v>0.4</v>
      </c>
      <c r="I278" s="3">
        <f t="shared" si="303"/>
        <v>6.9167889331377088</v>
      </c>
      <c r="J278" s="3">
        <f t="shared" si="304"/>
        <v>7.2311884300985119</v>
      </c>
      <c r="K278" s="10">
        <f t="shared" si="309"/>
        <v>18</v>
      </c>
      <c r="L278" s="10">
        <f t="shared" si="309"/>
        <v>2</v>
      </c>
      <c r="M278" s="10">
        <f t="shared" si="309"/>
        <v>6</v>
      </c>
      <c r="N278" s="10">
        <f t="shared" si="309"/>
        <v>0</v>
      </c>
      <c r="O278" s="10">
        <f t="shared" si="309"/>
        <v>0</v>
      </c>
      <c r="P278" s="10">
        <f t="shared" si="309"/>
        <v>0</v>
      </c>
      <c r="Q278" s="13">
        <f t="shared" si="305"/>
        <v>39</v>
      </c>
      <c r="R278" s="10">
        <f t="shared" si="309"/>
        <v>43</v>
      </c>
      <c r="S278" s="9">
        <f>S268*(C4/C9)</f>
        <v>31.335149863760222</v>
      </c>
      <c r="T278" s="9">
        <f>T268*(C4/C9)</f>
        <v>29.972752043596735</v>
      </c>
      <c r="U278" s="11">
        <f t="shared" si="306"/>
        <v>71.998727272727265</v>
      </c>
      <c r="V278" s="11">
        <f t="shared" si="307"/>
        <v>74.814811594202908</v>
      </c>
      <c r="W278" s="3">
        <f t="shared" si="308"/>
        <v>0.14673353830849717</v>
      </c>
    </row>
    <row r="279" spans="1:23" x14ac:dyDescent="0.3">
      <c r="A279" s="10" t="s">
        <v>523</v>
      </c>
      <c r="B279" s="10" t="s">
        <v>586</v>
      </c>
      <c r="C279" s="10">
        <v>26</v>
      </c>
      <c r="D279" s="10">
        <v>2017</v>
      </c>
      <c r="E279" s="10" t="s">
        <v>581</v>
      </c>
      <c r="F279" s="10">
        <f t="shared" ref="F279:R279" si="310">F269</f>
        <v>2</v>
      </c>
      <c r="G279" s="10">
        <f t="shared" si="310"/>
        <v>6</v>
      </c>
      <c r="H279" s="10">
        <f t="shared" si="310"/>
        <v>0.25</v>
      </c>
      <c r="I279" s="3">
        <f t="shared" si="303"/>
        <v>4.6960940276400098</v>
      </c>
      <c r="J279" s="3">
        <f t="shared" si="304"/>
        <v>4.6960940276400098</v>
      </c>
      <c r="K279" s="10">
        <f t="shared" si="310"/>
        <v>14</v>
      </c>
      <c r="L279" s="10">
        <f t="shared" si="310"/>
        <v>14</v>
      </c>
      <c r="M279" s="10">
        <f t="shared" si="310"/>
        <v>0</v>
      </c>
      <c r="N279" s="10">
        <f t="shared" si="310"/>
        <v>0</v>
      </c>
      <c r="O279" s="10">
        <f t="shared" si="310"/>
        <v>0</v>
      </c>
      <c r="P279" s="10">
        <f t="shared" si="310"/>
        <v>0</v>
      </c>
      <c r="Q279" s="13">
        <f t="shared" si="305"/>
        <v>65.666666666666671</v>
      </c>
      <c r="R279" s="10">
        <f t="shared" si="310"/>
        <v>72</v>
      </c>
      <c r="S279" s="9">
        <f>S269*(C9/C6)*(1000/1015)</f>
        <v>34.264093460928962</v>
      </c>
      <c r="T279" s="9">
        <f>T269*(C9/C6)*(1000/1015)</f>
        <v>34.264093460928962</v>
      </c>
      <c r="U279" s="11">
        <f t="shared" si="306"/>
        <v>106.04557682808293</v>
      </c>
      <c r="V279" s="11">
        <f t="shared" si="307"/>
        <v>115.20212261845954</v>
      </c>
      <c r="W279" s="3">
        <f t="shared" si="308"/>
        <v>1.7897112620740017</v>
      </c>
    </row>
    <row r="280" spans="1:23" x14ac:dyDescent="0.3">
      <c r="A280" s="10" t="s">
        <v>523</v>
      </c>
      <c r="B280" s="10" t="s">
        <v>586</v>
      </c>
      <c r="C280" s="10">
        <v>27</v>
      </c>
      <c r="D280" s="10">
        <v>2018</v>
      </c>
      <c r="E280" s="10" t="s">
        <v>581</v>
      </c>
      <c r="F280" s="10">
        <f t="shared" ref="F280:R280" si="311">F270</f>
        <v>0</v>
      </c>
      <c r="G280" s="10">
        <f t="shared" si="311"/>
        <v>0</v>
      </c>
      <c r="H280" s="10">
        <f t="shared" si="311"/>
        <v>0</v>
      </c>
      <c r="I280" s="3">
        <f t="shared" si="303"/>
        <v>14.392156862745095</v>
      </c>
      <c r="J280" s="3">
        <f t="shared" si="304"/>
        <v>14.392156862745095</v>
      </c>
      <c r="K280" s="10">
        <f t="shared" si="311"/>
        <v>4</v>
      </c>
      <c r="L280" s="10">
        <f t="shared" si="311"/>
        <v>0</v>
      </c>
      <c r="M280" s="10">
        <f t="shared" si="311"/>
        <v>1</v>
      </c>
      <c r="N280" s="10">
        <f t="shared" si="311"/>
        <v>0</v>
      </c>
      <c r="O280" s="10">
        <f t="shared" si="311"/>
        <v>0</v>
      </c>
      <c r="P280" s="10">
        <f t="shared" si="311"/>
        <v>0</v>
      </c>
      <c r="Q280" s="13">
        <f t="shared" si="305"/>
        <v>5.666666666666667</v>
      </c>
      <c r="R280" s="10">
        <f t="shared" si="311"/>
        <v>13</v>
      </c>
      <c r="S280" s="9">
        <f>S270*(C9/C4)*(1000/810)</f>
        <v>9.0617283950617278</v>
      </c>
      <c r="T280" s="9">
        <f>T270*(C9/C4)*(1000/810)</f>
        <v>9.0617283950617278</v>
      </c>
      <c r="U280" s="11">
        <f t="shared" si="306"/>
        <v>39.188010899182565</v>
      </c>
      <c r="V280" s="11">
        <f t="shared" si="307"/>
        <v>39.396457765667577</v>
      </c>
      <c r="W280" s="3">
        <f t="shared" si="308"/>
        <v>-0.12003568311698234</v>
      </c>
    </row>
    <row r="281" spans="1:23" x14ac:dyDescent="0.3">
      <c r="A281" s="10" t="s">
        <v>523</v>
      </c>
      <c r="B281" s="10" t="s">
        <v>586</v>
      </c>
      <c r="C281" s="10">
        <v>27</v>
      </c>
      <c r="D281" s="10">
        <v>2018</v>
      </c>
      <c r="E281" s="10" t="s">
        <v>581</v>
      </c>
      <c r="F281" s="10">
        <f t="shared" ref="F281:R281" si="312">F271</f>
        <v>0</v>
      </c>
      <c r="G281" s="10">
        <f t="shared" si="312"/>
        <v>1</v>
      </c>
      <c r="H281" s="10">
        <f t="shared" si="312"/>
        <v>0</v>
      </c>
      <c r="I281" s="3">
        <f t="shared" si="303"/>
        <v>29.837398373983742</v>
      </c>
      <c r="J281" s="3">
        <f t="shared" si="304"/>
        <v>41.772357723577237</v>
      </c>
      <c r="K281" s="10">
        <f t="shared" si="312"/>
        <v>1</v>
      </c>
      <c r="L281" s="10">
        <f t="shared" si="312"/>
        <v>1</v>
      </c>
      <c r="M281" s="10">
        <f t="shared" si="312"/>
        <v>0</v>
      </c>
      <c r="N281" s="10">
        <f t="shared" si="312"/>
        <v>0</v>
      </c>
      <c r="O281" s="10">
        <f t="shared" si="312"/>
        <v>0</v>
      </c>
      <c r="P281" s="10">
        <f t="shared" si="312"/>
        <v>0</v>
      </c>
      <c r="Q281" s="13">
        <f t="shared" si="305"/>
        <v>1</v>
      </c>
      <c r="R281" s="10">
        <f t="shared" si="312"/>
        <v>6</v>
      </c>
      <c r="S281" s="9">
        <f>S271*(C9/C3)</f>
        <v>4.6413730803974707</v>
      </c>
      <c r="T281" s="9">
        <f>T271*(C9/C3)</f>
        <v>3.3152664859981935</v>
      </c>
      <c r="U281" s="11">
        <f t="shared" si="306"/>
        <v>18.902452316076293</v>
      </c>
      <c r="V281" s="11">
        <f t="shared" si="307"/>
        <v>13.573569482288828</v>
      </c>
      <c r="W281" s="3">
        <f t="shared" si="308"/>
        <v>-3.4101014507217101E-2</v>
      </c>
    </row>
    <row r="282" spans="1:23" x14ac:dyDescent="0.3">
      <c r="A282" s="10" t="s">
        <v>523</v>
      </c>
      <c r="B282" s="10" t="s">
        <v>586</v>
      </c>
      <c r="C282" s="10">
        <v>27</v>
      </c>
      <c r="D282" s="10">
        <v>2018</v>
      </c>
      <c r="E282" s="10" t="s">
        <v>581</v>
      </c>
      <c r="F282" s="10">
        <f t="shared" ref="F282:R282" si="313">F272</f>
        <v>3</v>
      </c>
      <c r="G282" s="10">
        <f t="shared" si="313"/>
        <v>4</v>
      </c>
      <c r="H282" s="10">
        <f t="shared" si="313"/>
        <v>0.42899999999999999</v>
      </c>
      <c r="I282" s="3">
        <f t="shared" si="303"/>
        <v>3.1696923162890869</v>
      </c>
      <c r="J282" s="3">
        <f t="shared" si="304"/>
        <v>3.2687452011731213</v>
      </c>
      <c r="K282" s="10">
        <f t="shared" si="313"/>
        <v>15</v>
      </c>
      <c r="L282" s="10">
        <f t="shared" si="313"/>
        <v>15</v>
      </c>
      <c r="M282" s="10">
        <f t="shared" si="313"/>
        <v>0</v>
      </c>
      <c r="N282" s="10">
        <f t="shared" si="313"/>
        <v>0</v>
      </c>
      <c r="O282" s="10">
        <f t="shared" si="313"/>
        <v>0</v>
      </c>
      <c r="P282" s="10">
        <f t="shared" si="313"/>
        <v>0</v>
      </c>
      <c r="Q282" s="13">
        <f t="shared" si="305"/>
        <v>82.333333333333314</v>
      </c>
      <c r="R282" s="10">
        <f t="shared" si="313"/>
        <v>74</v>
      </c>
      <c r="S282" s="9">
        <f>S272*(C9/C6)*(1000/1010)</f>
        <v>29.902965358880028</v>
      </c>
      <c r="T282" s="9">
        <f>T272*(C9/C6)*(1000/1010)</f>
        <v>28.996814893459419</v>
      </c>
      <c r="U282" s="11">
        <f t="shared" si="306"/>
        <v>177.93525166515286</v>
      </c>
      <c r="V282" s="11">
        <f t="shared" si="307"/>
        <v>173.46105771612579</v>
      </c>
      <c r="W282" s="3">
        <f t="shared" si="308"/>
        <v>3.8930254404592644</v>
      </c>
    </row>
    <row r="283" spans="1:23" x14ac:dyDescent="0.3">
      <c r="A283" s="10" t="s">
        <v>523</v>
      </c>
      <c r="B283" s="10" t="s">
        <v>586</v>
      </c>
      <c r="C283" s="10">
        <v>27</v>
      </c>
      <c r="D283" s="10">
        <v>2018</v>
      </c>
      <c r="E283" s="10" t="s">
        <v>581</v>
      </c>
      <c r="F283" s="10">
        <f t="shared" ref="F283:R283" si="314">F273</f>
        <v>1</v>
      </c>
      <c r="G283" s="10">
        <f t="shared" si="314"/>
        <v>0</v>
      </c>
      <c r="H283" s="10">
        <f t="shared" si="314"/>
        <v>1</v>
      </c>
      <c r="I283" s="3">
        <f t="shared" si="303"/>
        <v>6.9519725993871946</v>
      </c>
      <c r="J283" s="3">
        <f t="shared" si="304"/>
        <v>7.9451115421567948</v>
      </c>
      <c r="K283" s="10">
        <f t="shared" si="314"/>
        <v>11</v>
      </c>
      <c r="L283" s="10">
        <f t="shared" si="314"/>
        <v>0</v>
      </c>
      <c r="M283" s="10">
        <f t="shared" si="314"/>
        <v>2</v>
      </c>
      <c r="N283" s="10">
        <f t="shared" si="314"/>
        <v>0</v>
      </c>
      <c r="O283" s="10">
        <f t="shared" si="314"/>
        <v>0</v>
      </c>
      <c r="P283" s="10">
        <f t="shared" si="314"/>
        <v>1</v>
      </c>
      <c r="Q283" s="13">
        <f t="shared" si="305"/>
        <v>21.666666666666664</v>
      </c>
      <c r="R283" s="10">
        <f t="shared" si="314"/>
        <v>31</v>
      </c>
      <c r="S283" s="9">
        <f>S273*(C5/C9)*(1000/865)</f>
        <v>19.127120379266355</v>
      </c>
      <c r="T283" s="9">
        <f>T273*(C5/C9)*(1000/865)</f>
        <v>16.73623033185806</v>
      </c>
      <c r="U283" s="11">
        <f t="shared" si="306"/>
        <v>81.128052784574507</v>
      </c>
      <c r="V283" s="11">
        <f t="shared" si="307"/>
        <v>71.364636857707481</v>
      </c>
      <c r="W283" s="3">
        <f t="shared" si="308"/>
        <v>2.9941667920235799E-2</v>
      </c>
    </row>
    <row r="285" spans="1:23" x14ac:dyDescent="0.3">
      <c r="B285" s="10" t="s">
        <v>146</v>
      </c>
      <c r="C285" s="10" t="s">
        <v>176</v>
      </c>
      <c r="D285" s="10" t="s">
        <v>173</v>
      </c>
      <c r="E285" s="10" t="s">
        <v>171</v>
      </c>
      <c r="F285" s="10" t="s">
        <v>531</v>
      </c>
      <c r="G285" s="10" t="s">
        <v>532</v>
      </c>
      <c r="H285" s="10" t="s">
        <v>533</v>
      </c>
      <c r="I285" s="10" t="s">
        <v>534</v>
      </c>
      <c r="J285" s="10" t="s">
        <v>535</v>
      </c>
      <c r="K285" s="10" t="s">
        <v>148</v>
      </c>
      <c r="L285" s="10" t="s">
        <v>536</v>
      </c>
      <c r="M285" s="10" t="s">
        <v>537</v>
      </c>
      <c r="N285" s="10" t="s">
        <v>538</v>
      </c>
      <c r="O285" s="10" t="s">
        <v>539</v>
      </c>
      <c r="P285" s="10" t="s">
        <v>540</v>
      </c>
      <c r="Q285" s="10" t="s">
        <v>541</v>
      </c>
      <c r="R285" s="10" t="s">
        <v>152</v>
      </c>
      <c r="S285" s="10" t="s">
        <v>151</v>
      </c>
      <c r="T285" s="10" t="s">
        <v>542</v>
      </c>
    </row>
    <row r="286" spans="1:23" x14ac:dyDescent="0.3">
      <c r="B286" s="5" t="s">
        <v>590</v>
      </c>
      <c r="C286" s="5">
        <v>26</v>
      </c>
      <c r="D286" s="5">
        <v>2016</v>
      </c>
      <c r="E286" s="5" t="s">
        <v>587</v>
      </c>
      <c r="F286" s="5">
        <v>0</v>
      </c>
      <c r="G286" s="5">
        <v>1</v>
      </c>
      <c r="H286" s="5">
        <v>0</v>
      </c>
      <c r="I286" s="5">
        <v>10.8</v>
      </c>
      <c r="J286" s="5">
        <v>10.8</v>
      </c>
      <c r="K286" s="5">
        <v>1</v>
      </c>
      <c r="L286" s="5">
        <v>1</v>
      </c>
      <c r="M286" s="5">
        <v>0</v>
      </c>
      <c r="N286" s="5">
        <v>0</v>
      </c>
      <c r="O286" s="5">
        <v>0</v>
      </c>
      <c r="P286" s="5">
        <v>0</v>
      </c>
      <c r="Q286" s="5">
        <v>5</v>
      </c>
      <c r="R286" s="5">
        <v>9</v>
      </c>
      <c r="S286" s="5">
        <v>6</v>
      </c>
      <c r="T286" s="5">
        <v>6</v>
      </c>
    </row>
    <row r="287" spans="1:23" x14ac:dyDescent="0.3">
      <c r="B287" s="10" t="s">
        <v>590</v>
      </c>
      <c r="C287" s="5">
        <v>26</v>
      </c>
      <c r="D287" s="5">
        <v>2016</v>
      </c>
      <c r="E287" s="5" t="s">
        <v>582</v>
      </c>
      <c r="F287" s="5">
        <v>14</v>
      </c>
      <c r="G287" s="5">
        <v>6</v>
      </c>
      <c r="H287" s="5">
        <v>0.7</v>
      </c>
      <c r="I287" s="5">
        <v>5.43</v>
      </c>
      <c r="J287" s="5">
        <v>5.94</v>
      </c>
      <c r="K287" s="5">
        <v>26</v>
      </c>
      <c r="L287" s="5">
        <v>24</v>
      </c>
      <c r="M287" s="5">
        <v>1</v>
      </c>
      <c r="N287" s="5">
        <v>0</v>
      </c>
      <c r="O287" s="5">
        <v>0</v>
      </c>
      <c r="P287" s="5">
        <v>0</v>
      </c>
      <c r="Q287" s="5">
        <v>124.1</v>
      </c>
      <c r="R287" s="5">
        <v>154</v>
      </c>
      <c r="S287" s="5">
        <v>82</v>
      </c>
      <c r="T287" s="5">
        <v>75</v>
      </c>
    </row>
    <row r="288" spans="1:23" x14ac:dyDescent="0.3">
      <c r="B288" s="10" t="s">
        <v>590</v>
      </c>
      <c r="C288" s="5">
        <v>27</v>
      </c>
      <c r="D288" s="5">
        <v>2017</v>
      </c>
      <c r="E288" s="5" t="s">
        <v>591</v>
      </c>
      <c r="F288" s="5">
        <v>10</v>
      </c>
      <c r="G288" s="5">
        <v>2</v>
      </c>
      <c r="H288" s="5">
        <v>0.83299999999999996</v>
      </c>
      <c r="I288" s="5">
        <v>2.98</v>
      </c>
      <c r="J288" s="5">
        <v>3.11</v>
      </c>
      <c r="K288" s="5">
        <v>21</v>
      </c>
      <c r="L288" s="5">
        <v>21</v>
      </c>
      <c r="M288" s="5">
        <v>0</v>
      </c>
      <c r="N288" s="5">
        <v>1</v>
      </c>
      <c r="O288" s="5">
        <v>1</v>
      </c>
      <c r="P288" s="5">
        <v>0</v>
      </c>
      <c r="Q288" s="5">
        <v>133</v>
      </c>
      <c r="R288" s="5">
        <v>114</v>
      </c>
      <c r="S288" s="5">
        <v>46</v>
      </c>
      <c r="T288" s="5">
        <v>44</v>
      </c>
    </row>
    <row r="289" spans="1:23" x14ac:dyDescent="0.3">
      <c r="B289" s="10" t="s">
        <v>590</v>
      </c>
      <c r="C289" s="5">
        <v>28</v>
      </c>
      <c r="D289" s="5">
        <v>2018</v>
      </c>
      <c r="E289" s="5" t="s">
        <v>591</v>
      </c>
      <c r="F289" s="5">
        <v>4</v>
      </c>
      <c r="G289" s="5">
        <v>9</v>
      </c>
      <c r="H289" s="5">
        <v>0.308</v>
      </c>
      <c r="I289" s="5">
        <v>4.99</v>
      </c>
      <c r="J289" s="5">
        <v>5.77</v>
      </c>
      <c r="K289" s="5">
        <v>16</v>
      </c>
      <c r="L289" s="5">
        <v>16</v>
      </c>
      <c r="M289" s="5">
        <v>0</v>
      </c>
      <c r="N289" s="5">
        <v>0</v>
      </c>
      <c r="O289" s="5">
        <v>0</v>
      </c>
      <c r="P289" s="5">
        <v>0</v>
      </c>
      <c r="Q289" s="5">
        <v>92</v>
      </c>
      <c r="R289" s="5">
        <v>108</v>
      </c>
      <c r="S289" s="5">
        <v>59</v>
      </c>
      <c r="T289" s="5">
        <v>51</v>
      </c>
    </row>
    <row r="291" spans="1:23" x14ac:dyDescent="0.3">
      <c r="B291" s="10" t="s">
        <v>146</v>
      </c>
      <c r="C291" s="10" t="s">
        <v>176</v>
      </c>
      <c r="D291" s="10" t="s">
        <v>173</v>
      </c>
      <c r="E291" s="10" t="s">
        <v>171</v>
      </c>
      <c r="F291" s="10" t="s">
        <v>531</v>
      </c>
      <c r="G291" s="10" t="s">
        <v>532</v>
      </c>
      <c r="H291" s="10" t="s">
        <v>533</v>
      </c>
      <c r="I291" s="10" t="s">
        <v>534</v>
      </c>
      <c r="J291" s="10" t="s">
        <v>535</v>
      </c>
      <c r="K291" s="10" t="s">
        <v>148</v>
      </c>
      <c r="L291" s="10" t="s">
        <v>536</v>
      </c>
      <c r="M291" s="10" t="s">
        <v>537</v>
      </c>
      <c r="N291" s="10" t="s">
        <v>538</v>
      </c>
      <c r="O291" s="10" t="s">
        <v>539</v>
      </c>
      <c r="P291" s="10" t="s">
        <v>540</v>
      </c>
      <c r="Q291" s="10" t="s">
        <v>541</v>
      </c>
      <c r="R291" s="10" t="s">
        <v>152</v>
      </c>
      <c r="S291" s="10" t="s">
        <v>151</v>
      </c>
      <c r="T291" s="10" t="s">
        <v>542</v>
      </c>
      <c r="U291" s="10" t="s">
        <v>550</v>
      </c>
      <c r="V291" s="10" t="s">
        <v>559</v>
      </c>
      <c r="W291" s="10" t="s">
        <v>549</v>
      </c>
    </row>
    <row r="292" spans="1:23" x14ac:dyDescent="0.3">
      <c r="A292" s="10" t="s">
        <v>523</v>
      </c>
      <c r="B292" s="10" t="s">
        <v>590</v>
      </c>
      <c r="C292" s="10">
        <v>26</v>
      </c>
      <c r="D292" s="10">
        <v>2016</v>
      </c>
      <c r="E292" s="5" t="s">
        <v>581</v>
      </c>
      <c r="F292" s="5">
        <f>F286</f>
        <v>0</v>
      </c>
      <c r="G292" s="10">
        <f t="shared" ref="G292:R292" si="315">G286</f>
        <v>1</v>
      </c>
      <c r="H292" s="10">
        <f t="shared" si="315"/>
        <v>0</v>
      </c>
      <c r="I292" s="3">
        <f t="shared" ref="I292" si="316">T292*9/Q292</f>
        <v>7.8692039667649425</v>
      </c>
      <c r="J292" s="3">
        <f t="shared" ref="J292" si="317">S292*9/Q292</f>
        <v>7.8692039667649425</v>
      </c>
      <c r="K292" s="10">
        <f t="shared" si="315"/>
        <v>1</v>
      </c>
      <c r="L292" s="10">
        <f t="shared" si="315"/>
        <v>1</v>
      </c>
      <c r="M292" s="10">
        <f t="shared" si="315"/>
        <v>0</v>
      </c>
      <c r="N292" s="10">
        <f t="shared" si="315"/>
        <v>0</v>
      </c>
      <c r="O292" s="10">
        <f t="shared" si="315"/>
        <v>0</v>
      </c>
      <c r="P292" s="10">
        <f t="shared" si="315"/>
        <v>0</v>
      </c>
      <c r="Q292" s="13">
        <f>Q286-(Q286-ROUNDDOWN(Q286,0))+(Q286-ROUNDDOWN(Q286,0))/0.3</f>
        <v>5</v>
      </c>
      <c r="R292" s="10">
        <f t="shared" si="315"/>
        <v>9</v>
      </c>
      <c r="S292" s="9">
        <f>S286*(C9/C3)*(1000/910)</f>
        <v>4.3717799815360792</v>
      </c>
      <c r="T292" s="9">
        <f>T286*(C9/C3)*(1000/910)</f>
        <v>4.3717799815360792</v>
      </c>
      <c r="U292" s="11">
        <f t="shared" ref="U292" si="318">IFERROR(VLOOKUP(D292,$F$2:$AG$5,MATCH($U$173,$F$2:$AG$2,0),0)/I292*100,"-")</f>
        <v>65.953303814713905</v>
      </c>
      <c r="V292" s="11">
        <f t="shared" ref="V292" si="319">VLOOKUP(D292,$F$2:$AG$5,26,0)/J292*100</f>
        <v>71.671798365122612</v>
      </c>
      <c r="W292" s="3">
        <f t="shared" ref="W292" si="320">(V292^2/(V292^2+100^2)-0.325)/9*Q292</f>
        <v>7.978012351208201E-3</v>
      </c>
    </row>
    <row r="293" spans="1:23" x14ac:dyDescent="0.3">
      <c r="A293" s="10" t="s">
        <v>523</v>
      </c>
      <c r="B293" s="10" t="s">
        <v>590</v>
      </c>
      <c r="C293" s="10">
        <v>26</v>
      </c>
      <c r="D293" s="10">
        <v>2016</v>
      </c>
      <c r="E293" s="10" t="s">
        <v>581</v>
      </c>
      <c r="F293" s="10">
        <f t="shared" ref="F293:R293" si="321">F287</f>
        <v>14</v>
      </c>
      <c r="G293" s="10">
        <f t="shared" si="321"/>
        <v>6</v>
      </c>
      <c r="H293" s="10">
        <f t="shared" si="321"/>
        <v>0.7</v>
      </c>
      <c r="I293" s="3">
        <f t="shared" ref="I293:I295" si="322">T293*9/Q293</f>
        <v>6.1048082650318518</v>
      </c>
      <c r="J293" s="3">
        <f t="shared" ref="J293:J295" si="323">S293*9/Q293</f>
        <v>6.6745903697681577</v>
      </c>
      <c r="K293" s="10">
        <f t="shared" si="321"/>
        <v>26</v>
      </c>
      <c r="L293" s="10">
        <f t="shared" si="321"/>
        <v>24</v>
      </c>
      <c r="M293" s="10">
        <f t="shared" si="321"/>
        <v>1</v>
      </c>
      <c r="N293" s="10">
        <f t="shared" si="321"/>
        <v>0</v>
      </c>
      <c r="O293" s="10">
        <f t="shared" si="321"/>
        <v>0</v>
      </c>
      <c r="P293" s="10">
        <f t="shared" si="321"/>
        <v>0</v>
      </c>
      <c r="Q293" s="13">
        <f t="shared" ref="Q293:Q295" si="324">Q287-(Q287-ROUNDDOWN(Q287,0))+(Q287-ROUNDDOWN(Q287,0))/0.3</f>
        <v>124.33333333333331</v>
      </c>
      <c r="R293" s="10">
        <f t="shared" si="321"/>
        <v>154</v>
      </c>
      <c r="S293" s="9">
        <f>S287*(C9/C5)*(1000/860)</f>
        <v>92.208229923093427</v>
      </c>
      <c r="T293" s="9">
        <f>T287*(C9/C5)*(1000/860)</f>
        <v>84.33679566136594</v>
      </c>
      <c r="U293" s="11">
        <f t="shared" ref="U293:U295" si="325">IFERROR(VLOOKUP(D293,$F$2:$AG$5,MATCH($U$173,$F$2:$AG$2,0),0)/I293*100,"-")</f>
        <v>85.01495501059641</v>
      </c>
      <c r="V293" s="11">
        <f t="shared" ref="V293:V295" si="326">VLOOKUP(D293,$F$2:$AG$5,26,0)/J293*100</f>
        <v>84.499567577147133</v>
      </c>
      <c r="W293" s="3">
        <f t="shared" ref="W293:W295" si="327">(V293^2/(V293^2+100^2)-0.325)/9*Q293</f>
        <v>1.265097888890059</v>
      </c>
    </row>
    <row r="294" spans="1:23" x14ac:dyDescent="0.3">
      <c r="A294" s="10" t="s">
        <v>523</v>
      </c>
      <c r="B294" s="10" t="s">
        <v>590</v>
      </c>
      <c r="C294" s="10">
        <v>27</v>
      </c>
      <c r="D294" s="10">
        <v>2017</v>
      </c>
      <c r="E294" s="10" t="s">
        <v>581</v>
      </c>
      <c r="F294" s="10">
        <f t="shared" ref="F294:R294" si="328">F288</f>
        <v>10</v>
      </c>
      <c r="G294" s="10">
        <f t="shared" si="328"/>
        <v>2</v>
      </c>
      <c r="H294" s="10">
        <f t="shared" si="328"/>
        <v>0.83299999999999996</v>
      </c>
      <c r="I294" s="3">
        <f t="shared" si="322"/>
        <v>2.7686272537531118</v>
      </c>
      <c r="J294" s="3">
        <f t="shared" si="323"/>
        <v>2.8944739471055261</v>
      </c>
      <c r="K294" s="10">
        <f t="shared" si="328"/>
        <v>21</v>
      </c>
      <c r="L294" s="10">
        <f t="shared" si="328"/>
        <v>21</v>
      </c>
      <c r="M294" s="10">
        <f t="shared" si="328"/>
        <v>0</v>
      </c>
      <c r="N294" s="10">
        <f t="shared" si="328"/>
        <v>1</v>
      </c>
      <c r="O294" s="10">
        <f t="shared" si="328"/>
        <v>1</v>
      </c>
      <c r="P294" s="10">
        <f t="shared" si="328"/>
        <v>0</v>
      </c>
      <c r="Q294" s="13">
        <f t="shared" si="324"/>
        <v>133</v>
      </c>
      <c r="R294" s="10">
        <f t="shared" si="328"/>
        <v>114</v>
      </c>
      <c r="S294" s="9">
        <f>S288*(C9/C7)*(1000/1040)</f>
        <v>42.773892773892776</v>
      </c>
      <c r="T294" s="9">
        <f>T288*(C9/C7)*(1000/1040)</f>
        <v>40.914158305462649</v>
      </c>
      <c r="U294" s="11">
        <f t="shared" si="325"/>
        <v>179.87253405994551</v>
      </c>
      <c r="V294" s="11">
        <f t="shared" si="326"/>
        <v>186.90788374205266</v>
      </c>
      <c r="W294" s="3">
        <f t="shared" si="327"/>
        <v>6.686266614655719</v>
      </c>
    </row>
    <row r="295" spans="1:23" x14ac:dyDescent="0.3">
      <c r="A295" s="10" t="s">
        <v>523</v>
      </c>
      <c r="B295" s="10" t="s">
        <v>590</v>
      </c>
      <c r="C295" s="10">
        <v>28</v>
      </c>
      <c r="D295" s="10">
        <v>2018</v>
      </c>
      <c r="E295" s="10" t="s">
        <v>581</v>
      </c>
      <c r="F295" s="10">
        <f t="shared" ref="F295:R295" si="329">F289</f>
        <v>4</v>
      </c>
      <c r="G295" s="10">
        <f t="shared" si="329"/>
        <v>9</v>
      </c>
      <c r="H295" s="10">
        <f t="shared" si="329"/>
        <v>0.308</v>
      </c>
      <c r="I295" s="3">
        <f t="shared" si="322"/>
        <v>4.3466649326762745</v>
      </c>
      <c r="J295" s="3">
        <f t="shared" si="323"/>
        <v>5.028494726037259</v>
      </c>
      <c r="K295" s="10">
        <f t="shared" si="329"/>
        <v>16</v>
      </c>
      <c r="L295" s="10">
        <f t="shared" si="329"/>
        <v>16</v>
      </c>
      <c r="M295" s="10">
        <f t="shared" si="329"/>
        <v>0</v>
      </c>
      <c r="N295" s="10">
        <f t="shared" si="329"/>
        <v>0</v>
      </c>
      <c r="O295" s="10">
        <f t="shared" si="329"/>
        <v>0</v>
      </c>
      <c r="P295" s="10">
        <f t="shared" si="329"/>
        <v>0</v>
      </c>
      <c r="Q295" s="13">
        <f t="shared" si="324"/>
        <v>92</v>
      </c>
      <c r="R295" s="10">
        <f t="shared" si="329"/>
        <v>108</v>
      </c>
      <c r="S295" s="9">
        <f>S289*(C9/C7)*(1000/1110)</f>
        <v>51.402390532825315</v>
      </c>
      <c r="T295" s="9">
        <f>T289*(C9/C7)*(1000/1110)</f>
        <v>44.432574867357474</v>
      </c>
      <c r="U295" s="11">
        <f t="shared" si="325"/>
        <v>129.7546529892611</v>
      </c>
      <c r="V295" s="11">
        <f t="shared" si="326"/>
        <v>112.75740174571654</v>
      </c>
      <c r="W295" s="3">
        <f t="shared" si="327"/>
        <v>2.3996398819759044</v>
      </c>
    </row>
    <row r="297" spans="1:23" x14ac:dyDescent="0.3">
      <c r="B297" s="10" t="s">
        <v>146</v>
      </c>
      <c r="C297" s="10" t="s">
        <v>176</v>
      </c>
      <c r="D297" s="10" t="s">
        <v>173</v>
      </c>
      <c r="E297" s="10" t="s">
        <v>171</v>
      </c>
      <c r="F297" s="10" t="s">
        <v>531</v>
      </c>
      <c r="G297" s="10" t="s">
        <v>532</v>
      </c>
      <c r="H297" s="10" t="s">
        <v>533</v>
      </c>
      <c r="I297" s="10" t="s">
        <v>534</v>
      </c>
      <c r="J297" s="10" t="s">
        <v>535</v>
      </c>
      <c r="K297" s="10" t="s">
        <v>148</v>
      </c>
      <c r="L297" s="10" t="s">
        <v>536</v>
      </c>
      <c r="M297" s="10" t="s">
        <v>537</v>
      </c>
      <c r="N297" s="10" t="s">
        <v>538</v>
      </c>
      <c r="O297" s="10" t="s">
        <v>539</v>
      </c>
      <c r="P297" s="10" t="s">
        <v>540</v>
      </c>
      <c r="Q297" s="10" t="s">
        <v>541</v>
      </c>
      <c r="R297" s="10" t="s">
        <v>152</v>
      </c>
      <c r="S297" s="10" t="s">
        <v>151</v>
      </c>
      <c r="T297" s="10" t="s">
        <v>542</v>
      </c>
    </row>
    <row r="298" spans="1:23" x14ac:dyDescent="0.3">
      <c r="B298" s="5" t="s">
        <v>592</v>
      </c>
      <c r="C298" s="5">
        <v>27</v>
      </c>
      <c r="D298" s="5">
        <v>2016</v>
      </c>
      <c r="E298" s="5" t="s">
        <v>582</v>
      </c>
      <c r="F298" s="5">
        <v>7</v>
      </c>
      <c r="G298" s="5">
        <v>15</v>
      </c>
      <c r="H298" s="5">
        <v>0.318</v>
      </c>
      <c r="I298" s="5">
        <v>5.92</v>
      </c>
      <c r="J298" s="5">
        <v>6.27</v>
      </c>
      <c r="K298" s="5">
        <v>28</v>
      </c>
      <c r="L298" s="5">
        <v>28</v>
      </c>
      <c r="M298" s="5">
        <v>0</v>
      </c>
      <c r="N298" s="5">
        <v>0</v>
      </c>
      <c r="O298" s="5">
        <v>0</v>
      </c>
      <c r="P298" s="5">
        <v>0</v>
      </c>
      <c r="Q298" s="5">
        <v>155</v>
      </c>
      <c r="R298" s="5">
        <v>187</v>
      </c>
      <c r="S298" s="5">
        <v>108</v>
      </c>
      <c r="T298" s="5">
        <v>102</v>
      </c>
    </row>
    <row r="299" spans="1:23" x14ac:dyDescent="0.3">
      <c r="B299" s="10" t="s">
        <v>592</v>
      </c>
      <c r="C299" s="5">
        <v>28</v>
      </c>
      <c r="D299" s="5">
        <v>2017</v>
      </c>
      <c r="E299" s="5" t="s">
        <v>587</v>
      </c>
      <c r="F299" s="5">
        <v>0</v>
      </c>
      <c r="G299" s="5">
        <v>0</v>
      </c>
      <c r="I299" s="5">
        <v>10.38</v>
      </c>
      <c r="J299" s="5">
        <v>10.38</v>
      </c>
      <c r="K299" s="5">
        <v>2</v>
      </c>
      <c r="L299" s="5">
        <v>0</v>
      </c>
      <c r="M299" s="5">
        <v>1</v>
      </c>
      <c r="N299" s="5">
        <v>0</v>
      </c>
      <c r="O299" s="5">
        <v>0</v>
      </c>
      <c r="P299" s="5">
        <v>0</v>
      </c>
      <c r="Q299" s="5">
        <v>4.0999999999999996</v>
      </c>
      <c r="R299" s="5">
        <v>10</v>
      </c>
      <c r="S299" s="5">
        <v>5</v>
      </c>
      <c r="T299" s="5">
        <v>5</v>
      </c>
    </row>
    <row r="300" spans="1:23" x14ac:dyDescent="0.3">
      <c r="B300" s="10" t="s">
        <v>592</v>
      </c>
      <c r="C300" s="5">
        <v>28</v>
      </c>
      <c r="D300" s="5">
        <v>2017</v>
      </c>
      <c r="E300" s="5" t="s">
        <v>588</v>
      </c>
      <c r="F300" s="5">
        <v>2</v>
      </c>
      <c r="G300" s="5">
        <v>6</v>
      </c>
      <c r="H300" s="5">
        <v>0.25</v>
      </c>
      <c r="I300" s="5">
        <v>2.57</v>
      </c>
      <c r="J300" s="5">
        <v>3</v>
      </c>
      <c r="K300" s="5">
        <v>37</v>
      </c>
      <c r="L300" s="5">
        <v>2</v>
      </c>
      <c r="M300" s="5">
        <v>12</v>
      </c>
      <c r="N300" s="5">
        <v>0</v>
      </c>
      <c r="O300" s="5">
        <v>0</v>
      </c>
      <c r="P300" s="5">
        <v>2</v>
      </c>
      <c r="Q300" s="5">
        <v>63</v>
      </c>
      <c r="R300" s="5">
        <v>54</v>
      </c>
      <c r="S300" s="5">
        <v>21</v>
      </c>
      <c r="T300" s="5">
        <v>18</v>
      </c>
    </row>
    <row r="301" spans="1:23" x14ac:dyDescent="0.3">
      <c r="B301" s="10" t="s">
        <v>592</v>
      </c>
      <c r="C301" s="5">
        <v>29</v>
      </c>
      <c r="D301" s="5">
        <v>2018</v>
      </c>
      <c r="E301" s="5" t="s">
        <v>589</v>
      </c>
      <c r="F301" s="5">
        <v>4</v>
      </c>
      <c r="G301" s="5">
        <v>2</v>
      </c>
      <c r="H301" s="5">
        <v>0.66700000000000004</v>
      </c>
      <c r="I301" s="5">
        <v>4.33</v>
      </c>
      <c r="J301" s="5">
        <v>5.35</v>
      </c>
      <c r="K301" s="5">
        <v>32</v>
      </c>
      <c r="L301" s="5">
        <v>0</v>
      </c>
      <c r="M301" s="5">
        <v>5</v>
      </c>
      <c r="N301" s="5">
        <v>0</v>
      </c>
      <c r="O301" s="5">
        <v>0</v>
      </c>
      <c r="P301" s="5">
        <v>0</v>
      </c>
      <c r="Q301" s="5">
        <v>35.1</v>
      </c>
      <c r="R301" s="5">
        <v>34</v>
      </c>
      <c r="S301" s="5">
        <v>21</v>
      </c>
      <c r="T301" s="5">
        <v>17</v>
      </c>
    </row>
    <row r="302" spans="1:23" x14ac:dyDescent="0.3">
      <c r="B302" s="10" t="s">
        <v>592</v>
      </c>
      <c r="C302" s="5">
        <v>29</v>
      </c>
      <c r="D302" s="5">
        <v>2018</v>
      </c>
      <c r="E302" s="5" t="s">
        <v>595</v>
      </c>
      <c r="F302" s="5">
        <v>0</v>
      </c>
      <c r="G302" s="5">
        <v>0</v>
      </c>
      <c r="I302" s="5">
        <v>2.52</v>
      </c>
      <c r="J302" s="5">
        <v>3.6</v>
      </c>
      <c r="K302" s="5">
        <v>14</v>
      </c>
      <c r="L302" s="5">
        <v>0</v>
      </c>
      <c r="M302" s="5">
        <v>4</v>
      </c>
      <c r="N302" s="5">
        <v>0</v>
      </c>
      <c r="O302" s="5">
        <v>0</v>
      </c>
      <c r="P302" s="5">
        <v>0</v>
      </c>
      <c r="Q302" s="5">
        <v>25</v>
      </c>
      <c r="R302" s="5">
        <v>27</v>
      </c>
      <c r="S302" s="5">
        <v>10</v>
      </c>
      <c r="T302" s="5">
        <v>7</v>
      </c>
    </row>
    <row r="304" spans="1:23" x14ac:dyDescent="0.3">
      <c r="B304" s="10" t="s">
        <v>146</v>
      </c>
      <c r="C304" s="10" t="s">
        <v>176</v>
      </c>
      <c r="D304" s="10" t="s">
        <v>173</v>
      </c>
      <c r="E304" s="10" t="s">
        <v>171</v>
      </c>
      <c r="F304" s="10" t="s">
        <v>531</v>
      </c>
      <c r="G304" s="10" t="s">
        <v>532</v>
      </c>
      <c r="H304" s="10" t="s">
        <v>533</v>
      </c>
      <c r="I304" s="10" t="s">
        <v>534</v>
      </c>
      <c r="J304" s="10" t="s">
        <v>535</v>
      </c>
      <c r="K304" s="10" t="s">
        <v>148</v>
      </c>
      <c r="L304" s="10" t="s">
        <v>536</v>
      </c>
      <c r="M304" s="10" t="s">
        <v>537</v>
      </c>
      <c r="N304" s="10" t="s">
        <v>538</v>
      </c>
      <c r="O304" s="10" t="s">
        <v>539</v>
      </c>
      <c r="P304" s="10" t="s">
        <v>540</v>
      </c>
      <c r="Q304" s="10" t="s">
        <v>541</v>
      </c>
      <c r="R304" s="10" t="s">
        <v>152</v>
      </c>
      <c r="S304" s="10" t="s">
        <v>151</v>
      </c>
      <c r="T304" s="10" t="s">
        <v>542</v>
      </c>
      <c r="U304" s="10" t="s">
        <v>550</v>
      </c>
      <c r="V304" s="10" t="s">
        <v>559</v>
      </c>
      <c r="W304" s="10" t="s">
        <v>549</v>
      </c>
    </row>
    <row r="305" spans="1:23" x14ac:dyDescent="0.3">
      <c r="A305" s="10" t="s">
        <v>523</v>
      </c>
      <c r="B305" s="10" t="s">
        <v>592</v>
      </c>
      <c r="C305" s="10">
        <v>27</v>
      </c>
      <c r="D305" s="10">
        <v>2016</v>
      </c>
      <c r="E305" s="5" t="s">
        <v>596</v>
      </c>
      <c r="F305" s="5">
        <f>F298</f>
        <v>7</v>
      </c>
      <c r="G305" s="10">
        <f t="shared" ref="G305:R305" si="330">G298</f>
        <v>15</v>
      </c>
      <c r="H305" s="10">
        <f t="shared" si="330"/>
        <v>0.318</v>
      </c>
      <c r="I305" s="3">
        <f t="shared" ref="I305" si="331">T305*9/Q305</f>
        <v>6.0608489219989909</v>
      </c>
      <c r="J305" s="3">
        <f t="shared" ref="J305" si="332">S305*9/Q305</f>
        <v>6.4173694468224616</v>
      </c>
      <c r="K305" s="10">
        <f t="shared" si="330"/>
        <v>28</v>
      </c>
      <c r="L305" s="10">
        <f t="shared" si="330"/>
        <v>28</v>
      </c>
      <c r="M305" s="10">
        <f t="shared" si="330"/>
        <v>0</v>
      </c>
      <c r="N305" s="10">
        <f t="shared" si="330"/>
        <v>0</v>
      </c>
      <c r="O305" s="10">
        <f t="shared" si="330"/>
        <v>0</v>
      </c>
      <c r="P305" s="10">
        <f t="shared" si="330"/>
        <v>0</v>
      </c>
      <c r="Q305" s="13">
        <f>Q298-(Q298-ROUNDDOWN(Q298,0))+(Q298-ROUNDDOWN(Q298,0))/0.3</f>
        <v>155</v>
      </c>
      <c r="R305" s="10">
        <f t="shared" si="330"/>
        <v>187</v>
      </c>
      <c r="S305" s="9">
        <f>S298*(C9/C5)*(1000/945)</f>
        <v>110.52136269527574</v>
      </c>
      <c r="T305" s="9">
        <f>T298*(C9/C5)*(1000/945)</f>
        <v>104.38128698998263</v>
      </c>
      <c r="U305" s="11">
        <f t="shared" ref="U305" si="333">IFERROR(VLOOKUP(D305,$F$2:$AG$5,MATCH($U$173,$F$2:$AG$2,0),0)/I305*100,"-")</f>
        <v>85.631568560666793</v>
      </c>
      <c r="V305" s="11">
        <f t="shared" ref="V305" si="334">VLOOKUP(D305,$F$2:$AG$5,26,0)/J305*100</f>
        <v>87.886478201634873</v>
      </c>
      <c r="W305" s="3">
        <f t="shared" ref="W305" si="335">(V305^2/(V305^2+100^2)-0.325)/9*Q305</f>
        <v>1.9081245163158758</v>
      </c>
    </row>
    <row r="306" spans="1:23" x14ac:dyDescent="0.3">
      <c r="A306" s="10" t="s">
        <v>523</v>
      </c>
      <c r="B306" s="10" t="s">
        <v>592</v>
      </c>
      <c r="C306" s="10">
        <v>28</v>
      </c>
      <c r="D306" s="10">
        <v>2017</v>
      </c>
      <c r="E306" s="10" t="s">
        <v>596</v>
      </c>
      <c r="F306" s="10">
        <f t="shared" ref="F306:R306" si="336">F299</f>
        <v>0</v>
      </c>
      <c r="G306" s="10">
        <f t="shared" si="336"/>
        <v>0</v>
      </c>
      <c r="H306" s="10">
        <f t="shared" si="336"/>
        <v>0</v>
      </c>
      <c r="I306" s="3">
        <f t="shared" ref="I306:I309" si="337">T306*9/Q306</f>
        <v>6.6527086675549052</v>
      </c>
      <c r="J306" s="3">
        <f t="shared" ref="J306:J309" si="338">S306*9/Q306</f>
        <v>6.6527086675549052</v>
      </c>
      <c r="K306" s="10">
        <f t="shared" si="336"/>
        <v>2</v>
      </c>
      <c r="L306" s="10">
        <f t="shared" si="336"/>
        <v>0</v>
      </c>
      <c r="M306" s="10">
        <f t="shared" si="336"/>
        <v>1</v>
      </c>
      <c r="N306" s="10">
        <f t="shared" si="336"/>
        <v>0</v>
      </c>
      <c r="O306" s="10">
        <f t="shared" si="336"/>
        <v>0</v>
      </c>
      <c r="P306" s="10">
        <f t="shared" si="336"/>
        <v>0</v>
      </c>
      <c r="Q306" s="13">
        <f t="shared" ref="Q306:Q309" si="339">Q299-(Q299-ROUNDDOWN(Q299,0))+(Q299-ROUNDDOWN(Q299,0))/0.3</f>
        <v>4.3333333333333321</v>
      </c>
      <c r="R306" s="10">
        <f t="shared" si="336"/>
        <v>10</v>
      </c>
      <c r="S306" s="9">
        <f>S299*(C9/C3)*(1000/1035)</f>
        <v>3.2031560251190276</v>
      </c>
      <c r="T306" s="9">
        <f>T299*(C9/C3)*(1000/1035)</f>
        <v>3.2031560251190276</v>
      </c>
      <c r="U306" s="11">
        <f t="shared" ref="U306:U309" si="340">IFERROR(VLOOKUP(D306,$F$2:$AG$5,MATCH($U$173,$F$2:$AG$2,0),0)/I306*100,"-")</f>
        <v>74.856727520435953</v>
      </c>
      <c r="V306" s="11">
        <f t="shared" ref="V306:V309" si="341">VLOOKUP(D306,$F$2:$AG$5,26,0)/J306*100</f>
        <v>81.32026021798363</v>
      </c>
      <c r="W306" s="3">
        <f t="shared" ref="W306:W309" si="342">(V306^2/(V306^2+100^2)-0.325)/9*Q306</f>
        <v>3.5177617363257863E-2</v>
      </c>
    </row>
    <row r="307" spans="1:23" x14ac:dyDescent="0.3">
      <c r="A307" s="10" t="s">
        <v>523</v>
      </c>
      <c r="B307" s="10" t="s">
        <v>592</v>
      </c>
      <c r="C307" s="10">
        <v>28</v>
      </c>
      <c r="D307" s="10">
        <v>2017</v>
      </c>
      <c r="E307" s="10" t="s">
        <v>596</v>
      </c>
      <c r="F307" s="10">
        <f t="shared" ref="F307:R307" si="343">F300</f>
        <v>2</v>
      </c>
      <c r="G307" s="10">
        <f t="shared" si="343"/>
        <v>6</v>
      </c>
      <c r="H307" s="10">
        <f t="shared" si="343"/>
        <v>0.25</v>
      </c>
      <c r="I307" s="3">
        <f t="shared" si="337"/>
        <v>2.3416937400634872</v>
      </c>
      <c r="J307" s="3">
        <f t="shared" si="338"/>
        <v>2.7319760300740685</v>
      </c>
      <c r="K307" s="10">
        <f t="shared" si="343"/>
        <v>37</v>
      </c>
      <c r="L307" s="10">
        <f t="shared" si="343"/>
        <v>2</v>
      </c>
      <c r="M307" s="10">
        <f t="shared" si="343"/>
        <v>12</v>
      </c>
      <c r="N307" s="10">
        <f t="shared" si="343"/>
        <v>0</v>
      </c>
      <c r="O307" s="10">
        <f t="shared" si="343"/>
        <v>0</v>
      </c>
      <c r="P307" s="10">
        <f t="shared" si="343"/>
        <v>2</v>
      </c>
      <c r="Q307" s="13">
        <f t="shared" si="339"/>
        <v>63</v>
      </c>
      <c r="R307" s="10">
        <f t="shared" si="343"/>
        <v>54</v>
      </c>
      <c r="S307" s="9">
        <f>S300*(C9/C6)*(1000/1005)</f>
        <v>19.123832210518479</v>
      </c>
      <c r="T307" s="9">
        <f>T300*(C9/C6)*(1000/1005)</f>
        <v>16.39185618044441</v>
      </c>
      <c r="U307" s="11">
        <f t="shared" si="340"/>
        <v>212.66658038147145</v>
      </c>
      <c r="V307" s="11">
        <f t="shared" si="341"/>
        <v>198.02516348773841</v>
      </c>
      <c r="W307" s="3">
        <f t="shared" si="342"/>
        <v>3.3026395080634998</v>
      </c>
    </row>
    <row r="308" spans="1:23" x14ac:dyDescent="0.3">
      <c r="A308" s="10" t="s">
        <v>523</v>
      </c>
      <c r="B308" s="10" t="s">
        <v>592</v>
      </c>
      <c r="C308" s="10">
        <v>29</v>
      </c>
      <c r="D308" s="10">
        <v>2018</v>
      </c>
      <c r="E308" s="10" t="s">
        <v>596</v>
      </c>
      <c r="F308" s="10">
        <f t="shared" ref="F308:R308" si="344">F301</f>
        <v>4</v>
      </c>
      <c r="G308" s="10">
        <f t="shared" si="344"/>
        <v>2</v>
      </c>
      <c r="H308" s="10">
        <f t="shared" si="344"/>
        <v>0.66700000000000004</v>
      </c>
      <c r="I308" s="3">
        <f t="shared" si="337"/>
        <v>3.9238993710691821</v>
      </c>
      <c r="J308" s="3">
        <f t="shared" si="338"/>
        <v>4.8471698113207538</v>
      </c>
      <c r="K308" s="10">
        <f t="shared" si="344"/>
        <v>32</v>
      </c>
      <c r="L308" s="10">
        <f t="shared" si="344"/>
        <v>0</v>
      </c>
      <c r="M308" s="10">
        <f t="shared" si="344"/>
        <v>5</v>
      </c>
      <c r="N308" s="10">
        <f t="shared" si="344"/>
        <v>0</v>
      </c>
      <c r="O308" s="10">
        <f t="shared" si="344"/>
        <v>0</v>
      </c>
      <c r="P308" s="10">
        <f t="shared" si="344"/>
        <v>0</v>
      </c>
      <c r="Q308" s="13">
        <f t="shared" si="339"/>
        <v>35.333333333333336</v>
      </c>
      <c r="R308" s="10">
        <f t="shared" si="344"/>
        <v>34</v>
      </c>
      <c r="S308" s="9">
        <f>S301*(C9/C4)*(1000/810)</f>
        <v>19.029629629629628</v>
      </c>
      <c r="T308" s="9">
        <f>T301*(C9/C4)*(1000/810)</f>
        <v>15.404938271604937</v>
      </c>
      <c r="U308" s="11">
        <f t="shared" si="340"/>
        <v>143.73457284821285</v>
      </c>
      <c r="V308" s="11">
        <f t="shared" si="341"/>
        <v>116.97547683923707</v>
      </c>
      <c r="W308" s="3">
        <f t="shared" si="342"/>
        <v>0.99232045577387074</v>
      </c>
    </row>
    <row r="309" spans="1:23" x14ac:dyDescent="0.3">
      <c r="A309" s="10" t="s">
        <v>523</v>
      </c>
      <c r="B309" s="10" t="s">
        <v>592</v>
      </c>
      <c r="C309" s="10">
        <v>29</v>
      </c>
      <c r="D309" s="10">
        <v>2018</v>
      </c>
      <c r="E309" s="10" t="s">
        <v>596</v>
      </c>
      <c r="F309" s="10">
        <f t="shared" ref="F309:R309" si="345">F302</f>
        <v>0</v>
      </c>
      <c r="G309" s="10">
        <f t="shared" si="345"/>
        <v>0</v>
      </c>
      <c r="H309" s="10">
        <f t="shared" si="345"/>
        <v>0</v>
      </c>
      <c r="I309" s="3">
        <f t="shared" si="337"/>
        <v>2.8173364710183013</v>
      </c>
      <c r="J309" s="3">
        <f t="shared" si="338"/>
        <v>4.0247663871690014</v>
      </c>
      <c r="K309" s="10">
        <f t="shared" si="345"/>
        <v>14</v>
      </c>
      <c r="L309" s="10">
        <f t="shared" si="345"/>
        <v>0</v>
      </c>
      <c r="M309" s="10">
        <f t="shared" si="345"/>
        <v>4</v>
      </c>
      <c r="N309" s="10">
        <f t="shared" si="345"/>
        <v>0</v>
      </c>
      <c r="O309" s="10">
        <f t="shared" si="345"/>
        <v>0</v>
      </c>
      <c r="P309" s="10">
        <f t="shared" si="345"/>
        <v>0</v>
      </c>
      <c r="Q309" s="13">
        <f t="shared" si="339"/>
        <v>25</v>
      </c>
      <c r="R309" s="10">
        <f t="shared" si="345"/>
        <v>27</v>
      </c>
      <c r="S309" s="9">
        <f>S302*(C9/C5)*(1000/865)</f>
        <v>11.179906631025004</v>
      </c>
      <c r="T309" s="9">
        <f>T302*(C9/C5)*(1000/865)</f>
        <v>7.8259346417175024</v>
      </c>
      <c r="U309" s="11">
        <f t="shared" si="340"/>
        <v>200.18908135461265</v>
      </c>
      <c r="V309" s="11">
        <f t="shared" si="341"/>
        <v>140.87774182561304</v>
      </c>
      <c r="W309" s="3">
        <f t="shared" si="342"/>
        <v>0.94431324344122791</v>
      </c>
    </row>
    <row r="311" spans="1:23" x14ac:dyDescent="0.3">
      <c r="B311" s="10" t="s">
        <v>146</v>
      </c>
      <c r="C311" s="10" t="s">
        <v>176</v>
      </c>
      <c r="D311" s="10" t="s">
        <v>173</v>
      </c>
      <c r="E311" s="10" t="s">
        <v>171</v>
      </c>
      <c r="F311" s="10" t="s">
        <v>531</v>
      </c>
      <c r="G311" s="10" t="s">
        <v>532</v>
      </c>
      <c r="H311" s="10" t="s">
        <v>533</v>
      </c>
      <c r="I311" s="10" t="s">
        <v>534</v>
      </c>
      <c r="J311" s="10" t="s">
        <v>535</v>
      </c>
      <c r="K311" s="10" t="s">
        <v>148</v>
      </c>
      <c r="L311" s="10" t="s">
        <v>536</v>
      </c>
      <c r="M311" s="10" t="s">
        <v>537</v>
      </c>
      <c r="N311" s="10" t="s">
        <v>538</v>
      </c>
      <c r="O311" s="10" t="s">
        <v>539</v>
      </c>
      <c r="P311" s="10" t="s">
        <v>540</v>
      </c>
      <c r="Q311" s="10" t="s">
        <v>541</v>
      </c>
      <c r="R311" s="10" t="s">
        <v>152</v>
      </c>
      <c r="S311" s="10" t="s">
        <v>151</v>
      </c>
      <c r="T311" s="10" t="s">
        <v>542</v>
      </c>
    </row>
    <row r="312" spans="1:23" x14ac:dyDescent="0.3">
      <c r="B312" s="5" t="s">
        <v>597</v>
      </c>
      <c r="C312" s="5">
        <v>25</v>
      </c>
      <c r="D312" s="5">
        <v>2016</v>
      </c>
      <c r="E312" s="5" t="s">
        <v>589</v>
      </c>
      <c r="F312" s="5">
        <v>2</v>
      </c>
      <c r="G312" s="5">
        <v>5</v>
      </c>
      <c r="H312" s="5">
        <v>0.28599999999999998</v>
      </c>
      <c r="I312" s="5">
        <v>7.17</v>
      </c>
      <c r="J312" s="5">
        <v>8.02</v>
      </c>
      <c r="K312" s="5">
        <v>17</v>
      </c>
      <c r="L312" s="5">
        <v>9</v>
      </c>
      <c r="M312" s="5">
        <v>0</v>
      </c>
      <c r="N312" s="5">
        <v>0</v>
      </c>
      <c r="O312" s="5">
        <v>0</v>
      </c>
      <c r="P312" s="5">
        <v>0</v>
      </c>
      <c r="Q312" s="5">
        <v>64</v>
      </c>
      <c r="R312" s="5">
        <v>87</v>
      </c>
      <c r="S312" s="5">
        <v>57</v>
      </c>
      <c r="T312" s="5">
        <v>51</v>
      </c>
    </row>
    <row r="313" spans="1:23" x14ac:dyDescent="0.3">
      <c r="B313" s="10" t="s">
        <v>597</v>
      </c>
      <c r="C313" s="10">
        <v>25</v>
      </c>
      <c r="D313" s="10">
        <v>2016</v>
      </c>
      <c r="E313" s="5" t="s">
        <v>582</v>
      </c>
      <c r="F313" s="5">
        <v>8</v>
      </c>
      <c r="G313" s="5">
        <v>3</v>
      </c>
      <c r="H313" s="5">
        <v>0.72699999999999998</v>
      </c>
      <c r="I313" s="5">
        <v>4.45</v>
      </c>
      <c r="J313" s="5">
        <v>4.75</v>
      </c>
      <c r="K313" s="5">
        <v>15</v>
      </c>
      <c r="L313" s="5">
        <v>15</v>
      </c>
      <c r="M313" s="5">
        <v>0</v>
      </c>
      <c r="N313" s="5">
        <v>1</v>
      </c>
      <c r="O313" s="5">
        <v>1</v>
      </c>
      <c r="P313" s="5">
        <v>0</v>
      </c>
      <c r="Q313" s="5">
        <v>89</v>
      </c>
      <c r="R313" s="5">
        <v>93</v>
      </c>
      <c r="S313" s="5">
        <v>47</v>
      </c>
      <c r="T313" s="5">
        <v>44</v>
      </c>
    </row>
    <row r="314" spans="1:23" x14ac:dyDescent="0.3">
      <c r="B314" s="10" t="s">
        <v>597</v>
      </c>
      <c r="C314" s="5">
        <v>26</v>
      </c>
      <c r="D314" s="5">
        <v>2017</v>
      </c>
      <c r="E314" s="5" t="s">
        <v>589</v>
      </c>
      <c r="F314" s="5">
        <v>4</v>
      </c>
      <c r="G314" s="5">
        <v>3</v>
      </c>
      <c r="H314" s="5">
        <v>0.57099999999999995</v>
      </c>
      <c r="I314" s="5">
        <v>3.95</v>
      </c>
      <c r="J314" s="5">
        <v>3.95</v>
      </c>
      <c r="K314" s="5">
        <v>13</v>
      </c>
      <c r="L314" s="5">
        <v>11</v>
      </c>
      <c r="M314" s="5">
        <v>2</v>
      </c>
      <c r="N314" s="5">
        <v>0</v>
      </c>
      <c r="O314" s="5">
        <v>0</v>
      </c>
      <c r="P314" s="5">
        <v>0</v>
      </c>
      <c r="Q314" s="5">
        <v>54.2</v>
      </c>
      <c r="R314" s="5">
        <v>50</v>
      </c>
      <c r="S314" s="5">
        <v>24</v>
      </c>
      <c r="T314" s="5">
        <v>24</v>
      </c>
    </row>
    <row r="315" spans="1:23" x14ac:dyDescent="0.3">
      <c r="B315" s="10" t="s">
        <v>597</v>
      </c>
      <c r="C315" s="5">
        <v>26</v>
      </c>
      <c r="D315" s="5">
        <v>2017</v>
      </c>
      <c r="E315" s="5" t="s">
        <v>582</v>
      </c>
      <c r="F315" s="5">
        <v>2</v>
      </c>
      <c r="G315" s="5">
        <v>0</v>
      </c>
      <c r="H315" s="5">
        <v>1</v>
      </c>
      <c r="I315" s="5">
        <v>2.17</v>
      </c>
      <c r="J315" s="5">
        <v>2.36</v>
      </c>
      <c r="K315" s="5">
        <v>8</v>
      </c>
      <c r="L315" s="5">
        <v>8</v>
      </c>
      <c r="M315" s="5">
        <v>0</v>
      </c>
      <c r="N315" s="5">
        <v>0</v>
      </c>
      <c r="O315" s="5">
        <v>0</v>
      </c>
      <c r="P315" s="5">
        <v>0</v>
      </c>
      <c r="Q315" s="5">
        <v>45.2</v>
      </c>
      <c r="R315" s="5">
        <v>49</v>
      </c>
      <c r="S315" s="5">
        <v>12</v>
      </c>
      <c r="T315" s="5">
        <v>11</v>
      </c>
    </row>
    <row r="316" spans="1:23" x14ac:dyDescent="0.3">
      <c r="B316" s="10" t="s">
        <v>597</v>
      </c>
      <c r="C316" s="5">
        <v>27</v>
      </c>
      <c r="D316" s="5">
        <v>2018</v>
      </c>
      <c r="E316" s="5" t="s">
        <v>587</v>
      </c>
      <c r="F316" s="5">
        <v>1</v>
      </c>
      <c r="G316" s="5">
        <v>2</v>
      </c>
      <c r="H316" s="5">
        <v>0.33300000000000002</v>
      </c>
      <c r="I316" s="5">
        <v>6.47</v>
      </c>
      <c r="J316" s="5">
        <v>6.75</v>
      </c>
      <c r="K316" s="5">
        <v>22</v>
      </c>
      <c r="L316" s="5">
        <v>0</v>
      </c>
      <c r="M316" s="5">
        <v>6</v>
      </c>
      <c r="N316" s="5">
        <v>0</v>
      </c>
      <c r="O316" s="5">
        <v>0</v>
      </c>
      <c r="P316" s="5">
        <v>2</v>
      </c>
      <c r="Q316" s="5">
        <v>32</v>
      </c>
      <c r="R316" s="5">
        <v>43</v>
      </c>
      <c r="S316" s="5">
        <v>24</v>
      </c>
      <c r="T316" s="5">
        <v>23</v>
      </c>
    </row>
    <row r="317" spans="1:23" x14ac:dyDescent="0.3">
      <c r="B317" s="10" t="s">
        <v>597</v>
      </c>
      <c r="C317" s="5">
        <v>27</v>
      </c>
      <c r="D317" s="5">
        <v>2018</v>
      </c>
      <c r="E317" s="5" t="s">
        <v>589</v>
      </c>
      <c r="F317" s="5">
        <v>1</v>
      </c>
      <c r="G317" s="5">
        <v>1</v>
      </c>
      <c r="H317" s="5">
        <v>0.5</v>
      </c>
      <c r="I317" s="5">
        <v>4.08</v>
      </c>
      <c r="J317" s="5">
        <v>5.09</v>
      </c>
      <c r="K317" s="5">
        <v>8</v>
      </c>
      <c r="L317" s="5">
        <v>0</v>
      </c>
      <c r="M317" s="5">
        <v>3</v>
      </c>
      <c r="N317" s="5">
        <v>0</v>
      </c>
      <c r="O317" s="5">
        <v>0</v>
      </c>
      <c r="P317" s="5">
        <v>0</v>
      </c>
      <c r="Q317" s="5">
        <v>17.2</v>
      </c>
      <c r="R317" s="5">
        <v>16</v>
      </c>
      <c r="S317" s="5">
        <v>10</v>
      </c>
      <c r="T317" s="5">
        <v>8</v>
      </c>
    </row>
    <row r="318" spans="1:23" x14ac:dyDescent="0.3">
      <c r="B318" s="10" t="s">
        <v>597</v>
      </c>
      <c r="C318" s="5">
        <v>27</v>
      </c>
      <c r="D318" s="5">
        <v>2018</v>
      </c>
      <c r="E318" s="5" t="s">
        <v>582</v>
      </c>
      <c r="F318" s="5">
        <v>0</v>
      </c>
      <c r="G318" s="5">
        <v>3</v>
      </c>
      <c r="H318" s="5">
        <v>0</v>
      </c>
      <c r="I318" s="5">
        <v>8.1</v>
      </c>
      <c r="J318" s="5">
        <v>8.7799999999999994</v>
      </c>
      <c r="K318" s="5">
        <v>5</v>
      </c>
      <c r="L318" s="5">
        <v>5</v>
      </c>
      <c r="M318" s="5">
        <v>0</v>
      </c>
      <c r="N318" s="5">
        <v>0</v>
      </c>
      <c r="O318" s="5">
        <v>0</v>
      </c>
      <c r="P318" s="5">
        <v>0</v>
      </c>
      <c r="Q318" s="5">
        <v>13.1</v>
      </c>
      <c r="R318" s="5">
        <v>21</v>
      </c>
      <c r="S318" s="5">
        <v>13</v>
      </c>
      <c r="T318" s="5">
        <v>12</v>
      </c>
    </row>
    <row r="320" spans="1:23" x14ac:dyDescent="0.3">
      <c r="B320" s="10" t="s">
        <v>146</v>
      </c>
      <c r="C320" s="10" t="s">
        <v>176</v>
      </c>
      <c r="D320" s="10" t="s">
        <v>173</v>
      </c>
      <c r="E320" s="10" t="s">
        <v>171</v>
      </c>
      <c r="F320" s="10" t="s">
        <v>531</v>
      </c>
      <c r="G320" s="10" t="s">
        <v>532</v>
      </c>
      <c r="H320" s="10" t="s">
        <v>533</v>
      </c>
      <c r="I320" s="10" t="s">
        <v>534</v>
      </c>
      <c r="J320" s="10" t="s">
        <v>535</v>
      </c>
      <c r="K320" s="10" t="s">
        <v>148</v>
      </c>
      <c r="L320" s="10" t="s">
        <v>536</v>
      </c>
      <c r="M320" s="10" t="s">
        <v>537</v>
      </c>
      <c r="N320" s="10" t="s">
        <v>538</v>
      </c>
      <c r="O320" s="10" t="s">
        <v>539</v>
      </c>
      <c r="P320" s="10" t="s">
        <v>540</v>
      </c>
      <c r="Q320" s="10" t="s">
        <v>541</v>
      </c>
      <c r="R320" s="10" t="s">
        <v>152</v>
      </c>
      <c r="S320" s="10" t="s">
        <v>151</v>
      </c>
      <c r="T320" s="10" t="s">
        <v>542</v>
      </c>
      <c r="U320" s="10" t="s">
        <v>550</v>
      </c>
      <c r="V320" s="10" t="s">
        <v>559</v>
      </c>
      <c r="W320" s="10" t="s">
        <v>549</v>
      </c>
    </row>
    <row r="321" spans="1:23" x14ac:dyDescent="0.3">
      <c r="A321" s="10" t="s">
        <v>523</v>
      </c>
      <c r="B321" s="10" t="s">
        <v>597</v>
      </c>
      <c r="C321" s="10">
        <v>25</v>
      </c>
      <c r="D321" s="10">
        <v>2016</v>
      </c>
      <c r="E321" s="5" t="s">
        <v>581</v>
      </c>
      <c r="F321" s="5">
        <f>F312</f>
        <v>2</v>
      </c>
      <c r="G321" s="10">
        <f t="shared" ref="G321:R321" si="346">G312</f>
        <v>5</v>
      </c>
      <c r="H321" s="10">
        <f t="shared" si="346"/>
        <v>0.28599999999999998</v>
      </c>
      <c r="I321" s="3">
        <f t="shared" ref="I321" si="347">T321*9/Q321</f>
        <v>3.972948113207547</v>
      </c>
      <c r="J321" s="3">
        <f t="shared" ref="J321" si="348">S321*9/Q321</f>
        <v>4.4403537735849063</v>
      </c>
      <c r="K321" s="10">
        <f t="shared" si="346"/>
        <v>17</v>
      </c>
      <c r="L321" s="10">
        <f t="shared" si="346"/>
        <v>9</v>
      </c>
      <c r="M321" s="10">
        <f t="shared" si="346"/>
        <v>0</v>
      </c>
      <c r="N321" s="10">
        <f t="shared" si="346"/>
        <v>0</v>
      </c>
      <c r="O321" s="10">
        <f t="shared" si="346"/>
        <v>0</v>
      </c>
      <c r="P321" s="10">
        <f t="shared" si="346"/>
        <v>0</v>
      </c>
      <c r="Q321" s="13">
        <f>Q312-(Q312-ROUNDDOWN(Q312,0))+(Q312-ROUNDDOWN(Q312,0))/0.3</f>
        <v>64</v>
      </c>
      <c r="R321" s="10">
        <f t="shared" si="346"/>
        <v>87</v>
      </c>
      <c r="S321" s="9">
        <f>S312*(C9/C4)*(1000/1325)</f>
        <v>31.575849056603776</v>
      </c>
      <c r="T321" s="9">
        <f>T312*(C9/C4)*(1000/1325)</f>
        <v>28.252075471698113</v>
      </c>
      <c r="U321" s="11">
        <f t="shared" ref="U321" si="349">IFERROR(VLOOKUP(D321,$F$2:$AG$5,MATCH($U$173,$F$2:$AG$2,0),0)/I321*100,"-")</f>
        <v>130.63347046357146</v>
      </c>
      <c r="V321" s="11">
        <f t="shared" ref="V321" si="350">VLOOKUP(D321,$F$2:$AG$5,26,0)/J321*100</f>
        <v>127.01690648055195</v>
      </c>
      <c r="W321" s="3">
        <f t="shared" ref="W321" si="351">(V321^2/(V321^2+100^2)-0.325)/9*Q321</f>
        <v>2.0789075244861515</v>
      </c>
    </row>
    <row r="322" spans="1:23" x14ac:dyDescent="0.3">
      <c r="A322" s="10" t="s">
        <v>523</v>
      </c>
      <c r="B322" s="10" t="s">
        <v>597</v>
      </c>
      <c r="C322" s="10">
        <v>25</v>
      </c>
      <c r="D322" s="10">
        <v>2016</v>
      </c>
      <c r="E322" s="10" t="s">
        <v>581</v>
      </c>
      <c r="F322" s="10">
        <f t="shared" ref="F322:R322" si="352">F313</f>
        <v>8</v>
      </c>
      <c r="G322" s="10">
        <f t="shared" si="352"/>
        <v>3</v>
      </c>
      <c r="H322" s="10">
        <f t="shared" si="352"/>
        <v>0.72699999999999998</v>
      </c>
      <c r="I322" s="3">
        <f t="shared" ref="I322:I327" si="353">T322*9/Q322</f>
        <v>3.4561303347243388</v>
      </c>
      <c r="J322" s="3">
        <f t="shared" ref="J322:J327" si="354">S322*9/Q322</f>
        <v>3.6917755848191809</v>
      </c>
      <c r="K322" s="10">
        <f t="shared" si="352"/>
        <v>15</v>
      </c>
      <c r="L322" s="10">
        <f t="shared" si="352"/>
        <v>15</v>
      </c>
      <c r="M322" s="10">
        <f t="shared" si="352"/>
        <v>0</v>
      </c>
      <c r="N322" s="10">
        <f t="shared" si="352"/>
        <v>1</v>
      </c>
      <c r="O322" s="10">
        <f t="shared" si="352"/>
        <v>1</v>
      </c>
      <c r="P322" s="10">
        <f t="shared" si="352"/>
        <v>0</v>
      </c>
      <c r="Q322" s="13">
        <f t="shared" ref="Q322:Q327" si="355">Q313-(Q313-ROUNDDOWN(Q313,0))+(Q313-ROUNDDOWN(Q313,0))/0.3</f>
        <v>89</v>
      </c>
      <c r="R322" s="10">
        <f t="shared" si="352"/>
        <v>93</v>
      </c>
      <c r="S322" s="9">
        <f>S313*(C9/C5)*(1000/1245)</f>
        <v>36.507558560989679</v>
      </c>
      <c r="T322" s="9">
        <f>T313*(C9/C5)*(1000/1245)</f>
        <v>34.177288865607352</v>
      </c>
      <c r="U322" s="11">
        <f t="shared" ref="U322:U327" si="356">IFERROR(VLOOKUP(D322,$F$2:$AG$5,MATCH($U$173,$F$2:$AG$2,0),0)/I322*100,"-")</f>
        <v>150.16794788828344</v>
      </c>
      <c r="V322" s="11">
        <f t="shared" ref="V322:V327" si="357">VLOOKUP(D322,$F$2:$AG$5,26,0)/J322*100</f>
        <v>152.77201634877383</v>
      </c>
      <c r="W322" s="3">
        <f t="shared" ref="W322:W327" si="358">(V322^2/(V322^2+100^2)-0.325)/9*Q322</f>
        <v>3.7088632911344677</v>
      </c>
    </row>
    <row r="323" spans="1:23" x14ac:dyDescent="0.3">
      <c r="A323" s="10" t="s">
        <v>523</v>
      </c>
      <c r="B323" s="10" t="s">
        <v>597</v>
      </c>
      <c r="C323" s="10">
        <v>26</v>
      </c>
      <c r="D323" s="10">
        <v>2017</v>
      </c>
      <c r="E323" s="10" t="s">
        <v>581</v>
      </c>
      <c r="F323" s="10">
        <f t="shared" ref="F323:R323" si="359">F314</f>
        <v>4</v>
      </c>
      <c r="G323" s="10">
        <f t="shared" si="359"/>
        <v>3</v>
      </c>
      <c r="H323" s="10">
        <f t="shared" si="359"/>
        <v>0.57099999999999995</v>
      </c>
      <c r="I323" s="3">
        <f t="shared" si="353"/>
        <v>2.9001951219512185</v>
      </c>
      <c r="J323" s="3">
        <f t="shared" si="354"/>
        <v>2.9001951219512185</v>
      </c>
      <c r="K323" s="10">
        <f t="shared" si="359"/>
        <v>13</v>
      </c>
      <c r="L323" s="10">
        <f t="shared" si="359"/>
        <v>11</v>
      </c>
      <c r="M323" s="10">
        <f t="shared" si="359"/>
        <v>2</v>
      </c>
      <c r="N323" s="10">
        <f t="shared" si="359"/>
        <v>0</v>
      </c>
      <c r="O323" s="10">
        <f t="shared" si="359"/>
        <v>0</v>
      </c>
      <c r="P323" s="10">
        <f t="shared" si="359"/>
        <v>0</v>
      </c>
      <c r="Q323" s="13">
        <f t="shared" si="355"/>
        <v>54.666666666666679</v>
      </c>
      <c r="R323" s="10">
        <f t="shared" si="359"/>
        <v>50</v>
      </c>
      <c r="S323" s="9">
        <f>S314*(C9/C4)</f>
        <v>17.616</v>
      </c>
      <c r="T323" s="9">
        <f>T314*(C9/C4)</f>
        <v>17.616</v>
      </c>
      <c r="U323" s="11">
        <f t="shared" si="356"/>
        <v>171.71258451912411</v>
      </c>
      <c r="V323" s="11">
        <f t="shared" si="357"/>
        <v>186.53917314226132</v>
      </c>
      <c r="W323" s="3">
        <f t="shared" si="358"/>
        <v>2.7440849533896379</v>
      </c>
    </row>
    <row r="324" spans="1:23" x14ac:dyDescent="0.3">
      <c r="A324" s="10" t="s">
        <v>523</v>
      </c>
      <c r="B324" s="10" t="s">
        <v>597</v>
      </c>
      <c r="C324" s="10">
        <v>26</v>
      </c>
      <c r="D324" s="10">
        <v>2017</v>
      </c>
      <c r="E324" s="10" t="s">
        <v>581</v>
      </c>
      <c r="F324" s="10">
        <f t="shared" ref="F324:R324" si="360">F315</f>
        <v>2</v>
      </c>
      <c r="G324" s="10">
        <f t="shared" si="360"/>
        <v>0</v>
      </c>
      <c r="H324" s="10">
        <f t="shared" si="360"/>
        <v>1</v>
      </c>
      <c r="I324" s="3">
        <f t="shared" si="353"/>
        <v>2.2068182197798518</v>
      </c>
      <c r="J324" s="3">
        <f t="shared" si="354"/>
        <v>2.4074380579416572</v>
      </c>
      <c r="K324" s="10">
        <f t="shared" si="360"/>
        <v>8</v>
      </c>
      <c r="L324" s="10">
        <f t="shared" si="360"/>
        <v>8</v>
      </c>
      <c r="M324" s="10">
        <f t="shared" si="360"/>
        <v>0</v>
      </c>
      <c r="N324" s="10">
        <f t="shared" si="360"/>
        <v>0</v>
      </c>
      <c r="O324" s="10">
        <f t="shared" si="360"/>
        <v>0</v>
      </c>
      <c r="P324" s="10">
        <f t="shared" si="360"/>
        <v>0</v>
      </c>
      <c r="Q324" s="13">
        <f t="shared" si="355"/>
        <v>45.666666666666679</v>
      </c>
      <c r="R324" s="10">
        <f t="shared" si="360"/>
        <v>49</v>
      </c>
      <c r="S324" s="9">
        <f>S315*(C9/C5)*(1000/950)</f>
        <v>12.215519034741003</v>
      </c>
      <c r="T324" s="9">
        <f>T315*(C9/C5)*(1000/950)</f>
        <v>11.197559115179251</v>
      </c>
      <c r="U324" s="11">
        <f t="shared" si="356"/>
        <v>225.66425976385113</v>
      </c>
      <c r="V324" s="11">
        <f t="shared" si="357"/>
        <v>224.72021583913616</v>
      </c>
      <c r="W324" s="3">
        <f t="shared" si="358"/>
        <v>2.5862986392034752</v>
      </c>
    </row>
    <row r="325" spans="1:23" x14ac:dyDescent="0.3">
      <c r="A325" s="10" t="s">
        <v>523</v>
      </c>
      <c r="B325" s="10" t="s">
        <v>597</v>
      </c>
      <c r="C325" s="10">
        <v>27</v>
      </c>
      <c r="D325" s="10">
        <v>2018</v>
      </c>
      <c r="E325" s="10" t="s">
        <v>581</v>
      </c>
      <c r="F325" s="10">
        <f t="shared" ref="F325:R325" si="361">F316</f>
        <v>1</v>
      </c>
      <c r="G325" s="10">
        <f t="shared" si="361"/>
        <v>2</v>
      </c>
      <c r="H325" s="10">
        <f t="shared" si="361"/>
        <v>0.33300000000000002</v>
      </c>
      <c r="I325" s="3">
        <f t="shared" si="353"/>
        <v>3.5189219700626913</v>
      </c>
      <c r="J325" s="3">
        <f t="shared" si="354"/>
        <v>3.6719185774567209</v>
      </c>
      <c r="K325" s="10">
        <f t="shared" si="361"/>
        <v>22</v>
      </c>
      <c r="L325" s="10">
        <f t="shared" si="361"/>
        <v>0</v>
      </c>
      <c r="M325" s="10">
        <f t="shared" si="361"/>
        <v>6</v>
      </c>
      <c r="N325" s="10">
        <f t="shared" si="361"/>
        <v>0</v>
      </c>
      <c r="O325" s="10">
        <f t="shared" si="361"/>
        <v>0</v>
      </c>
      <c r="P325" s="10">
        <f t="shared" si="361"/>
        <v>2</v>
      </c>
      <c r="Q325" s="13">
        <f t="shared" si="355"/>
        <v>32</v>
      </c>
      <c r="R325" s="10">
        <f t="shared" si="361"/>
        <v>43</v>
      </c>
      <c r="S325" s="9">
        <f>S316*(C9/C3)*(1000/1225)*(1000/995)</f>
        <v>13.055710497623897</v>
      </c>
      <c r="T325" s="9">
        <f>T316*(C9/C3)*(1000/1225)*(1000/995)</f>
        <v>12.511722560222902</v>
      </c>
      <c r="U325" s="11">
        <f t="shared" si="356"/>
        <v>160.27635872526952</v>
      </c>
      <c r="V325" s="11">
        <f t="shared" si="357"/>
        <v>154.4151886920981</v>
      </c>
      <c r="W325" s="3">
        <f t="shared" si="358"/>
        <v>1.3494296624808799</v>
      </c>
    </row>
    <row r="326" spans="1:23" x14ac:dyDescent="0.3">
      <c r="A326" s="10" t="s">
        <v>523</v>
      </c>
      <c r="B326" s="10" t="s">
        <v>597</v>
      </c>
      <c r="C326" s="10">
        <v>27</v>
      </c>
      <c r="D326" s="10">
        <v>2018</v>
      </c>
      <c r="E326" s="10" t="s">
        <v>581</v>
      </c>
      <c r="F326" s="10">
        <f t="shared" ref="F326:R326" si="362">F317</f>
        <v>1</v>
      </c>
      <c r="G326" s="10">
        <f t="shared" si="362"/>
        <v>1</v>
      </c>
      <c r="H326" s="10">
        <f t="shared" si="362"/>
        <v>0.5</v>
      </c>
      <c r="I326" s="3">
        <f t="shared" si="353"/>
        <v>2.7956974078645747</v>
      </c>
      <c r="J326" s="3">
        <f t="shared" si="354"/>
        <v>3.4946217598307179</v>
      </c>
      <c r="K326" s="10">
        <f t="shared" si="362"/>
        <v>8</v>
      </c>
      <c r="L326" s="10">
        <f t="shared" si="362"/>
        <v>0</v>
      </c>
      <c r="M326" s="10">
        <f t="shared" si="362"/>
        <v>3</v>
      </c>
      <c r="N326" s="10">
        <f t="shared" si="362"/>
        <v>0</v>
      </c>
      <c r="O326" s="10">
        <f t="shared" si="362"/>
        <v>0</v>
      </c>
      <c r="P326" s="10">
        <f t="shared" si="362"/>
        <v>0</v>
      </c>
      <c r="Q326" s="13">
        <f t="shared" si="355"/>
        <v>17.666666666666664</v>
      </c>
      <c r="R326" s="10">
        <f t="shared" si="362"/>
        <v>16</v>
      </c>
      <c r="S326" s="9">
        <f>S317*(C9/C4)*(1000/1070)</f>
        <v>6.8598130841121492</v>
      </c>
      <c r="T326" s="9">
        <f>T317*(C9/C4)*(1000/1070)</f>
        <v>5.4878504672897197</v>
      </c>
      <c r="U326" s="11">
        <f t="shared" si="356"/>
        <v>201.73857099606414</v>
      </c>
      <c r="V326" s="11">
        <f t="shared" si="357"/>
        <v>162.24931880108991</v>
      </c>
      <c r="W326" s="3">
        <f t="shared" si="358"/>
        <v>0.78460866323716538</v>
      </c>
    </row>
    <row r="327" spans="1:23" x14ac:dyDescent="0.3">
      <c r="A327" s="10" t="s">
        <v>523</v>
      </c>
      <c r="B327" s="10" t="s">
        <v>598</v>
      </c>
      <c r="C327" s="10">
        <v>27</v>
      </c>
      <c r="D327" s="10">
        <v>2018</v>
      </c>
      <c r="E327" s="10" t="s">
        <v>581</v>
      </c>
      <c r="F327" s="10">
        <f t="shared" ref="F327:R327" si="363">F318</f>
        <v>0</v>
      </c>
      <c r="G327" s="10">
        <f t="shared" si="363"/>
        <v>3</v>
      </c>
      <c r="H327" s="10">
        <f t="shared" si="363"/>
        <v>0</v>
      </c>
      <c r="I327" s="3">
        <f t="shared" si="353"/>
        <v>8.2023053204478202</v>
      </c>
      <c r="J327" s="3">
        <f t="shared" si="354"/>
        <v>8.8858307638184719</v>
      </c>
      <c r="K327" s="10">
        <f t="shared" si="363"/>
        <v>5</v>
      </c>
      <c r="L327" s="10">
        <f t="shared" si="363"/>
        <v>5</v>
      </c>
      <c r="M327" s="10">
        <f t="shared" si="363"/>
        <v>0</v>
      </c>
      <c r="N327" s="10">
        <f t="shared" si="363"/>
        <v>0</v>
      </c>
      <c r="O327" s="10">
        <f t="shared" si="363"/>
        <v>0</v>
      </c>
      <c r="P327" s="10">
        <f t="shared" si="363"/>
        <v>0</v>
      </c>
      <c r="Q327" s="13">
        <f t="shared" si="355"/>
        <v>13.333333333333332</v>
      </c>
      <c r="R327" s="10">
        <f t="shared" si="363"/>
        <v>21</v>
      </c>
      <c r="S327" s="9">
        <f>S318*(C9/C5)*(1000/955)</f>
        <v>13.164193724175513</v>
      </c>
      <c r="T327" s="9">
        <f>T318*(C9/C5)*(1000/955)</f>
        <v>12.151563437700474</v>
      </c>
      <c r="U327" s="11">
        <f t="shared" si="356"/>
        <v>68.761156524371785</v>
      </c>
      <c r="V327" s="11">
        <f t="shared" si="357"/>
        <v>63.809452944875289</v>
      </c>
      <c r="W327" s="3">
        <f t="shared" si="358"/>
        <v>-5.2813190058379846E-2</v>
      </c>
    </row>
    <row r="329" spans="1:23" x14ac:dyDescent="0.3">
      <c r="B329" s="10" t="s">
        <v>146</v>
      </c>
      <c r="C329" s="10" t="s">
        <v>176</v>
      </c>
      <c r="D329" s="10" t="s">
        <v>173</v>
      </c>
      <c r="E329" s="10" t="s">
        <v>171</v>
      </c>
      <c r="F329" s="10" t="s">
        <v>531</v>
      </c>
      <c r="G329" s="10" t="s">
        <v>532</v>
      </c>
      <c r="H329" s="10" t="s">
        <v>533</v>
      </c>
      <c r="I329" s="10" t="s">
        <v>534</v>
      </c>
      <c r="J329" s="10" t="s">
        <v>535</v>
      </c>
      <c r="K329" s="10" t="s">
        <v>148</v>
      </c>
      <c r="L329" s="10" t="s">
        <v>536</v>
      </c>
      <c r="M329" s="10" t="s">
        <v>537</v>
      </c>
      <c r="N329" s="10" t="s">
        <v>538</v>
      </c>
      <c r="O329" s="10" t="s">
        <v>539</v>
      </c>
      <c r="P329" s="10" t="s">
        <v>540</v>
      </c>
      <c r="Q329" s="10" t="s">
        <v>541</v>
      </c>
      <c r="R329" s="10" t="s">
        <v>152</v>
      </c>
      <c r="S329" s="10" t="s">
        <v>151</v>
      </c>
      <c r="T329" s="10" t="s">
        <v>542</v>
      </c>
    </row>
    <row r="330" spans="1:23" x14ac:dyDescent="0.3">
      <c r="B330" s="5" t="s">
        <v>600</v>
      </c>
      <c r="C330" s="5">
        <v>25</v>
      </c>
      <c r="D330" s="5">
        <v>2016</v>
      </c>
      <c r="E330" s="5" t="s">
        <v>601</v>
      </c>
      <c r="F330" s="5">
        <v>8</v>
      </c>
      <c r="G330" s="5">
        <v>6</v>
      </c>
      <c r="H330" s="5">
        <v>0.57099999999999995</v>
      </c>
      <c r="I330" s="5">
        <v>3.59</v>
      </c>
      <c r="J330" s="5">
        <v>3.59</v>
      </c>
      <c r="K330" s="5">
        <v>15</v>
      </c>
      <c r="L330" s="5">
        <v>14</v>
      </c>
      <c r="M330" s="5">
        <v>1</v>
      </c>
      <c r="N330" s="5">
        <v>1</v>
      </c>
      <c r="O330" s="5">
        <v>1</v>
      </c>
      <c r="P330" s="5">
        <v>0</v>
      </c>
      <c r="Q330" s="5">
        <v>85.1</v>
      </c>
      <c r="R330" s="5">
        <v>70</v>
      </c>
      <c r="S330" s="5">
        <v>34</v>
      </c>
      <c r="T330" s="5">
        <v>34</v>
      </c>
    </row>
    <row r="331" spans="1:23" x14ac:dyDescent="0.3">
      <c r="B331" s="10" t="s">
        <v>600</v>
      </c>
      <c r="C331" s="10">
        <v>25</v>
      </c>
      <c r="D331" s="5">
        <v>2016</v>
      </c>
      <c r="E331" s="5" t="s">
        <v>602</v>
      </c>
      <c r="F331" s="5">
        <v>5</v>
      </c>
      <c r="G331" s="5">
        <v>4</v>
      </c>
      <c r="H331" s="5">
        <v>0.55600000000000005</v>
      </c>
      <c r="I331" s="5">
        <v>2.2000000000000002</v>
      </c>
      <c r="J331" s="5">
        <v>2.2000000000000002</v>
      </c>
      <c r="K331" s="5">
        <v>12</v>
      </c>
      <c r="L331" s="5">
        <v>12</v>
      </c>
      <c r="M331" s="5">
        <v>0</v>
      </c>
      <c r="N331" s="5">
        <v>1</v>
      </c>
      <c r="O331" s="5">
        <v>1</v>
      </c>
      <c r="P331" s="5">
        <v>0</v>
      </c>
      <c r="Q331" s="5">
        <v>61.1</v>
      </c>
      <c r="R331" s="5">
        <v>49</v>
      </c>
      <c r="S331" s="5">
        <v>15</v>
      </c>
      <c r="T331" s="5">
        <v>15</v>
      </c>
    </row>
    <row r="332" spans="1:23" x14ac:dyDescent="0.3">
      <c r="B332" s="10" t="s">
        <v>600</v>
      </c>
      <c r="C332" s="5">
        <v>26</v>
      </c>
      <c r="D332" s="5">
        <v>2017</v>
      </c>
      <c r="E332" s="5" t="s">
        <v>603</v>
      </c>
      <c r="F332" s="5">
        <v>1</v>
      </c>
      <c r="G332" s="5">
        <v>0</v>
      </c>
      <c r="H332" s="5">
        <v>1</v>
      </c>
      <c r="I332" s="5">
        <v>3.63</v>
      </c>
      <c r="J332" s="5">
        <v>4.1500000000000004</v>
      </c>
      <c r="K332" s="5">
        <v>5</v>
      </c>
      <c r="L332" s="5">
        <v>4</v>
      </c>
      <c r="M332" s="5">
        <v>0</v>
      </c>
      <c r="N332" s="5">
        <v>0</v>
      </c>
      <c r="O332" s="5">
        <v>0</v>
      </c>
      <c r="P332" s="5">
        <v>0</v>
      </c>
      <c r="Q332" s="5">
        <v>17.100000000000001</v>
      </c>
      <c r="R332" s="5">
        <v>17</v>
      </c>
      <c r="S332" s="5">
        <v>8</v>
      </c>
      <c r="T332" s="5">
        <v>7</v>
      </c>
    </row>
    <row r="333" spans="1:23" x14ac:dyDescent="0.3">
      <c r="B333" s="10" t="s">
        <v>600</v>
      </c>
      <c r="C333" s="5">
        <v>26</v>
      </c>
      <c r="D333" s="5">
        <v>2017</v>
      </c>
      <c r="E333" s="10" t="s">
        <v>603</v>
      </c>
      <c r="F333" s="5">
        <v>1</v>
      </c>
      <c r="G333" s="5">
        <v>2</v>
      </c>
      <c r="H333" s="5">
        <v>0.33300000000000002</v>
      </c>
      <c r="I333" s="5">
        <v>2.66</v>
      </c>
      <c r="J333" s="5">
        <v>2.66</v>
      </c>
      <c r="K333" s="5">
        <v>7</v>
      </c>
      <c r="L333" s="5">
        <v>7</v>
      </c>
      <c r="M333" s="5">
        <v>0</v>
      </c>
      <c r="N333" s="5">
        <v>1</v>
      </c>
      <c r="O333" s="5">
        <v>0</v>
      </c>
      <c r="P333" s="5">
        <v>0</v>
      </c>
      <c r="Q333" s="5">
        <v>44</v>
      </c>
      <c r="R333" s="5">
        <v>35</v>
      </c>
      <c r="S333" s="5">
        <v>13</v>
      </c>
      <c r="T333" s="5">
        <v>13</v>
      </c>
    </row>
    <row r="334" spans="1:23" x14ac:dyDescent="0.3">
      <c r="B334" s="10" t="s">
        <v>600</v>
      </c>
      <c r="C334" s="5">
        <v>27</v>
      </c>
      <c r="D334" s="5">
        <v>2018</v>
      </c>
      <c r="E334" s="5" t="s">
        <v>604</v>
      </c>
      <c r="F334" s="5">
        <v>0</v>
      </c>
      <c r="G334" s="5">
        <v>0</v>
      </c>
      <c r="I334" s="5">
        <v>4.7</v>
      </c>
      <c r="J334" s="5">
        <v>4.7</v>
      </c>
      <c r="K334" s="5">
        <v>4</v>
      </c>
      <c r="L334" s="5">
        <v>0</v>
      </c>
      <c r="M334" s="5">
        <v>3</v>
      </c>
      <c r="N334" s="5">
        <v>0</v>
      </c>
      <c r="O334" s="5">
        <v>0</v>
      </c>
      <c r="P334" s="5">
        <v>0</v>
      </c>
      <c r="Q334" s="5">
        <v>7.2</v>
      </c>
      <c r="R334" s="5">
        <v>10</v>
      </c>
      <c r="S334" s="5">
        <v>4</v>
      </c>
      <c r="T334" s="5">
        <v>4</v>
      </c>
    </row>
    <row r="335" spans="1:23" x14ac:dyDescent="0.3">
      <c r="B335" s="10" t="s">
        <v>600</v>
      </c>
      <c r="C335" s="5">
        <v>27</v>
      </c>
      <c r="D335" s="5">
        <v>2018</v>
      </c>
      <c r="E335" s="5" t="s">
        <v>605</v>
      </c>
      <c r="F335" s="5">
        <v>6</v>
      </c>
      <c r="G335" s="5">
        <v>8</v>
      </c>
      <c r="H335" s="5">
        <v>0.42899999999999999</v>
      </c>
      <c r="I335" s="5">
        <v>3.8</v>
      </c>
      <c r="J335" s="5">
        <v>4.12</v>
      </c>
      <c r="K335" s="5">
        <v>22</v>
      </c>
      <c r="L335" s="5">
        <v>22</v>
      </c>
      <c r="M335" s="5">
        <v>0</v>
      </c>
      <c r="N335" s="5">
        <v>0</v>
      </c>
      <c r="O335" s="5">
        <v>0</v>
      </c>
      <c r="P335" s="5">
        <v>0</v>
      </c>
      <c r="Q335" s="5">
        <v>113.2</v>
      </c>
      <c r="R335" s="5">
        <v>124</v>
      </c>
      <c r="S335" s="5">
        <v>52</v>
      </c>
      <c r="T335" s="5">
        <v>48</v>
      </c>
    </row>
    <row r="336" spans="1:23" x14ac:dyDescent="0.3">
      <c r="B336" s="10"/>
    </row>
    <row r="337" spans="1:23" x14ac:dyDescent="0.3">
      <c r="B337" s="10" t="s">
        <v>146</v>
      </c>
      <c r="C337" s="10" t="s">
        <v>176</v>
      </c>
      <c r="D337" s="10" t="s">
        <v>173</v>
      </c>
      <c r="E337" s="10" t="s">
        <v>171</v>
      </c>
      <c r="F337" s="10" t="s">
        <v>531</v>
      </c>
      <c r="G337" s="10" t="s">
        <v>532</v>
      </c>
      <c r="H337" s="10" t="s">
        <v>533</v>
      </c>
      <c r="I337" s="10" t="s">
        <v>534</v>
      </c>
      <c r="J337" s="10" t="s">
        <v>535</v>
      </c>
      <c r="K337" s="10" t="s">
        <v>148</v>
      </c>
      <c r="L337" s="10" t="s">
        <v>536</v>
      </c>
      <c r="M337" s="10" t="s">
        <v>537</v>
      </c>
      <c r="N337" s="10" t="s">
        <v>538</v>
      </c>
      <c r="O337" s="10" t="s">
        <v>539</v>
      </c>
      <c r="P337" s="10" t="s">
        <v>540</v>
      </c>
      <c r="Q337" s="10" t="s">
        <v>541</v>
      </c>
      <c r="R337" s="10" t="s">
        <v>152</v>
      </c>
      <c r="S337" s="10" t="s">
        <v>151</v>
      </c>
      <c r="T337" s="10" t="s">
        <v>542</v>
      </c>
      <c r="U337" s="10" t="s">
        <v>550</v>
      </c>
      <c r="V337" s="10" t="s">
        <v>559</v>
      </c>
      <c r="W337" s="10" t="s">
        <v>549</v>
      </c>
    </row>
    <row r="338" spans="1:23" x14ac:dyDescent="0.3">
      <c r="A338" s="10" t="s">
        <v>523</v>
      </c>
      <c r="B338" s="10" t="s">
        <v>609</v>
      </c>
      <c r="C338" s="10">
        <v>25</v>
      </c>
      <c r="D338" s="10">
        <v>2016</v>
      </c>
      <c r="E338" s="5" t="s">
        <v>606</v>
      </c>
      <c r="F338" s="5">
        <f>F330</f>
        <v>8</v>
      </c>
      <c r="G338" s="10">
        <f t="shared" ref="G338:R343" si="364">G330</f>
        <v>6</v>
      </c>
      <c r="H338" s="10">
        <f t="shared" si="364"/>
        <v>0.57099999999999995</v>
      </c>
      <c r="I338" s="3">
        <f t="shared" ref="I338" si="365">T338*9/Q338</f>
        <v>3.5867682228854099</v>
      </c>
      <c r="J338" s="3">
        <f t="shared" ref="J338" si="366">S338*9/Q338</f>
        <v>3.5867682228854099</v>
      </c>
      <c r="K338" s="10">
        <f t="shared" si="364"/>
        <v>15</v>
      </c>
      <c r="L338" s="10">
        <f t="shared" si="364"/>
        <v>14</v>
      </c>
      <c r="M338" s="10">
        <f t="shared" si="364"/>
        <v>1</v>
      </c>
      <c r="N338" s="10">
        <f t="shared" si="364"/>
        <v>1</v>
      </c>
      <c r="O338" s="10">
        <f t="shared" si="364"/>
        <v>1</v>
      </c>
      <c r="P338" s="10">
        <f t="shared" si="364"/>
        <v>0</v>
      </c>
      <c r="Q338" s="13">
        <f>Q330-(Q330-ROUNDDOWN(Q330,0))+(Q330-ROUNDDOWN(Q330,0))/0.3</f>
        <v>85.333333333333314</v>
      </c>
      <c r="R338" s="10">
        <f t="shared" si="364"/>
        <v>70</v>
      </c>
      <c r="S338" s="9">
        <f>S330*(C9/C6)*(1000/915)</f>
        <v>34.00787648365425</v>
      </c>
      <c r="T338" s="9">
        <f>T330*(C9/C6)*(1000/915)</f>
        <v>34.00787648365425</v>
      </c>
      <c r="U338" s="11">
        <f t="shared" ref="U338" si="367">IFERROR(VLOOKUP(D338,$F$2:$AG$5,MATCH($U$173,$F$2:$AG$2,0),0)/I338*100,"-")</f>
        <v>144.69850510231339</v>
      </c>
      <c r="V338" s="11">
        <f t="shared" ref="V338" si="368">VLOOKUP(D338,$F$2:$AG$5,26,0)/J338*100</f>
        <v>157.24461826147348</v>
      </c>
      <c r="W338" s="3">
        <f t="shared" ref="W338" si="369">(V338^2/(V338^2+100^2)-0.325)/9*Q338</f>
        <v>3.6696201739300145</v>
      </c>
    </row>
    <row r="339" spans="1:23" x14ac:dyDescent="0.3">
      <c r="A339" s="10" t="s">
        <v>523</v>
      </c>
      <c r="B339" s="10" t="s">
        <v>600</v>
      </c>
      <c r="C339" s="10">
        <v>25</v>
      </c>
      <c r="D339" s="10">
        <v>2016</v>
      </c>
      <c r="E339" s="10" t="s">
        <v>606</v>
      </c>
      <c r="F339" s="10">
        <f t="shared" ref="F339:R343" si="370">F331</f>
        <v>5</v>
      </c>
      <c r="G339" s="10">
        <f t="shared" si="370"/>
        <v>4</v>
      </c>
      <c r="H339" s="10">
        <f t="shared" si="370"/>
        <v>0.55600000000000005</v>
      </c>
      <c r="I339" s="3">
        <f t="shared" ref="I339:I343" si="371">T339*9/Q339</f>
        <v>2.1970908852250424</v>
      </c>
      <c r="J339" s="3">
        <f t="shared" ref="J339:J343" si="372">S339*9/Q339</f>
        <v>2.1970908852250424</v>
      </c>
      <c r="K339" s="10">
        <f t="shared" si="370"/>
        <v>12</v>
      </c>
      <c r="L339" s="10">
        <f t="shared" si="370"/>
        <v>12</v>
      </c>
      <c r="M339" s="10">
        <f t="shared" si="370"/>
        <v>0</v>
      </c>
      <c r="N339" s="10">
        <f t="shared" si="370"/>
        <v>1</v>
      </c>
      <c r="O339" s="10">
        <f t="shared" si="370"/>
        <v>1</v>
      </c>
      <c r="P339" s="10">
        <f t="shared" si="370"/>
        <v>0</v>
      </c>
      <c r="Q339" s="13">
        <f t="shared" ref="Q339:Q343" si="373">Q331-(Q331-ROUNDDOWN(Q331,0))+(Q331-ROUNDDOWN(Q331,0))/0.3</f>
        <v>61.333333333333336</v>
      </c>
      <c r="R339" s="10">
        <f t="shared" si="370"/>
        <v>49</v>
      </c>
      <c r="S339" s="9">
        <f>S331*(C9/C12)*(1000/1055)</f>
        <v>14.972767514126216</v>
      </c>
      <c r="T339" s="9">
        <f>T331*(C9/C12)*(1000/1055)</f>
        <v>14.972767514126216</v>
      </c>
      <c r="U339" s="11">
        <f t="shared" ref="U339:U343" si="374">IFERROR(VLOOKUP(D339,$F$2:$AG$5,MATCH($U$173,$F$2:$AG$2,0),0)/I339*100,"-")</f>
        <v>236.22145241699468</v>
      </c>
      <c r="V339" s="11">
        <f t="shared" ref="V339:V343" si="375">VLOOKUP(D339,$F$2:$AG$5,26,0)/J339*100</f>
        <v>256.70308123927742</v>
      </c>
      <c r="W339" s="3">
        <f t="shared" ref="W339:W343" si="376">(V339^2/(V339^2+100^2)-0.325)/9*Q339</f>
        <v>3.7020906976807693</v>
      </c>
    </row>
    <row r="340" spans="1:23" x14ac:dyDescent="0.3">
      <c r="A340" s="10" t="s">
        <v>523</v>
      </c>
      <c r="B340" s="10" t="s">
        <v>600</v>
      </c>
      <c r="C340" s="10">
        <v>26</v>
      </c>
      <c r="D340" s="10">
        <v>2017</v>
      </c>
      <c r="E340" s="10" t="s">
        <v>606</v>
      </c>
      <c r="F340" s="10">
        <f t="shared" si="370"/>
        <v>1</v>
      </c>
      <c r="G340" s="10">
        <f t="shared" si="364"/>
        <v>0</v>
      </c>
      <c r="H340" s="10">
        <f t="shared" si="364"/>
        <v>1</v>
      </c>
      <c r="I340" s="3">
        <f t="shared" si="371"/>
        <v>3.3098940364358893</v>
      </c>
      <c r="J340" s="3">
        <f t="shared" si="372"/>
        <v>3.7827360416410163</v>
      </c>
      <c r="K340" s="10">
        <f t="shared" si="364"/>
        <v>5</v>
      </c>
      <c r="L340" s="10">
        <f t="shared" si="364"/>
        <v>4</v>
      </c>
      <c r="M340" s="10">
        <f t="shared" si="364"/>
        <v>0</v>
      </c>
      <c r="N340" s="10">
        <f t="shared" si="364"/>
        <v>0</v>
      </c>
      <c r="O340" s="10">
        <f t="shared" si="364"/>
        <v>0</v>
      </c>
      <c r="P340" s="10">
        <f t="shared" si="364"/>
        <v>0</v>
      </c>
      <c r="Q340" s="13">
        <f t="shared" si="373"/>
        <v>17.333333333333339</v>
      </c>
      <c r="R340" s="10">
        <f t="shared" si="364"/>
        <v>17</v>
      </c>
      <c r="S340" s="9">
        <f>S332*(C9/C6)*(1000/1005)</f>
        <v>7.2852694135308491</v>
      </c>
      <c r="T340" s="9">
        <f>T332*(C9/C6)*(1000/1005)</f>
        <v>6.3746107368394931</v>
      </c>
      <c r="U340" s="11">
        <f t="shared" si="374"/>
        <v>150.45798884131315</v>
      </c>
      <c r="V340" s="11">
        <f t="shared" si="375"/>
        <v>143.01817363003337</v>
      </c>
      <c r="W340" s="3">
        <f t="shared" si="376"/>
        <v>0.66759919711067106</v>
      </c>
    </row>
    <row r="341" spans="1:23" x14ac:dyDescent="0.3">
      <c r="A341" s="10" t="s">
        <v>523</v>
      </c>
      <c r="B341" s="10" t="s">
        <v>600</v>
      </c>
      <c r="C341" s="10">
        <v>26</v>
      </c>
      <c r="D341" s="10">
        <v>2017</v>
      </c>
      <c r="E341" s="10" t="s">
        <v>606</v>
      </c>
      <c r="F341" s="10">
        <f t="shared" si="370"/>
        <v>1</v>
      </c>
      <c r="G341" s="10">
        <f t="shared" si="364"/>
        <v>2</v>
      </c>
      <c r="H341" s="10">
        <f t="shared" si="364"/>
        <v>0.33300000000000002</v>
      </c>
      <c r="I341" s="3">
        <f t="shared" si="371"/>
        <v>2.5483055806461952</v>
      </c>
      <c r="J341" s="3">
        <f t="shared" si="372"/>
        <v>2.5483055806461952</v>
      </c>
      <c r="K341" s="10">
        <f t="shared" si="364"/>
        <v>7</v>
      </c>
      <c r="L341" s="10">
        <f t="shared" si="364"/>
        <v>7</v>
      </c>
      <c r="M341" s="10">
        <f t="shared" si="364"/>
        <v>0</v>
      </c>
      <c r="N341" s="10">
        <f t="shared" si="364"/>
        <v>1</v>
      </c>
      <c r="O341" s="10">
        <f t="shared" si="364"/>
        <v>0</v>
      </c>
      <c r="P341" s="10">
        <f t="shared" si="364"/>
        <v>0</v>
      </c>
      <c r="Q341" s="13">
        <f t="shared" si="373"/>
        <v>44</v>
      </c>
      <c r="R341" s="10">
        <f t="shared" si="364"/>
        <v>35</v>
      </c>
      <c r="S341" s="9">
        <f>S333*(C9/C6)*(1000/955)</f>
        <v>12.458382838714732</v>
      </c>
      <c r="T341" s="9">
        <f>T333*(C9/C6)*(1000/955)</f>
        <v>12.458382838714732</v>
      </c>
      <c r="U341" s="11">
        <f t="shared" si="374"/>
        <v>195.42397261231051</v>
      </c>
      <c r="V341" s="11">
        <f t="shared" si="375"/>
        <v>212.29793008686744</v>
      </c>
      <c r="W341" s="3">
        <f t="shared" si="376"/>
        <v>2.412247613639622</v>
      </c>
    </row>
    <row r="342" spans="1:23" x14ac:dyDescent="0.3">
      <c r="A342" s="10" t="s">
        <v>523</v>
      </c>
      <c r="B342" s="10" t="s">
        <v>600</v>
      </c>
      <c r="C342" s="10">
        <v>27</v>
      </c>
      <c r="D342" s="10">
        <v>2018</v>
      </c>
      <c r="E342" s="10" t="s">
        <v>606</v>
      </c>
      <c r="F342" s="10">
        <f t="shared" si="370"/>
        <v>0</v>
      </c>
      <c r="G342" s="10">
        <f t="shared" si="364"/>
        <v>0</v>
      </c>
      <c r="H342" s="10">
        <f t="shared" si="364"/>
        <v>0</v>
      </c>
      <c r="I342" s="3">
        <f t="shared" si="371"/>
        <v>2.9372336381280135</v>
      </c>
      <c r="J342" s="3">
        <f t="shared" si="372"/>
        <v>2.9372336381280135</v>
      </c>
      <c r="K342" s="10">
        <f t="shared" si="364"/>
        <v>4</v>
      </c>
      <c r="L342" s="10">
        <f t="shared" si="364"/>
        <v>0</v>
      </c>
      <c r="M342" s="10">
        <f t="shared" si="364"/>
        <v>3</v>
      </c>
      <c r="N342" s="10">
        <f t="shared" si="364"/>
        <v>0</v>
      </c>
      <c r="O342" s="10">
        <f t="shared" si="364"/>
        <v>0</v>
      </c>
      <c r="P342" s="10">
        <f t="shared" si="364"/>
        <v>0</v>
      </c>
      <c r="Q342" s="13">
        <f t="shared" si="373"/>
        <v>7.666666666666667</v>
      </c>
      <c r="R342" s="10">
        <f t="shared" si="364"/>
        <v>10</v>
      </c>
      <c r="S342" s="9">
        <f>S334*(C9/C3)*(1000/1060)</f>
        <v>2.5020879139609007</v>
      </c>
      <c r="T342" s="9">
        <f>T334*(C9/C3)*(1000/1060)</f>
        <v>2.5020879139609007</v>
      </c>
      <c r="U342" s="11">
        <f t="shared" si="374"/>
        <v>192.01741144414169</v>
      </c>
      <c r="V342" s="11">
        <f t="shared" si="375"/>
        <v>193.03878065395097</v>
      </c>
      <c r="W342" s="3">
        <f t="shared" si="376"/>
        <v>0.39476718486030166</v>
      </c>
    </row>
    <row r="343" spans="1:23" x14ac:dyDescent="0.3">
      <c r="A343" s="10" t="s">
        <v>523</v>
      </c>
      <c r="B343" s="10" t="s">
        <v>600</v>
      </c>
      <c r="C343" s="10">
        <v>27</v>
      </c>
      <c r="D343" s="10">
        <v>2018</v>
      </c>
      <c r="E343" s="10" t="s">
        <v>606</v>
      </c>
      <c r="F343" s="10">
        <f t="shared" si="370"/>
        <v>6</v>
      </c>
      <c r="G343" s="10">
        <f t="shared" si="364"/>
        <v>8</v>
      </c>
      <c r="H343" s="10">
        <f t="shared" si="364"/>
        <v>0.42899999999999999</v>
      </c>
      <c r="I343" s="3">
        <f t="shared" si="371"/>
        <v>3.4783422674984097</v>
      </c>
      <c r="J343" s="3">
        <f t="shared" si="372"/>
        <v>3.7682041231232768</v>
      </c>
      <c r="K343" s="10">
        <f t="shared" si="364"/>
        <v>22</v>
      </c>
      <c r="L343" s="10">
        <f t="shared" si="364"/>
        <v>22</v>
      </c>
      <c r="M343" s="10">
        <f t="shared" si="364"/>
        <v>0</v>
      </c>
      <c r="N343" s="10">
        <f t="shared" si="364"/>
        <v>0</v>
      </c>
      <c r="O343" s="10">
        <f t="shared" si="364"/>
        <v>0</v>
      </c>
      <c r="P343" s="10">
        <f t="shared" si="364"/>
        <v>0</v>
      </c>
      <c r="Q343" s="13">
        <f t="shared" si="373"/>
        <v>113.66666666666667</v>
      </c>
      <c r="R343" s="10">
        <f t="shared" si="364"/>
        <v>124</v>
      </c>
      <c r="S343" s="9">
        <f>S335*(C9/C6)</f>
        <v>47.591022443890274</v>
      </c>
      <c r="T343" s="9">
        <f>T335*(C9/C6)</f>
        <v>43.930174563591024</v>
      </c>
      <c r="U343" s="11">
        <f t="shared" si="374"/>
        <v>162.14620546977494</v>
      </c>
      <c r="V343" s="11">
        <f t="shared" si="375"/>
        <v>150.46955564871095</v>
      </c>
      <c r="W343" s="3">
        <f t="shared" si="376"/>
        <v>4.6557570544150693</v>
      </c>
    </row>
    <row r="345" spans="1:23" x14ac:dyDescent="0.3">
      <c r="B345" s="10" t="s">
        <v>146</v>
      </c>
      <c r="C345" s="10" t="s">
        <v>176</v>
      </c>
      <c r="D345" s="10" t="s">
        <v>173</v>
      </c>
      <c r="E345" s="10" t="s">
        <v>171</v>
      </c>
      <c r="F345" s="10" t="s">
        <v>531</v>
      </c>
      <c r="G345" s="10" t="s">
        <v>532</v>
      </c>
      <c r="H345" s="10" t="s">
        <v>533</v>
      </c>
      <c r="I345" s="10" t="s">
        <v>534</v>
      </c>
      <c r="J345" s="10" t="s">
        <v>535</v>
      </c>
      <c r="K345" s="10" t="s">
        <v>148</v>
      </c>
      <c r="L345" s="10" t="s">
        <v>536</v>
      </c>
      <c r="M345" s="10" t="s">
        <v>537</v>
      </c>
      <c r="N345" s="10" t="s">
        <v>538</v>
      </c>
      <c r="O345" s="10" t="s">
        <v>539</v>
      </c>
      <c r="P345" s="10" t="s">
        <v>540</v>
      </c>
      <c r="Q345" s="10" t="s">
        <v>541</v>
      </c>
      <c r="R345" s="10" t="s">
        <v>152</v>
      </c>
      <c r="S345" s="10" t="s">
        <v>151</v>
      </c>
      <c r="T345" s="10" t="s">
        <v>542</v>
      </c>
    </row>
    <row r="346" spans="1:23" x14ac:dyDescent="0.3">
      <c r="B346" s="5" t="s">
        <v>610</v>
      </c>
      <c r="C346" s="5">
        <v>27</v>
      </c>
      <c r="D346" s="5">
        <v>2016</v>
      </c>
      <c r="E346" s="5" t="s">
        <v>611</v>
      </c>
      <c r="F346" s="5">
        <v>7</v>
      </c>
      <c r="G346" s="5">
        <v>11</v>
      </c>
      <c r="H346" s="5">
        <v>0.38900000000000001</v>
      </c>
      <c r="I346" s="5">
        <v>5.0999999999999996</v>
      </c>
      <c r="J346" s="5">
        <v>5.31</v>
      </c>
      <c r="K346" s="5">
        <v>26</v>
      </c>
      <c r="L346" s="5">
        <v>26</v>
      </c>
      <c r="M346" s="5">
        <v>0</v>
      </c>
      <c r="N346" s="5">
        <v>1</v>
      </c>
      <c r="O346" s="5">
        <v>1</v>
      </c>
      <c r="P346" s="5">
        <v>0</v>
      </c>
      <c r="Q346" s="5">
        <v>134</v>
      </c>
      <c r="R346" s="5">
        <v>134</v>
      </c>
      <c r="S346" s="5">
        <v>79</v>
      </c>
      <c r="T346" s="5">
        <v>76</v>
      </c>
    </row>
    <row r="347" spans="1:23" x14ac:dyDescent="0.3">
      <c r="B347" s="10" t="s">
        <v>610</v>
      </c>
      <c r="C347" s="5">
        <v>27</v>
      </c>
      <c r="D347" s="5">
        <v>2016</v>
      </c>
      <c r="E347" s="5" t="s">
        <v>612</v>
      </c>
      <c r="F347" s="5">
        <v>0</v>
      </c>
      <c r="G347" s="5">
        <v>0</v>
      </c>
      <c r="I347" s="5">
        <v>0</v>
      </c>
      <c r="J347" s="5">
        <v>1.29</v>
      </c>
      <c r="K347" s="5">
        <v>1</v>
      </c>
      <c r="L347" s="5">
        <v>1</v>
      </c>
      <c r="M347" s="5">
        <v>0</v>
      </c>
      <c r="N347" s="5">
        <v>0</v>
      </c>
      <c r="O347" s="5">
        <v>0</v>
      </c>
      <c r="P347" s="5">
        <v>0</v>
      </c>
      <c r="Q347" s="5">
        <v>7</v>
      </c>
      <c r="R347" s="5">
        <v>2</v>
      </c>
      <c r="S347" s="5">
        <v>1</v>
      </c>
      <c r="T347" s="5">
        <v>0</v>
      </c>
    </row>
    <row r="348" spans="1:23" x14ac:dyDescent="0.3">
      <c r="B348" s="10" t="s">
        <v>610</v>
      </c>
      <c r="C348" s="5">
        <v>28</v>
      </c>
      <c r="D348" s="5">
        <v>2017</v>
      </c>
      <c r="E348" s="5" t="s">
        <v>613</v>
      </c>
      <c r="F348" s="5">
        <v>1</v>
      </c>
      <c r="G348" s="5">
        <v>1</v>
      </c>
      <c r="H348" s="5">
        <v>0.5</v>
      </c>
      <c r="I348" s="5">
        <v>2.63</v>
      </c>
      <c r="J348" s="5">
        <v>3.95</v>
      </c>
      <c r="K348" s="5">
        <v>6</v>
      </c>
      <c r="L348" s="5">
        <v>2</v>
      </c>
      <c r="M348" s="5">
        <v>2</v>
      </c>
      <c r="N348" s="5">
        <v>0</v>
      </c>
      <c r="O348" s="5">
        <v>0</v>
      </c>
      <c r="P348" s="5">
        <v>0</v>
      </c>
      <c r="Q348" s="5">
        <v>13.2</v>
      </c>
      <c r="R348" s="5">
        <v>10</v>
      </c>
      <c r="S348" s="5">
        <v>6</v>
      </c>
      <c r="T348" s="5">
        <v>4</v>
      </c>
    </row>
    <row r="349" spans="1:23" x14ac:dyDescent="0.3">
      <c r="B349" s="10" t="s">
        <v>610</v>
      </c>
      <c r="C349" s="5">
        <v>28</v>
      </c>
      <c r="D349" s="5">
        <v>2017</v>
      </c>
      <c r="E349" s="5" t="s">
        <v>614</v>
      </c>
      <c r="F349" s="5">
        <v>9</v>
      </c>
      <c r="G349" s="5">
        <v>9</v>
      </c>
      <c r="H349" s="5">
        <v>0.5</v>
      </c>
      <c r="I349" s="5">
        <v>2.79</v>
      </c>
      <c r="J349" s="5">
        <v>3.11</v>
      </c>
      <c r="K349" s="5">
        <v>28</v>
      </c>
      <c r="L349" s="5">
        <v>27</v>
      </c>
      <c r="M349" s="5">
        <v>0</v>
      </c>
      <c r="N349" s="5">
        <v>0</v>
      </c>
      <c r="O349" s="5">
        <v>0</v>
      </c>
      <c r="P349" s="5">
        <v>0</v>
      </c>
      <c r="Q349" s="5">
        <v>168</v>
      </c>
      <c r="R349" s="5">
        <v>125</v>
      </c>
      <c r="S349" s="5">
        <v>58</v>
      </c>
      <c r="T349" s="5">
        <v>52</v>
      </c>
    </row>
    <row r="350" spans="1:23" x14ac:dyDescent="0.3">
      <c r="B350" s="10" t="s">
        <v>610</v>
      </c>
      <c r="C350" s="5">
        <v>29</v>
      </c>
      <c r="D350" s="5">
        <v>2018</v>
      </c>
      <c r="E350" s="5" t="s">
        <v>615</v>
      </c>
      <c r="F350" s="5">
        <v>0</v>
      </c>
      <c r="G350" s="5">
        <v>0</v>
      </c>
      <c r="I350" s="5">
        <v>6.48</v>
      </c>
      <c r="J350" s="5">
        <v>6.48</v>
      </c>
      <c r="K350" s="5">
        <v>4</v>
      </c>
      <c r="L350" s="5">
        <v>0</v>
      </c>
      <c r="M350" s="5">
        <v>3</v>
      </c>
      <c r="N350" s="5">
        <v>0</v>
      </c>
      <c r="O350" s="5">
        <v>0</v>
      </c>
      <c r="P350" s="5">
        <v>0</v>
      </c>
      <c r="Q350" s="5">
        <v>8.1</v>
      </c>
      <c r="R350" s="5">
        <v>9</v>
      </c>
      <c r="S350" s="5">
        <v>6</v>
      </c>
      <c r="T350" s="5">
        <v>6</v>
      </c>
    </row>
    <row r="351" spans="1:23" x14ac:dyDescent="0.3">
      <c r="B351" s="10" t="s">
        <v>610</v>
      </c>
      <c r="C351" s="10">
        <v>29</v>
      </c>
      <c r="D351" s="10">
        <v>2018</v>
      </c>
      <c r="E351" s="5" t="s">
        <v>616</v>
      </c>
      <c r="F351" s="5">
        <v>0</v>
      </c>
      <c r="G351" s="5">
        <v>2</v>
      </c>
      <c r="H351" s="5">
        <v>0</v>
      </c>
      <c r="I351" s="5">
        <v>6.07</v>
      </c>
      <c r="J351" s="5">
        <v>6.67</v>
      </c>
      <c r="K351" s="5">
        <v>17</v>
      </c>
      <c r="L351" s="5">
        <v>4</v>
      </c>
      <c r="M351" s="5">
        <v>6</v>
      </c>
      <c r="N351" s="5">
        <v>0</v>
      </c>
      <c r="O351" s="5">
        <v>0</v>
      </c>
      <c r="P351" s="5">
        <v>0</v>
      </c>
      <c r="Q351" s="5">
        <v>29.2</v>
      </c>
      <c r="R351" s="5">
        <v>29</v>
      </c>
      <c r="S351" s="5">
        <v>22</v>
      </c>
      <c r="T351" s="5">
        <v>20</v>
      </c>
    </row>
    <row r="352" spans="1:23" x14ac:dyDescent="0.3">
      <c r="B352" s="10" t="s">
        <v>610</v>
      </c>
      <c r="C352" s="10">
        <v>29</v>
      </c>
      <c r="D352" s="10">
        <v>2018</v>
      </c>
      <c r="E352" s="5" t="s">
        <v>617</v>
      </c>
      <c r="F352" s="5">
        <v>4</v>
      </c>
      <c r="G352" s="5">
        <v>2</v>
      </c>
      <c r="H352" s="5">
        <v>0.66700000000000004</v>
      </c>
      <c r="I352" s="5">
        <v>3.22</v>
      </c>
      <c r="J352" s="5">
        <v>3.63</v>
      </c>
      <c r="K352" s="5">
        <v>8</v>
      </c>
      <c r="L352" s="5">
        <v>8</v>
      </c>
      <c r="M352" s="5">
        <v>0</v>
      </c>
      <c r="N352" s="5">
        <v>0</v>
      </c>
      <c r="O352" s="5">
        <v>0</v>
      </c>
      <c r="P352" s="5">
        <v>0</v>
      </c>
      <c r="Q352" s="5">
        <v>44.2</v>
      </c>
      <c r="R352" s="5">
        <v>33</v>
      </c>
      <c r="S352" s="5">
        <v>18</v>
      </c>
      <c r="T352" s="5">
        <v>16</v>
      </c>
    </row>
    <row r="353" spans="2:23" x14ac:dyDescent="0.3">
      <c r="B353" s="10" t="s">
        <v>610</v>
      </c>
      <c r="C353" s="10">
        <v>29</v>
      </c>
      <c r="D353" s="10">
        <v>2018</v>
      </c>
      <c r="E353" s="5" t="s">
        <v>618</v>
      </c>
      <c r="F353" s="5">
        <v>0</v>
      </c>
      <c r="G353" s="5">
        <v>0</v>
      </c>
      <c r="I353" s="5">
        <v>27</v>
      </c>
      <c r="J353" s="5">
        <v>27</v>
      </c>
      <c r="K353" s="5">
        <v>1</v>
      </c>
      <c r="L353" s="5">
        <v>0</v>
      </c>
      <c r="M353" s="5">
        <v>0</v>
      </c>
      <c r="N353" s="5">
        <v>0</v>
      </c>
      <c r="O353" s="5">
        <v>0</v>
      </c>
      <c r="P353" s="5">
        <v>0</v>
      </c>
      <c r="Q353" s="5">
        <v>1.2</v>
      </c>
      <c r="R353" s="5">
        <v>5</v>
      </c>
      <c r="S353" s="5">
        <v>5</v>
      </c>
      <c r="T353" s="5">
        <v>5</v>
      </c>
    </row>
    <row r="354" spans="2:23" x14ac:dyDescent="0.3">
      <c r="B354" s="10" t="s">
        <v>610</v>
      </c>
      <c r="C354" s="10">
        <v>29</v>
      </c>
      <c r="D354" s="10">
        <v>2018</v>
      </c>
      <c r="E354" s="5" t="s">
        <v>618</v>
      </c>
      <c r="F354" s="5">
        <v>1</v>
      </c>
      <c r="G354" s="5">
        <v>1</v>
      </c>
      <c r="H354" s="5">
        <v>0.5</v>
      </c>
      <c r="I354" s="5">
        <v>4.91</v>
      </c>
      <c r="J354" s="5">
        <v>4.91</v>
      </c>
      <c r="K354" s="5">
        <v>6</v>
      </c>
      <c r="L354" s="5">
        <v>3</v>
      </c>
      <c r="M354" s="5">
        <v>1</v>
      </c>
      <c r="N354" s="5">
        <v>0</v>
      </c>
      <c r="O354" s="5">
        <v>0</v>
      </c>
      <c r="P354" s="5">
        <v>0</v>
      </c>
      <c r="Q354" s="5">
        <v>11</v>
      </c>
      <c r="R354" s="5">
        <v>9</v>
      </c>
      <c r="S354" s="5">
        <v>6</v>
      </c>
      <c r="T354" s="5">
        <v>6</v>
      </c>
    </row>
    <row r="356" spans="2:23" x14ac:dyDescent="0.3">
      <c r="B356" s="10" t="s">
        <v>146</v>
      </c>
      <c r="C356" s="10" t="s">
        <v>176</v>
      </c>
      <c r="D356" s="10" t="s">
        <v>173</v>
      </c>
      <c r="E356" s="10" t="s">
        <v>171</v>
      </c>
      <c r="F356" s="10" t="s">
        <v>531</v>
      </c>
      <c r="G356" s="10" t="s">
        <v>532</v>
      </c>
      <c r="H356" s="10" t="s">
        <v>533</v>
      </c>
      <c r="I356" s="10" t="s">
        <v>534</v>
      </c>
      <c r="J356" s="10" t="s">
        <v>535</v>
      </c>
      <c r="K356" s="10" t="s">
        <v>148</v>
      </c>
      <c r="L356" s="10" t="s">
        <v>536</v>
      </c>
      <c r="M356" s="10" t="s">
        <v>537</v>
      </c>
      <c r="N356" s="10" t="s">
        <v>538</v>
      </c>
      <c r="O356" s="10" t="s">
        <v>539</v>
      </c>
      <c r="P356" s="10" t="s">
        <v>540</v>
      </c>
      <c r="Q356" s="10" t="s">
        <v>541</v>
      </c>
      <c r="R356" s="10" t="s">
        <v>152</v>
      </c>
      <c r="S356" s="10" t="s">
        <v>151</v>
      </c>
      <c r="T356" s="10" t="s">
        <v>542</v>
      </c>
      <c r="U356" s="10" t="s">
        <v>550</v>
      </c>
      <c r="V356" s="10" t="s">
        <v>559</v>
      </c>
      <c r="W356" s="10" t="s">
        <v>549</v>
      </c>
    </row>
    <row r="357" spans="2:23" x14ac:dyDescent="0.3">
      <c r="B357" s="10" t="s">
        <v>610</v>
      </c>
      <c r="C357" s="10">
        <v>27</v>
      </c>
      <c r="D357" s="10">
        <v>2016</v>
      </c>
      <c r="E357" s="10" t="s">
        <v>175</v>
      </c>
      <c r="F357" s="5">
        <f>F346</f>
        <v>7</v>
      </c>
      <c r="G357" s="10">
        <f t="shared" ref="G357:R357" si="377">G346</f>
        <v>11</v>
      </c>
      <c r="H357" s="10">
        <f t="shared" si="377"/>
        <v>0.38900000000000001</v>
      </c>
      <c r="I357" s="3">
        <f t="shared" ref="I357:I358" si="378">T357*9/Q357</f>
        <v>5.5777920206697464</v>
      </c>
      <c r="J357" s="3">
        <f t="shared" ref="J357:J358" si="379">S357*9/Q357</f>
        <v>5.7979680214856577</v>
      </c>
      <c r="K357" s="10">
        <f t="shared" si="377"/>
        <v>26</v>
      </c>
      <c r="L357" s="10">
        <f t="shared" si="377"/>
        <v>26</v>
      </c>
      <c r="M357" s="10">
        <f t="shared" si="377"/>
        <v>0</v>
      </c>
      <c r="N357" s="10">
        <f t="shared" si="377"/>
        <v>1</v>
      </c>
      <c r="O357" s="10">
        <f t="shared" si="377"/>
        <v>1</v>
      </c>
      <c r="P357" s="10">
        <f t="shared" si="377"/>
        <v>0</v>
      </c>
      <c r="Q357" s="13">
        <f>Q346-(Q346-ROUNDDOWN(Q346,0))+(Q346-ROUNDDOWN(Q346,0))/0.3</f>
        <v>134</v>
      </c>
      <c r="R357" s="10">
        <f t="shared" si="377"/>
        <v>134</v>
      </c>
      <c r="S357" s="9">
        <f>S346*(C9/C5)*(1000/885)</f>
        <v>86.325301653230909</v>
      </c>
      <c r="T357" s="9">
        <f>T346*(C9/C5)*(1000/885)</f>
        <v>83.0471256410829</v>
      </c>
      <c r="U357" s="11">
        <f t="shared" ref="U357:U362" si="380">IFERROR(VLOOKUP(D357,$F$2:$AG$5,MATCH($U$173,$F$2:$AG$2,0),0)/I357*100,"-")</f>
        <v>93.047571167359834</v>
      </c>
      <c r="V357" s="11">
        <f t="shared" ref="V357:V362" si="381">VLOOKUP(D357,$F$2:$AG$5,26,0)/J357*100</f>
        <v>97.275458903873343</v>
      </c>
      <c r="W357" s="3">
        <f t="shared" ref="W357:W362" si="382">(V357^2/(V357^2+100^2)-0.325)/9*Q357</f>
        <v>2.3999666093536964</v>
      </c>
    </row>
    <row r="358" spans="2:23" x14ac:dyDescent="0.3">
      <c r="B358" s="10" t="s">
        <v>610</v>
      </c>
      <c r="C358" s="10">
        <v>27</v>
      </c>
      <c r="D358" s="10">
        <v>2016</v>
      </c>
      <c r="E358" s="10" t="s">
        <v>175</v>
      </c>
      <c r="F358" s="10">
        <f t="shared" ref="F358:R358" si="383">F347</f>
        <v>0</v>
      </c>
      <c r="G358" s="10">
        <f t="shared" si="383"/>
        <v>0</v>
      </c>
      <c r="H358" s="10">
        <f t="shared" si="383"/>
        <v>0</v>
      </c>
      <c r="I358" s="3">
        <f t="shared" si="378"/>
        <v>0</v>
      </c>
      <c r="J358" s="3">
        <f t="shared" si="379"/>
        <v>1.4148639965731422</v>
      </c>
      <c r="K358" s="10">
        <f t="shared" si="383"/>
        <v>1</v>
      </c>
      <c r="L358" s="10">
        <f t="shared" si="383"/>
        <v>1</v>
      </c>
      <c r="M358" s="10">
        <f t="shared" si="383"/>
        <v>0</v>
      </c>
      <c r="N358" s="10">
        <f t="shared" si="383"/>
        <v>0</v>
      </c>
      <c r="O358" s="10">
        <f t="shared" si="383"/>
        <v>0</v>
      </c>
      <c r="P358" s="10">
        <f t="shared" si="383"/>
        <v>0</v>
      </c>
      <c r="Q358" s="13">
        <f t="shared" ref="Q358:Q365" si="384">Q347-(Q347-ROUNDDOWN(Q347,0))+(Q347-ROUNDDOWN(Q347,0))/0.3</f>
        <v>7</v>
      </c>
      <c r="R358" s="10">
        <f t="shared" si="383"/>
        <v>2</v>
      </c>
      <c r="S358" s="9">
        <f>S347*(C9/C10)</f>
        <v>1.1004497751124438</v>
      </c>
      <c r="T358" s="9">
        <f>T347*(C9/C10)</f>
        <v>0</v>
      </c>
      <c r="U358" s="11" t="str">
        <f t="shared" si="380"/>
        <v>-</v>
      </c>
      <c r="V358" s="11">
        <f t="shared" si="381"/>
        <v>398.62488646684824</v>
      </c>
      <c r="W358" s="3">
        <f t="shared" si="382"/>
        <v>0.47895088878460862</v>
      </c>
    </row>
    <row r="359" spans="2:23" x14ac:dyDescent="0.3">
      <c r="B359" s="10" t="s">
        <v>610</v>
      </c>
      <c r="C359" s="10">
        <v>28</v>
      </c>
      <c r="D359" s="10">
        <v>2017</v>
      </c>
      <c r="E359" s="10" t="s">
        <v>175</v>
      </c>
      <c r="F359" s="10">
        <f t="shared" ref="F359:R359" si="385">F348</f>
        <v>1</v>
      </c>
      <c r="G359" s="10">
        <f t="shared" si="385"/>
        <v>1</v>
      </c>
      <c r="H359" s="10">
        <f t="shared" si="385"/>
        <v>0.5</v>
      </c>
      <c r="I359" s="3">
        <f t="shared" ref="I359:I365" si="386">T359*9/Q359</f>
        <v>1.8680805938494169</v>
      </c>
      <c r="J359" s="3">
        <f t="shared" ref="J359:J365" si="387">S359*9/Q359</f>
        <v>2.8021208907741255</v>
      </c>
      <c r="K359" s="10">
        <f t="shared" si="385"/>
        <v>6</v>
      </c>
      <c r="L359" s="10">
        <f t="shared" si="385"/>
        <v>2</v>
      </c>
      <c r="M359" s="10">
        <f t="shared" si="385"/>
        <v>2</v>
      </c>
      <c r="N359" s="10">
        <f t="shared" si="385"/>
        <v>0</v>
      </c>
      <c r="O359" s="10">
        <f t="shared" si="385"/>
        <v>0</v>
      </c>
      <c r="P359" s="10">
        <f t="shared" si="385"/>
        <v>0</v>
      </c>
      <c r="Q359" s="13">
        <f t="shared" si="384"/>
        <v>13.666666666666664</v>
      </c>
      <c r="R359" s="10">
        <f t="shared" si="385"/>
        <v>10</v>
      </c>
      <c r="S359" s="9">
        <f>S348*(C9/C4)*(1000/1035)</f>
        <v>4.2550724637681157</v>
      </c>
      <c r="T359" s="9">
        <f>T348*(C9/C4)*(1000/1035)</f>
        <v>2.8367149758454104</v>
      </c>
      <c r="U359" s="11">
        <f t="shared" si="380"/>
        <v>266.58378746594008</v>
      </c>
      <c r="V359" s="11">
        <f t="shared" si="381"/>
        <v>193.06804420224037</v>
      </c>
      <c r="W359" s="3">
        <f t="shared" si="382"/>
        <v>0.70379220395585129</v>
      </c>
    </row>
    <row r="360" spans="2:23" x14ac:dyDescent="0.3">
      <c r="B360" s="10" t="s">
        <v>610</v>
      </c>
      <c r="C360" s="10">
        <v>28</v>
      </c>
      <c r="D360" s="10">
        <v>2017</v>
      </c>
      <c r="E360" s="10" t="s">
        <v>175</v>
      </c>
      <c r="F360" s="10">
        <f t="shared" ref="F360:R360" si="388">F349</f>
        <v>9</v>
      </c>
      <c r="G360" s="10">
        <f t="shared" si="388"/>
        <v>9</v>
      </c>
      <c r="H360" s="10">
        <f t="shared" si="388"/>
        <v>0.5</v>
      </c>
      <c r="I360" s="3">
        <f t="shared" si="386"/>
        <v>2.930061741537151</v>
      </c>
      <c r="J360" s="3">
        <f t="shared" si="387"/>
        <v>3.2681457886375918</v>
      </c>
      <c r="K360" s="10">
        <f t="shared" si="388"/>
        <v>28</v>
      </c>
      <c r="L360" s="10">
        <f t="shared" si="388"/>
        <v>27</v>
      </c>
      <c r="M360" s="10">
        <f t="shared" si="388"/>
        <v>0</v>
      </c>
      <c r="N360" s="10">
        <f t="shared" si="388"/>
        <v>0</v>
      </c>
      <c r="O360" s="10">
        <f t="shared" si="388"/>
        <v>0</v>
      </c>
      <c r="P360" s="10">
        <f t="shared" si="388"/>
        <v>0</v>
      </c>
      <c r="Q360" s="13">
        <f t="shared" si="384"/>
        <v>168</v>
      </c>
      <c r="R360" s="10">
        <f t="shared" si="388"/>
        <v>125</v>
      </c>
      <c r="S360" s="9">
        <f>S349*(C9/C11)*(1000/1040)</f>
        <v>61.005388054568378</v>
      </c>
      <c r="T360" s="9">
        <f>T349*(C9/C11)*(1000/1040)</f>
        <v>54.694485842026822</v>
      </c>
      <c r="U360" s="11">
        <f t="shared" si="380"/>
        <v>169.9622888283379</v>
      </c>
      <c r="V360" s="11">
        <f t="shared" si="381"/>
        <v>165.53729086410473</v>
      </c>
      <c r="W360" s="3">
        <f t="shared" si="382"/>
        <v>7.6092588941905248</v>
      </c>
    </row>
    <row r="361" spans="2:23" x14ac:dyDescent="0.3">
      <c r="B361" s="10" t="s">
        <v>610</v>
      </c>
      <c r="C361" s="10">
        <v>29</v>
      </c>
      <c r="D361" s="10">
        <v>2018</v>
      </c>
      <c r="E361" s="10" t="s">
        <v>175</v>
      </c>
      <c r="F361" s="10">
        <f t="shared" ref="F361:R361" si="389">F350</f>
        <v>0</v>
      </c>
      <c r="G361" s="10">
        <f t="shared" si="389"/>
        <v>0</v>
      </c>
      <c r="H361" s="10">
        <f t="shared" si="389"/>
        <v>0</v>
      </c>
      <c r="I361" s="3">
        <f t="shared" si="386"/>
        <v>4.3181762470891041</v>
      </c>
      <c r="J361" s="3">
        <f t="shared" si="387"/>
        <v>4.3181762470891041</v>
      </c>
      <c r="K361" s="10">
        <f t="shared" si="389"/>
        <v>4</v>
      </c>
      <c r="L361" s="10">
        <f t="shared" si="389"/>
        <v>0</v>
      </c>
      <c r="M361" s="10">
        <f t="shared" si="389"/>
        <v>3</v>
      </c>
      <c r="N361" s="10">
        <f t="shared" si="389"/>
        <v>0</v>
      </c>
      <c r="O361" s="10">
        <f t="shared" si="389"/>
        <v>0</v>
      </c>
      <c r="P361" s="10">
        <f t="shared" si="389"/>
        <v>0</v>
      </c>
      <c r="Q361" s="13">
        <f t="shared" si="384"/>
        <v>8.3333333333333321</v>
      </c>
      <c r="R361" s="10">
        <f t="shared" si="389"/>
        <v>9</v>
      </c>
      <c r="S361" s="9">
        <f>S350*(C9/C3)*(1000/995)</f>
        <v>3.998311339897318</v>
      </c>
      <c r="T361" s="9">
        <f>T350*(C9/C3)*(1000/995)</f>
        <v>3.998311339897318</v>
      </c>
      <c r="U361" s="11">
        <f t="shared" si="380"/>
        <v>130.61069482288826</v>
      </c>
      <c r="V361" s="11">
        <f t="shared" si="381"/>
        <v>131.3054325613079</v>
      </c>
      <c r="W361" s="3">
        <f t="shared" si="382"/>
        <v>0.28509986343866944</v>
      </c>
    </row>
    <row r="362" spans="2:23" x14ac:dyDescent="0.3">
      <c r="B362" s="10" t="s">
        <v>610</v>
      </c>
      <c r="C362" s="10">
        <v>29</v>
      </c>
      <c r="D362" s="10">
        <v>2018</v>
      </c>
      <c r="E362" s="10" t="s">
        <v>175</v>
      </c>
      <c r="F362" s="10">
        <f t="shared" ref="F362:R362" si="390">F351</f>
        <v>0</v>
      </c>
      <c r="G362" s="10">
        <f t="shared" si="390"/>
        <v>2</v>
      </c>
      <c r="H362" s="10">
        <f t="shared" si="390"/>
        <v>0</v>
      </c>
      <c r="I362" s="3">
        <f t="shared" si="386"/>
        <v>4.1474433046195394</v>
      </c>
      <c r="J362" s="3">
        <f t="shared" si="387"/>
        <v>4.5621876350814947</v>
      </c>
      <c r="K362" s="10">
        <f t="shared" si="390"/>
        <v>17</v>
      </c>
      <c r="L362" s="10">
        <f t="shared" si="390"/>
        <v>4</v>
      </c>
      <c r="M362" s="10">
        <f t="shared" si="390"/>
        <v>6</v>
      </c>
      <c r="N362" s="10">
        <f t="shared" si="390"/>
        <v>0</v>
      </c>
      <c r="O362" s="10">
        <f t="shared" si="390"/>
        <v>0</v>
      </c>
      <c r="P362" s="10">
        <f t="shared" si="390"/>
        <v>0</v>
      </c>
      <c r="Q362" s="13">
        <f t="shared" si="384"/>
        <v>29.666666666666664</v>
      </c>
      <c r="R362" s="10">
        <f t="shared" si="390"/>
        <v>29</v>
      </c>
      <c r="S362" s="9">
        <f>S351*(C9/C3)*(1000/970)</f>
        <v>15.038322204527887</v>
      </c>
      <c r="T362" s="9">
        <f>T351*(C9/C3)*(1000/970)</f>
        <v>13.67120200411626</v>
      </c>
      <c r="U362" s="11">
        <f t="shared" si="380"/>
        <v>135.98739237057222</v>
      </c>
      <c r="V362" s="11">
        <f t="shared" si="381"/>
        <v>124.28248142184788</v>
      </c>
      <c r="W362" s="3">
        <f t="shared" si="382"/>
        <v>0.92959845006144792</v>
      </c>
    </row>
    <row r="363" spans="2:23" x14ac:dyDescent="0.3">
      <c r="B363" s="10" t="s">
        <v>610</v>
      </c>
      <c r="C363" s="10">
        <v>29</v>
      </c>
      <c r="D363" s="10">
        <v>2018</v>
      </c>
      <c r="E363" s="10" t="s">
        <v>175</v>
      </c>
      <c r="F363" s="10">
        <f t="shared" ref="F363:R363" si="391">F352</f>
        <v>4</v>
      </c>
      <c r="G363" s="10">
        <f t="shared" si="391"/>
        <v>2</v>
      </c>
      <c r="H363" s="10">
        <f t="shared" si="391"/>
        <v>0.66700000000000004</v>
      </c>
      <c r="I363" s="3">
        <f t="shared" si="386"/>
        <v>2.9954661040406019</v>
      </c>
      <c r="J363" s="3">
        <f t="shared" si="387"/>
        <v>3.3698993670456772</v>
      </c>
      <c r="K363" s="10">
        <f t="shared" si="391"/>
        <v>8</v>
      </c>
      <c r="L363" s="10">
        <f t="shared" si="391"/>
        <v>8</v>
      </c>
      <c r="M363" s="10">
        <f t="shared" si="391"/>
        <v>0</v>
      </c>
      <c r="N363" s="10">
        <f t="shared" si="391"/>
        <v>0</v>
      </c>
      <c r="O363" s="10">
        <f t="shared" si="391"/>
        <v>0</v>
      </c>
      <c r="P363" s="10">
        <f t="shared" si="391"/>
        <v>0</v>
      </c>
      <c r="Q363" s="13">
        <f t="shared" si="384"/>
        <v>44.666666666666679</v>
      </c>
      <c r="R363" s="10">
        <f t="shared" si="391"/>
        <v>33</v>
      </c>
      <c r="S363" s="9">
        <f>S352*(C9/C6)*(1000/985)</f>
        <v>16.724685747560031</v>
      </c>
      <c r="T363" s="9">
        <f>T352*(C9/C6)*(1000/985)</f>
        <v>14.866387331164473</v>
      </c>
      <c r="U363" s="11">
        <f t="shared" ref="U363:U365" si="392">IFERROR(VLOOKUP(D363,$F$2:$AG$5,MATCH($U$173,$F$2:$AG$2,0),0)/I363*100,"-")</f>
        <v>188.28455419315779</v>
      </c>
      <c r="V363" s="11">
        <f t="shared" ref="V363:V365" si="393">VLOOKUP(D363,$F$2:$AG$5,26,0)/J363*100</f>
        <v>168.25428247048143</v>
      </c>
      <c r="W363" s="3">
        <f t="shared" ref="W363:W365" si="394">(V363^2/(V363^2+100^2)-0.325)/9*Q363</f>
        <v>2.0545086726485464</v>
      </c>
    </row>
    <row r="364" spans="2:23" x14ac:dyDescent="0.3">
      <c r="B364" s="10" t="s">
        <v>610</v>
      </c>
      <c r="C364" s="10">
        <v>29</v>
      </c>
      <c r="D364" s="10">
        <v>2018</v>
      </c>
      <c r="E364" s="10" t="s">
        <v>175</v>
      </c>
      <c r="F364" s="10">
        <f t="shared" ref="F364:R364" si="395">F353</f>
        <v>0</v>
      </c>
      <c r="G364" s="10">
        <f t="shared" si="395"/>
        <v>0</v>
      </c>
      <c r="H364" s="10">
        <f t="shared" si="395"/>
        <v>0</v>
      </c>
      <c r="I364" s="3">
        <f t="shared" si="386"/>
        <v>30.012266593975738</v>
      </c>
      <c r="J364" s="3">
        <f t="shared" si="387"/>
        <v>30.012266593975738</v>
      </c>
      <c r="K364" s="10">
        <f t="shared" si="395"/>
        <v>1</v>
      </c>
      <c r="L364" s="10">
        <f t="shared" si="395"/>
        <v>0</v>
      </c>
      <c r="M364" s="10">
        <f t="shared" si="395"/>
        <v>0</v>
      </c>
      <c r="N364" s="10">
        <f t="shared" si="395"/>
        <v>0</v>
      </c>
      <c r="O364" s="10">
        <f t="shared" si="395"/>
        <v>0</v>
      </c>
      <c r="P364" s="10">
        <f t="shared" si="395"/>
        <v>0</v>
      </c>
      <c r="Q364" s="13">
        <f t="shared" si="384"/>
        <v>1.6666666666666665</v>
      </c>
      <c r="R364" s="10">
        <f t="shared" si="395"/>
        <v>5</v>
      </c>
      <c r="S364" s="9">
        <f>S353*(C9/C5)*(1000/870)</f>
        <v>5.557827147032544</v>
      </c>
      <c r="T364" s="9">
        <f>T353*(C9/C5)*(1000/870)</f>
        <v>5.557827147032544</v>
      </c>
      <c r="U364" s="11">
        <f t="shared" si="392"/>
        <v>18.792316076294277</v>
      </c>
      <c r="V364" s="11">
        <f t="shared" si="393"/>
        <v>18.892275204359674</v>
      </c>
      <c r="W364" s="3">
        <f t="shared" si="394"/>
        <v>-5.380336994992245E-2</v>
      </c>
    </row>
    <row r="365" spans="2:23" x14ac:dyDescent="0.3">
      <c r="B365" s="10" t="s">
        <v>610</v>
      </c>
      <c r="C365" s="10">
        <v>29</v>
      </c>
      <c r="D365" s="10">
        <v>2018</v>
      </c>
      <c r="E365" s="10" t="s">
        <v>175</v>
      </c>
      <c r="F365" s="10">
        <f t="shared" ref="F365:R365" si="396">F354</f>
        <v>1</v>
      </c>
      <c r="G365" s="10">
        <f t="shared" si="396"/>
        <v>1</v>
      </c>
      <c r="H365" s="10">
        <f t="shared" si="396"/>
        <v>0.5</v>
      </c>
      <c r="I365" s="3">
        <f t="shared" si="386"/>
        <v>4.4576477911666919</v>
      </c>
      <c r="J365" s="3">
        <f t="shared" si="387"/>
        <v>4.4576477911666919</v>
      </c>
      <c r="K365" s="10">
        <f t="shared" si="396"/>
        <v>6</v>
      </c>
      <c r="L365" s="10">
        <f t="shared" si="396"/>
        <v>3</v>
      </c>
      <c r="M365" s="10">
        <f t="shared" si="396"/>
        <v>1</v>
      </c>
      <c r="N365" s="10">
        <f t="shared" si="396"/>
        <v>0</v>
      </c>
      <c r="O365" s="10">
        <f t="shared" si="396"/>
        <v>0</v>
      </c>
      <c r="P365" s="10">
        <f t="shared" si="396"/>
        <v>0</v>
      </c>
      <c r="Q365" s="13">
        <f t="shared" si="384"/>
        <v>11</v>
      </c>
      <c r="R365" s="10">
        <f t="shared" si="396"/>
        <v>9</v>
      </c>
      <c r="S365" s="9">
        <f>S354*(C9/C5)*(1000/1065)</f>
        <v>5.4482361892037341</v>
      </c>
      <c r="T365" s="9">
        <f>T354*(C9/C5)*(1000/1065)</f>
        <v>5.4482361892037341</v>
      </c>
      <c r="U365" s="11">
        <f t="shared" si="392"/>
        <v>126.52412806539506</v>
      </c>
      <c r="V365" s="11">
        <f t="shared" si="393"/>
        <v>127.19712874659399</v>
      </c>
      <c r="W365" s="3">
        <f t="shared" si="394"/>
        <v>0.35813071273234476</v>
      </c>
    </row>
    <row r="367" spans="2:23" x14ac:dyDescent="0.3">
      <c r="B367" s="10" t="s">
        <v>146</v>
      </c>
      <c r="C367" s="10" t="s">
        <v>176</v>
      </c>
      <c r="D367" s="10" t="s">
        <v>173</v>
      </c>
      <c r="E367" s="10" t="s">
        <v>171</v>
      </c>
      <c r="F367" s="10" t="s">
        <v>531</v>
      </c>
      <c r="G367" s="10" t="s">
        <v>532</v>
      </c>
      <c r="H367" s="10" t="s">
        <v>533</v>
      </c>
      <c r="I367" s="10" t="s">
        <v>534</v>
      </c>
      <c r="J367" s="10" t="s">
        <v>535</v>
      </c>
      <c r="K367" s="10" t="s">
        <v>148</v>
      </c>
      <c r="L367" s="10" t="s">
        <v>536</v>
      </c>
      <c r="M367" s="10" t="s">
        <v>537</v>
      </c>
      <c r="N367" s="10" t="s">
        <v>538</v>
      </c>
      <c r="O367" s="10" t="s">
        <v>539</v>
      </c>
      <c r="P367" s="10" t="s">
        <v>540</v>
      </c>
      <c r="Q367" s="10" t="s">
        <v>541</v>
      </c>
      <c r="R367" s="10" t="s">
        <v>152</v>
      </c>
      <c r="S367" s="10" t="s">
        <v>151</v>
      </c>
      <c r="T367" s="10" t="s">
        <v>542</v>
      </c>
    </row>
    <row r="368" spans="2:23" x14ac:dyDescent="0.3">
      <c r="B368" s="5" t="s">
        <v>622</v>
      </c>
      <c r="C368" s="5">
        <v>26</v>
      </c>
      <c r="D368" s="10">
        <v>2016</v>
      </c>
      <c r="E368" s="5" t="s">
        <v>623</v>
      </c>
      <c r="F368" s="5">
        <v>4</v>
      </c>
      <c r="G368" s="5">
        <v>6</v>
      </c>
      <c r="H368" s="5">
        <v>0.4</v>
      </c>
      <c r="I368" s="5">
        <v>5.27</v>
      </c>
      <c r="J368" s="5">
        <v>5.46</v>
      </c>
      <c r="K368" s="5">
        <v>24</v>
      </c>
      <c r="L368" s="5">
        <v>13</v>
      </c>
      <c r="M368" s="5">
        <v>5</v>
      </c>
      <c r="N368" s="5">
        <v>0</v>
      </c>
      <c r="O368" s="5">
        <v>0</v>
      </c>
      <c r="P368" s="5">
        <v>0</v>
      </c>
      <c r="Q368" s="5">
        <v>94</v>
      </c>
      <c r="R368" s="5">
        <v>110</v>
      </c>
      <c r="S368" s="5">
        <v>57</v>
      </c>
      <c r="T368" s="5">
        <v>55</v>
      </c>
    </row>
    <row r="369" spans="2:23" x14ac:dyDescent="0.3">
      <c r="B369" s="10" t="s">
        <v>622</v>
      </c>
      <c r="C369" s="5">
        <v>26</v>
      </c>
      <c r="D369" s="10">
        <v>2016</v>
      </c>
      <c r="E369" s="5" t="s">
        <v>624</v>
      </c>
      <c r="F369" s="5">
        <v>2</v>
      </c>
      <c r="G369" s="5">
        <v>0</v>
      </c>
      <c r="H369" s="5">
        <v>1</v>
      </c>
      <c r="I369" s="5">
        <v>4.5599999999999996</v>
      </c>
      <c r="J369" s="5">
        <v>4.5599999999999996</v>
      </c>
      <c r="K369" s="5">
        <v>6</v>
      </c>
      <c r="L369" s="5">
        <v>6</v>
      </c>
      <c r="M369" s="5">
        <v>0</v>
      </c>
      <c r="N369" s="5">
        <v>0</v>
      </c>
      <c r="O369" s="5">
        <v>0</v>
      </c>
      <c r="P369" s="5">
        <v>0</v>
      </c>
      <c r="Q369" s="5">
        <v>23.2</v>
      </c>
      <c r="R369" s="5">
        <v>26</v>
      </c>
      <c r="S369" s="5">
        <v>12</v>
      </c>
      <c r="T369" s="5">
        <v>12</v>
      </c>
    </row>
    <row r="370" spans="2:23" x14ac:dyDescent="0.3">
      <c r="B370" s="10" t="s">
        <v>622</v>
      </c>
      <c r="C370" s="5">
        <v>27</v>
      </c>
      <c r="D370" s="10">
        <v>2017</v>
      </c>
      <c r="E370" s="10" t="s">
        <v>623</v>
      </c>
      <c r="F370" s="5">
        <v>2</v>
      </c>
      <c r="G370" s="5">
        <v>2</v>
      </c>
      <c r="H370" s="5">
        <v>0.5</v>
      </c>
      <c r="I370" s="5">
        <v>7.04</v>
      </c>
      <c r="J370" s="5">
        <v>8.2200000000000006</v>
      </c>
      <c r="K370" s="5">
        <v>9</v>
      </c>
      <c r="L370" s="5">
        <v>1</v>
      </c>
      <c r="M370" s="5">
        <v>3</v>
      </c>
      <c r="N370" s="5">
        <v>0</v>
      </c>
      <c r="O370" s="5">
        <v>0</v>
      </c>
      <c r="P370" s="5">
        <v>0</v>
      </c>
      <c r="Q370" s="5">
        <v>15.1</v>
      </c>
      <c r="R370" s="5">
        <v>22</v>
      </c>
      <c r="S370" s="5">
        <v>14</v>
      </c>
      <c r="T370" s="5">
        <v>12</v>
      </c>
    </row>
    <row r="371" spans="2:23" x14ac:dyDescent="0.3">
      <c r="B371" s="10" t="s">
        <v>622</v>
      </c>
      <c r="C371" s="5">
        <v>27</v>
      </c>
      <c r="D371" s="10">
        <v>2017</v>
      </c>
      <c r="E371" s="10" t="s">
        <v>624</v>
      </c>
      <c r="F371" s="5">
        <v>7</v>
      </c>
      <c r="G371" s="5">
        <v>8</v>
      </c>
      <c r="H371" s="5">
        <v>0.46700000000000003</v>
      </c>
      <c r="I371" s="5">
        <v>4.74</v>
      </c>
      <c r="J371" s="5">
        <v>5.05</v>
      </c>
      <c r="K371" s="5">
        <v>20</v>
      </c>
      <c r="L371" s="5">
        <v>20</v>
      </c>
      <c r="M371" s="5">
        <v>0</v>
      </c>
      <c r="N371" s="5">
        <v>0</v>
      </c>
      <c r="O371" s="5">
        <v>0</v>
      </c>
      <c r="P371" s="5">
        <v>0</v>
      </c>
      <c r="Q371" s="5">
        <v>114</v>
      </c>
      <c r="R371" s="5">
        <v>128</v>
      </c>
      <c r="S371" s="5">
        <v>64</v>
      </c>
      <c r="T371" s="5">
        <v>60</v>
      </c>
    </row>
    <row r="373" spans="2:23" x14ac:dyDescent="0.3">
      <c r="B373" s="10" t="s">
        <v>146</v>
      </c>
      <c r="C373" s="10" t="s">
        <v>176</v>
      </c>
      <c r="D373" s="10" t="s">
        <v>173</v>
      </c>
      <c r="E373" s="10" t="s">
        <v>171</v>
      </c>
      <c r="F373" s="10" t="s">
        <v>531</v>
      </c>
      <c r="G373" s="10" t="s">
        <v>532</v>
      </c>
      <c r="H373" s="10" t="s">
        <v>533</v>
      </c>
      <c r="I373" s="10" t="s">
        <v>534</v>
      </c>
      <c r="J373" s="10" t="s">
        <v>535</v>
      </c>
      <c r="K373" s="10" t="s">
        <v>148</v>
      </c>
      <c r="L373" s="10" t="s">
        <v>536</v>
      </c>
      <c r="M373" s="10" t="s">
        <v>537</v>
      </c>
      <c r="N373" s="10" t="s">
        <v>538</v>
      </c>
      <c r="O373" s="10" t="s">
        <v>539</v>
      </c>
      <c r="P373" s="10" t="s">
        <v>540</v>
      </c>
      <c r="Q373" s="10" t="s">
        <v>541</v>
      </c>
      <c r="R373" s="10" t="s">
        <v>152</v>
      </c>
      <c r="S373" s="10" t="s">
        <v>151</v>
      </c>
      <c r="T373" s="10" t="s">
        <v>542</v>
      </c>
      <c r="U373" s="10" t="s">
        <v>550</v>
      </c>
      <c r="V373" s="10" t="s">
        <v>559</v>
      </c>
      <c r="W373" s="10" t="s">
        <v>549</v>
      </c>
    </row>
    <row r="374" spans="2:23" x14ac:dyDescent="0.3">
      <c r="B374" s="10" t="s">
        <v>622</v>
      </c>
      <c r="C374" s="10">
        <v>26</v>
      </c>
      <c r="D374" s="10">
        <v>2016</v>
      </c>
      <c r="E374" s="5" t="s">
        <v>625</v>
      </c>
      <c r="F374" s="5">
        <f>F368</f>
        <v>4</v>
      </c>
      <c r="G374" s="10">
        <f t="shared" ref="G374:R374" si="397">G368</f>
        <v>6</v>
      </c>
      <c r="H374" s="10">
        <f t="shared" si="397"/>
        <v>0.4</v>
      </c>
      <c r="I374" s="3">
        <f t="shared" ref="I374" si="398">T374*9/Q374</f>
        <v>3.4231474980582091</v>
      </c>
      <c r="J374" s="3">
        <f t="shared" ref="J374" si="399">S374*9/Q374</f>
        <v>3.5476255888966897</v>
      </c>
      <c r="K374" s="10">
        <f t="shared" si="397"/>
        <v>24</v>
      </c>
      <c r="L374" s="10">
        <f t="shared" si="397"/>
        <v>13</v>
      </c>
      <c r="M374" s="10">
        <f t="shared" si="397"/>
        <v>5</v>
      </c>
      <c r="N374" s="10">
        <f t="shared" si="397"/>
        <v>0</v>
      </c>
      <c r="O374" s="10">
        <f t="shared" si="397"/>
        <v>0</v>
      </c>
      <c r="P374" s="10">
        <f t="shared" si="397"/>
        <v>0</v>
      </c>
      <c r="Q374" s="13">
        <f>Q368-(Q368-ROUNDDOWN(Q368,0))+(Q368-ROUNDDOWN(Q368,0))/0.3</f>
        <v>94</v>
      </c>
      <c r="R374" s="10">
        <f t="shared" si="397"/>
        <v>110</v>
      </c>
      <c r="S374" s="9">
        <f>S368*(C9/C3)*(1000/1020)</f>
        <v>37.052978372920983</v>
      </c>
      <c r="T374" s="9">
        <f>T368*(C9/C3)*(1000/1020)</f>
        <v>35.752873868607963</v>
      </c>
      <c r="U374" s="11">
        <f t="shared" ref="U374" si="400">IFERROR(VLOOKUP(D374,$F$2:$AG$5,MATCH($U$173,$F$2:$AG$2,0),0)/I374*100,"-")</f>
        <v>151.61485162249198</v>
      </c>
      <c r="V374" s="11">
        <f t="shared" ref="V374" si="401">VLOOKUP(D374,$F$2:$AG$5,26,0)/J374*100</f>
        <v>158.97957263731536</v>
      </c>
      <c r="W374" s="3">
        <f t="shared" ref="W374" si="402">(V374^2/(V374^2+100^2)-0.325)/9*Q374</f>
        <v>4.089095350092375</v>
      </c>
    </row>
    <row r="375" spans="2:23" x14ac:dyDescent="0.3">
      <c r="B375" s="10" t="s">
        <v>622</v>
      </c>
      <c r="C375" s="10">
        <v>26</v>
      </c>
      <c r="D375" s="10">
        <v>2016</v>
      </c>
      <c r="E375" s="10" t="s">
        <v>625</v>
      </c>
      <c r="F375" s="10">
        <f t="shared" ref="F375:R377" si="403">F369</f>
        <v>2</v>
      </c>
      <c r="G375" s="10">
        <f t="shared" si="403"/>
        <v>0</v>
      </c>
      <c r="H375" s="10">
        <f t="shared" si="403"/>
        <v>1</v>
      </c>
      <c r="I375" s="3">
        <f t="shared" ref="I375:I377" si="404">T375*9/Q375</f>
        <v>4.8282777546892364</v>
      </c>
      <c r="J375" s="3">
        <f t="shared" ref="J375:J377" si="405">S375*9/Q375</f>
        <v>4.8282777546892364</v>
      </c>
      <c r="K375" s="10">
        <f t="shared" si="403"/>
        <v>6</v>
      </c>
      <c r="L375" s="10">
        <f t="shared" si="403"/>
        <v>6</v>
      </c>
      <c r="M375" s="10">
        <f t="shared" si="403"/>
        <v>0</v>
      </c>
      <c r="N375" s="10">
        <f t="shared" si="403"/>
        <v>0</v>
      </c>
      <c r="O375" s="10">
        <f t="shared" si="403"/>
        <v>0</v>
      </c>
      <c r="P375" s="10">
        <f t="shared" si="403"/>
        <v>0</v>
      </c>
      <c r="Q375" s="13">
        <f t="shared" ref="Q375:Q377" si="406">Q369-(Q369-ROUNDDOWN(Q369,0))+(Q369-ROUNDDOWN(Q369,0))/0.3</f>
        <v>23.666666666666664</v>
      </c>
      <c r="R375" s="10">
        <f t="shared" si="403"/>
        <v>26</v>
      </c>
      <c r="S375" s="9">
        <f>S369*(C9/C6)*(1000/865)</f>
        <v>12.696582243812436</v>
      </c>
      <c r="T375" s="9">
        <f>T369*(C9/C6)*(1000/865)</f>
        <v>12.696582243812436</v>
      </c>
      <c r="U375" s="11">
        <f t="shared" ref="U375:U377" si="407">IFERROR(VLOOKUP(D375,$F$2:$AG$5,MATCH($U$173,$F$2:$AG$2,0),0)/I375*100,"-")</f>
        <v>107.49174475224544</v>
      </c>
      <c r="V375" s="11">
        <f t="shared" ref="V375:V377" si="408">VLOOKUP(D375,$F$2:$AG$5,26,0)/J375*100</f>
        <v>116.81183822787362</v>
      </c>
      <c r="W375" s="3">
        <f t="shared" ref="W375:W377" si="409">(V375^2/(V375^2+100^2)-0.325)/9*Q375</f>
        <v>0.66287100343472904</v>
      </c>
    </row>
    <row r="376" spans="2:23" x14ac:dyDescent="0.3">
      <c r="B376" s="10" t="s">
        <v>622</v>
      </c>
      <c r="C376" s="10">
        <v>27</v>
      </c>
      <c r="D376" s="10">
        <v>2017</v>
      </c>
      <c r="E376" s="10" t="s">
        <v>625</v>
      </c>
      <c r="F376" s="10">
        <f t="shared" si="403"/>
        <v>2</v>
      </c>
      <c r="G376" s="10">
        <f t="shared" si="403"/>
        <v>2</v>
      </c>
      <c r="H376" s="10">
        <f t="shared" si="403"/>
        <v>0.5</v>
      </c>
      <c r="I376" s="3">
        <f t="shared" si="404"/>
        <v>4.7413213041863367</v>
      </c>
      <c r="J376" s="3">
        <f t="shared" si="405"/>
        <v>5.5315415215507269</v>
      </c>
      <c r="K376" s="10">
        <f t="shared" si="403"/>
        <v>9</v>
      </c>
      <c r="L376" s="10">
        <f t="shared" si="403"/>
        <v>1</v>
      </c>
      <c r="M376" s="10">
        <f t="shared" si="403"/>
        <v>3</v>
      </c>
      <c r="N376" s="10">
        <f t="shared" si="403"/>
        <v>0</v>
      </c>
      <c r="O376" s="10">
        <f t="shared" si="403"/>
        <v>0</v>
      </c>
      <c r="P376" s="10">
        <f t="shared" si="403"/>
        <v>0</v>
      </c>
      <c r="Q376" s="13">
        <f t="shared" si="406"/>
        <v>15.333333333333332</v>
      </c>
      <c r="R376" s="10">
        <f t="shared" si="403"/>
        <v>22</v>
      </c>
      <c r="S376" s="9">
        <f>S370*(C9/C3)*(1000/985)</f>
        <v>9.4241077774567934</v>
      </c>
      <c r="T376" s="9">
        <f>T370*(C9/C3)*(1000/985)</f>
        <v>8.0778066663915364</v>
      </c>
      <c r="U376" s="11">
        <f t="shared" si="407"/>
        <v>105.0340122615804</v>
      </c>
      <c r="V376" s="11">
        <f t="shared" si="408"/>
        <v>97.802754963020618</v>
      </c>
      <c r="W376" s="3">
        <f t="shared" si="409"/>
        <v>0.27922529418106401</v>
      </c>
    </row>
    <row r="377" spans="2:23" x14ac:dyDescent="0.3">
      <c r="B377" s="10" t="s">
        <v>622</v>
      </c>
      <c r="C377" s="10">
        <v>27</v>
      </c>
      <c r="D377" s="10">
        <v>2017</v>
      </c>
      <c r="E377" s="10" t="s">
        <v>625</v>
      </c>
      <c r="F377" s="10">
        <f t="shared" si="403"/>
        <v>7</v>
      </c>
      <c r="G377" s="10">
        <f t="shared" si="403"/>
        <v>8</v>
      </c>
      <c r="H377" s="10">
        <f t="shared" si="403"/>
        <v>0.46700000000000003</v>
      </c>
      <c r="I377" s="3">
        <f t="shared" si="404"/>
        <v>4.9830052817140444</v>
      </c>
      <c r="J377" s="3">
        <f t="shared" si="405"/>
        <v>5.3152056338283131</v>
      </c>
      <c r="K377" s="10">
        <f t="shared" si="403"/>
        <v>20</v>
      </c>
      <c r="L377" s="10">
        <f t="shared" si="403"/>
        <v>20</v>
      </c>
      <c r="M377" s="10">
        <f t="shared" si="403"/>
        <v>0</v>
      </c>
      <c r="N377" s="10">
        <f t="shared" si="403"/>
        <v>0</v>
      </c>
      <c r="O377" s="10">
        <f t="shared" si="403"/>
        <v>0</v>
      </c>
      <c r="P377" s="10">
        <f t="shared" si="403"/>
        <v>0</v>
      </c>
      <c r="Q377" s="13">
        <f t="shared" si="406"/>
        <v>114</v>
      </c>
      <c r="R377" s="10">
        <f t="shared" si="403"/>
        <v>128</v>
      </c>
      <c r="S377" s="9">
        <f>S371*(C9/C6)*(1000/870)</f>
        <v>67.325938028491976</v>
      </c>
      <c r="T377" s="9">
        <f>T371*(C9/C6)*(1000/870)</f>
        <v>63.118066901711231</v>
      </c>
      <c r="U377" s="11">
        <f t="shared" si="407"/>
        <v>99.939689373297028</v>
      </c>
      <c r="V377" s="11">
        <f t="shared" si="408"/>
        <v>101.78345623297007</v>
      </c>
      <c r="W377" s="3">
        <f t="shared" si="409"/>
        <v>2.3286118253324766</v>
      </c>
    </row>
    <row r="379" spans="2:23" x14ac:dyDescent="0.3">
      <c r="B379" s="10" t="s">
        <v>146</v>
      </c>
      <c r="C379" s="10" t="s">
        <v>176</v>
      </c>
      <c r="D379" s="10" t="s">
        <v>173</v>
      </c>
      <c r="E379" s="10" t="s">
        <v>171</v>
      </c>
      <c r="F379" s="10" t="s">
        <v>531</v>
      </c>
      <c r="G379" s="10" t="s">
        <v>532</v>
      </c>
      <c r="H379" s="10" t="s">
        <v>533</v>
      </c>
      <c r="I379" s="10" t="s">
        <v>534</v>
      </c>
      <c r="J379" s="10" t="s">
        <v>535</v>
      </c>
      <c r="K379" s="10" t="s">
        <v>148</v>
      </c>
      <c r="L379" s="10" t="s">
        <v>536</v>
      </c>
      <c r="M379" s="10" t="s">
        <v>537</v>
      </c>
      <c r="N379" s="10" t="s">
        <v>538</v>
      </c>
      <c r="O379" s="10" t="s">
        <v>539</v>
      </c>
      <c r="P379" s="10" t="s">
        <v>540</v>
      </c>
      <c r="Q379" s="10" t="s">
        <v>541</v>
      </c>
      <c r="R379" s="10" t="s">
        <v>152</v>
      </c>
      <c r="S379" s="10" t="s">
        <v>151</v>
      </c>
      <c r="T379" s="10" t="s">
        <v>542</v>
      </c>
    </row>
    <row r="380" spans="2:23" x14ac:dyDescent="0.3">
      <c r="B380" s="5" t="s">
        <v>626</v>
      </c>
      <c r="C380" s="5">
        <v>26</v>
      </c>
      <c r="D380" s="10">
        <v>2016</v>
      </c>
      <c r="E380" s="5" t="s">
        <v>627</v>
      </c>
      <c r="F380" s="5">
        <v>0</v>
      </c>
      <c r="G380" s="5">
        <v>3</v>
      </c>
      <c r="H380" s="5">
        <v>0</v>
      </c>
      <c r="I380" s="5">
        <v>5.82</v>
      </c>
      <c r="J380" s="5">
        <v>5.82</v>
      </c>
      <c r="K380" s="5">
        <v>10</v>
      </c>
      <c r="L380" s="5">
        <v>1</v>
      </c>
      <c r="M380" s="5">
        <v>3</v>
      </c>
      <c r="N380" s="5">
        <v>0</v>
      </c>
      <c r="O380" s="5">
        <v>0</v>
      </c>
      <c r="P380" s="5">
        <v>0</v>
      </c>
      <c r="Q380" s="5">
        <v>21.2</v>
      </c>
      <c r="R380" s="5">
        <v>30</v>
      </c>
      <c r="S380" s="5">
        <v>14</v>
      </c>
      <c r="T380" s="5">
        <v>14</v>
      </c>
    </row>
    <row r="381" spans="2:23" x14ac:dyDescent="0.3">
      <c r="B381" s="10" t="s">
        <v>626</v>
      </c>
      <c r="C381" s="5">
        <v>26</v>
      </c>
      <c r="D381" s="10">
        <v>2016</v>
      </c>
      <c r="E381" s="5" t="s">
        <v>628</v>
      </c>
      <c r="F381" s="5">
        <v>3</v>
      </c>
      <c r="G381" s="5">
        <v>6</v>
      </c>
      <c r="H381" s="5">
        <v>0.33300000000000002</v>
      </c>
      <c r="I381" s="5">
        <v>3.53</v>
      </c>
      <c r="J381" s="5">
        <v>4.01</v>
      </c>
      <c r="K381" s="5">
        <v>15</v>
      </c>
      <c r="L381" s="5">
        <v>12</v>
      </c>
      <c r="M381" s="5">
        <v>0</v>
      </c>
      <c r="N381" s="5">
        <v>0</v>
      </c>
      <c r="O381" s="5">
        <v>0</v>
      </c>
      <c r="P381" s="5">
        <v>0</v>
      </c>
      <c r="Q381" s="5">
        <v>74</v>
      </c>
      <c r="R381" s="5">
        <v>64</v>
      </c>
      <c r="S381" s="5">
        <v>33</v>
      </c>
      <c r="T381" s="5">
        <v>29</v>
      </c>
    </row>
    <row r="382" spans="2:23" x14ac:dyDescent="0.3">
      <c r="B382" s="10" t="s">
        <v>626</v>
      </c>
      <c r="C382" s="5">
        <v>27</v>
      </c>
      <c r="D382" s="10">
        <v>2017</v>
      </c>
      <c r="E382" s="5" t="s">
        <v>629</v>
      </c>
      <c r="F382" s="5">
        <v>5</v>
      </c>
      <c r="G382" s="5">
        <v>2</v>
      </c>
      <c r="H382" s="5">
        <v>0.71399999999999997</v>
      </c>
      <c r="I382" s="5">
        <v>4.6500000000000004</v>
      </c>
      <c r="J382" s="5">
        <v>4.95</v>
      </c>
      <c r="K382" s="5">
        <v>12</v>
      </c>
      <c r="L382" s="5">
        <v>11</v>
      </c>
      <c r="M382" s="5">
        <v>1</v>
      </c>
      <c r="N382" s="5">
        <v>1</v>
      </c>
      <c r="O382" s="5">
        <v>1</v>
      </c>
      <c r="P382" s="5">
        <v>1</v>
      </c>
      <c r="Q382" s="5">
        <v>60</v>
      </c>
      <c r="R382" s="5">
        <v>72</v>
      </c>
      <c r="S382" s="5">
        <v>33</v>
      </c>
      <c r="T382" s="5">
        <v>31</v>
      </c>
    </row>
    <row r="383" spans="2:23" x14ac:dyDescent="0.3">
      <c r="B383" s="10" t="s">
        <v>626</v>
      </c>
      <c r="C383" s="10">
        <v>27</v>
      </c>
      <c r="D383" s="10">
        <v>2017</v>
      </c>
      <c r="E383" s="10" t="s">
        <v>629</v>
      </c>
      <c r="F383" s="5">
        <v>2</v>
      </c>
      <c r="G383" s="5">
        <v>3</v>
      </c>
      <c r="H383" s="5">
        <v>0.4</v>
      </c>
      <c r="I383" s="5">
        <v>4.17</v>
      </c>
      <c r="J383" s="5">
        <v>4.83</v>
      </c>
      <c r="K383" s="5">
        <v>7</v>
      </c>
      <c r="L383" s="5">
        <v>7</v>
      </c>
      <c r="M383" s="5">
        <v>0</v>
      </c>
      <c r="N383" s="5">
        <v>0</v>
      </c>
      <c r="O383" s="5">
        <v>0</v>
      </c>
      <c r="P383" s="5">
        <v>0</v>
      </c>
      <c r="Q383" s="5">
        <v>41</v>
      </c>
      <c r="R383" s="5">
        <v>43</v>
      </c>
      <c r="S383" s="5">
        <v>22</v>
      </c>
      <c r="T383" s="5">
        <v>19</v>
      </c>
    </row>
    <row r="384" spans="2:23" x14ac:dyDescent="0.3">
      <c r="B384" s="10" t="s">
        <v>626</v>
      </c>
      <c r="C384" s="5">
        <v>28</v>
      </c>
      <c r="D384" s="10">
        <v>2018</v>
      </c>
      <c r="E384" s="5" t="s">
        <v>630</v>
      </c>
      <c r="F384" s="5">
        <v>0</v>
      </c>
      <c r="G384" s="5">
        <v>3</v>
      </c>
      <c r="H384" s="5">
        <v>0</v>
      </c>
      <c r="I384" s="5">
        <v>3.04</v>
      </c>
      <c r="J384" s="5">
        <v>3.8</v>
      </c>
      <c r="K384" s="5">
        <v>7</v>
      </c>
      <c r="L384" s="5">
        <v>3</v>
      </c>
      <c r="M384" s="5">
        <v>4</v>
      </c>
      <c r="N384" s="5">
        <v>0</v>
      </c>
      <c r="O384" s="5">
        <v>0</v>
      </c>
      <c r="P384" s="5">
        <v>0</v>
      </c>
      <c r="Q384" s="5">
        <v>23.2</v>
      </c>
      <c r="R384" s="5">
        <v>28</v>
      </c>
      <c r="S384" s="5">
        <v>10</v>
      </c>
      <c r="T384" s="5">
        <v>8</v>
      </c>
    </row>
    <row r="385" spans="2:23" x14ac:dyDescent="0.3">
      <c r="B385" s="10" t="s">
        <v>631</v>
      </c>
      <c r="C385" s="10">
        <v>28</v>
      </c>
      <c r="D385" s="10">
        <v>2018</v>
      </c>
      <c r="E385" s="5" t="s">
        <v>618</v>
      </c>
      <c r="F385" s="5">
        <v>10</v>
      </c>
      <c r="G385" s="5">
        <v>9</v>
      </c>
      <c r="H385" s="5">
        <v>0.52600000000000002</v>
      </c>
      <c r="I385" s="5">
        <v>4.76</v>
      </c>
      <c r="J385" s="5">
        <v>5.29</v>
      </c>
      <c r="K385" s="5">
        <v>24</v>
      </c>
      <c r="L385" s="5">
        <v>24</v>
      </c>
      <c r="M385" s="5">
        <v>0</v>
      </c>
      <c r="N385" s="5">
        <v>0</v>
      </c>
      <c r="O385" s="5">
        <v>0</v>
      </c>
      <c r="P385" s="5">
        <v>0</v>
      </c>
      <c r="Q385" s="5">
        <v>136</v>
      </c>
      <c r="R385" s="5">
        <v>155</v>
      </c>
      <c r="S385" s="5">
        <v>80</v>
      </c>
      <c r="T385" s="5">
        <v>72</v>
      </c>
    </row>
    <row r="387" spans="2:23" x14ac:dyDescent="0.3">
      <c r="B387" s="10" t="s">
        <v>146</v>
      </c>
      <c r="C387" s="10" t="s">
        <v>176</v>
      </c>
      <c r="D387" s="10" t="s">
        <v>173</v>
      </c>
      <c r="E387" s="10" t="s">
        <v>171</v>
      </c>
      <c r="F387" s="10" t="s">
        <v>531</v>
      </c>
      <c r="G387" s="10" t="s">
        <v>532</v>
      </c>
      <c r="H387" s="10" t="s">
        <v>533</v>
      </c>
      <c r="I387" s="10" t="s">
        <v>534</v>
      </c>
      <c r="J387" s="10" t="s">
        <v>535</v>
      </c>
      <c r="K387" s="10" t="s">
        <v>148</v>
      </c>
      <c r="L387" s="10" t="s">
        <v>536</v>
      </c>
      <c r="M387" s="10" t="s">
        <v>537</v>
      </c>
      <c r="N387" s="10" t="s">
        <v>538</v>
      </c>
      <c r="O387" s="10" t="s">
        <v>539</v>
      </c>
      <c r="P387" s="10" t="s">
        <v>540</v>
      </c>
      <c r="Q387" s="10" t="s">
        <v>541</v>
      </c>
      <c r="R387" s="10" t="s">
        <v>152</v>
      </c>
      <c r="S387" s="10" t="s">
        <v>151</v>
      </c>
      <c r="T387" s="10" t="s">
        <v>542</v>
      </c>
      <c r="U387" s="10" t="s">
        <v>550</v>
      </c>
      <c r="V387" s="10" t="s">
        <v>559</v>
      </c>
      <c r="W387" s="10" t="s">
        <v>549</v>
      </c>
    </row>
    <row r="388" spans="2:23" x14ac:dyDescent="0.3">
      <c r="B388" s="5" t="str">
        <f>B380</f>
        <v>Casey Kelly</v>
      </c>
      <c r="C388" s="10">
        <f t="shared" ref="C388:R388" si="410">C380</f>
        <v>26</v>
      </c>
      <c r="D388" s="10">
        <f t="shared" ref="D388" si="411">D380</f>
        <v>2016</v>
      </c>
      <c r="E388" s="10" t="str">
        <f t="shared" si="410"/>
        <v>MLB (NL)</v>
      </c>
      <c r="F388" s="10">
        <f t="shared" si="410"/>
        <v>0</v>
      </c>
      <c r="G388" s="10">
        <f t="shared" si="410"/>
        <v>3</v>
      </c>
      <c r="H388" s="10">
        <f t="shared" si="410"/>
        <v>0</v>
      </c>
      <c r="I388" s="3">
        <f t="shared" ref="I388" si="412">T388*9/Q388</f>
        <v>4.3116083916083925</v>
      </c>
      <c r="J388" s="3">
        <f t="shared" ref="J388" si="413">S388*9/Q388</f>
        <v>4.3116083916083925</v>
      </c>
      <c r="K388" s="10">
        <f t="shared" si="410"/>
        <v>10</v>
      </c>
      <c r="L388" s="10">
        <f t="shared" si="410"/>
        <v>1</v>
      </c>
      <c r="M388" s="10">
        <f t="shared" si="410"/>
        <v>3</v>
      </c>
      <c r="N388" s="10">
        <f t="shared" si="410"/>
        <v>0</v>
      </c>
      <c r="O388" s="10">
        <f t="shared" si="410"/>
        <v>0</v>
      </c>
      <c r="P388" s="10">
        <f t="shared" si="410"/>
        <v>0</v>
      </c>
      <c r="Q388" s="13">
        <f t="shared" ref="Q388:Q391" si="414">Q380-(Q380-ROUNDDOWN(Q380,0))+(Q380-ROUNDDOWN(Q380,0))/0.3</f>
        <v>21.666666666666664</v>
      </c>
      <c r="R388" s="10">
        <f t="shared" si="410"/>
        <v>30</v>
      </c>
      <c r="S388" s="9">
        <f>S380*(1000/990)*(C9/C4)</f>
        <v>10.37979797979798</v>
      </c>
      <c r="T388" s="9">
        <f>T380*(1000/990)*(C9/C4)</f>
        <v>10.37979797979798</v>
      </c>
      <c r="U388" s="11">
        <f t="shared" ref="U388" si="415">IFERROR(VLOOKUP(D388,$F$2:$AG$5,MATCH($U$173,$F$2:$AG$2,0),0)/I388*100,"-")</f>
        <v>120.37271311794471</v>
      </c>
      <c r="V388" s="11">
        <f t="shared" ref="V388" si="416">VLOOKUP(D388,$F$2:$AG$5,26,0)/J388*100</f>
        <v>130.8096535616971</v>
      </c>
      <c r="W388" s="3">
        <f t="shared" ref="W388" si="417">(V388^2/(V388^2+100^2)-0.325)/9*Q388</f>
        <v>0.73702363818647598</v>
      </c>
    </row>
    <row r="389" spans="2:23" x14ac:dyDescent="0.3">
      <c r="B389" s="10" t="str">
        <f t="shared" ref="B389:R389" si="418">B381</f>
        <v>Casey Kelly</v>
      </c>
      <c r="C389" s="10">
        <f t="shared" si="418"/>
        <v>26</v>
      </c>
      <c r="D389" s="10">
        <f t="shared" ref="D389" si="419">D381</f>
        <v>2016</v>
      </c>
      <c r="E389" s="10" t="str">
        <f t="shared" si="418"/>
        <v>AAA (IL)</v>
      </c>
      <c r="F389" s="10">
        <f t="shared" si="418"/>
        <v>3</v>
      </c>
      <c r="G389" s="10">
        <f t="shared" si="418"/>
        <v>6</v>
      </c>
      <c r="H389" s="10">
        <f t="shared" si="418"/>
        <v>0.33300000000000002</v>
      </c>
      <c r="I389" s="3">
        <f t="shared" ref="I389:I393" si="420">T389*9/Q389</f>
        <v>3.3107460040128367</v>
      </c>
      <c r="J389" s="3">
        <f t="shared" ref="J389:J393" si="421">S389*9/Q389</f>
        <v>3.7674006252559864</v>
      </c>
      <c r="K389" s="10">
        <f t="shared" si="418"/>
        <v>15</v>
      </c>
      <c r="L389" s="10">
        <f t="shared" si="418"/>
        <v>12</v>
      </c>
      <c r="M389" s="10">
        <f t="shared" si="418"/>
        <v>0</v>
      </c>
      <c r="N389" s="10">
        <f t="shared" si="418"/>
        <v>0</v>
      </c>
      <c r="O389" s="10">
        <f t="shared" si="418"/>
        <v>0</v>
      </c>
      <c r="P389" s="10">
        <f t="shared" si="418"/>
        <v>0</v>
      </c>
      <c r="Q389" s="13">
        <f t="shared" si="414"/>
        <v>74</v>
      </c>
      <c r="R389" s="10">
        <f t="shared" si="418"/>
        <v>64</v>
      </c>
      <c r="S389" s="9">
        <f>S381*(C9/C6)*(1000/975)</f>
        <v>30.976405140993666</v>
      </c>
      <c r="T389" s="9">
        <f>T381*(C9/C6)*(1000/975)</f>
        <v>27.221689366327766</v>
      </c>
      <c r="U389" s="11">
        <f t="shared" ref="U389:U393" si="422">IFERROR(VLOOKUP(D389,$F$2:$AG$5,MATCH($U$173,$F$2:$AG$2,0),0)/I389*100,"-")</f>
        <v>156.76225218453445</v>
      </c>
      <c r="V389" s="11">
        <f t="shared" ref="V389:V393" si="423">VLOOKUP(D389,$F$2:$AG$5,26,0)/J389*100</f>
        <v>149.70534225084634</v>
      </c>
      <c r="W389" s="3">
        <f t="shared" ref="W389:W393" si="424">(V389^2/(V389^2+100^2)-0.325)/9*Q389</f>
        <v>3.0131923391043243</v>
      </c>
    </row>
    <row r="390" spans="2:23" x14ac:dyDescent="0.3">
      <c r="B390" s="10" t="str">
        <f t="shared" ref="B390:R390" si="425">B382</f>
        <v>Casey Kelly</v>
      </c>
      <c r="C390" s="10">
        <f t="shared" si="425"/>
        <v>27</v>
      </c>
      <c r="D390" s="10">
        <f t="shared" ref="D390" si="426">D382</f>
        <v>2017</v>
      </c>
      <c r="E390" s="10" t="str">
        <f t="shared" si="425"/>
        <v>AAA (PCL)</v>
      </c>
      <c r="F390" s="10">
        <f t="shared" si="425"/>
        <v>5</v>
      </c>
      <c r="G390" s="10">
        <f t="shared" si="425"/>
        <v>2</v>
      </c>
      <c r="H390" s="10">
        <f t="shared" si="425"/>
        <v>0.71399999999999997</v>
      </c>
      <c r="I390" s="3">
        <f t="shared" si="420"/>
        <v>4.7335136259621375</v>
      </c>
      <c r="J390" s="3">
        <f t="shared" si="421"/>
        <v>5.0389016018306636</v>
      </c>
      <c r="K390" s="10">
        <f t="shared" si="425"/>
        <v>12</v>
      </c>
      <c r="L390" s="10">
        <f t="shared" si="425"/>
        <v>11</v>
      </c>
      <c r="M390" s="10">
        <f t="shared" si="425"/>
        <v>1</v>
      </c>
      <c r="N390" s="10">
        <f t="shared" si="425"/>
        <v>1</v>
      </c>
      <c r="O390" s="10">
        <f t="shared" si="425"/>
        <v>1</v>
      </c>
      <c r="P390" s="10">
        <f t="shared" si="425"/>
        <v>1</v>
      </c>
      <c r="Q390" s="13">
        <f t="shared" si="414"/>
        <v>60</v>
      </c>
      <c r="R390" s="10">
        <f t="shared" si="425"/>
        <v>72</v>
      </c>
      <c r="S390" s="9">
        <f>S382*(C9/C5)*(1000/950)</f>
        <v>33.592677345537759</v>
      </c>
      <c r="T390" s="9">
        <f>T382*(C9/C5)*(1000/950)</f>
        <v>31.556757506414254</v>
      </c>
      <c r="U390" s="11">
        <f t="shared" si="422"/>
        <v>105.20726026193199</v>
      </c>
      <c r="V390" s="11">
        <f t="shared" si="423"/>
        <v>107.36466848319711</v>
      </c>
      <c r="W390" s="3">
        <f t="shared" si="424"/>
        <v>1.4031386683110816</v>
      </c>
    </row>
    <row r="391" spans="2:23" x14ac:dyDescent="0.3">
      <c r="B391" s="10" t="str">
        <f t="shared" ref="B391:R391" si="427">B383</f>
        <v>Casey Kelly</v>
      </c>
      <c r="C391" s="10">
        <f t="shared" si="427"/>
        <v>27</v>
      </c>
      <c r="D391" s="10">
        <f t="shared" ref="D391" si="428">D383</f>
        <v>2017</v>
      </c>
      <c r="E391" s="10" t="str">
        <f t="shared" si="427"/>
        <v>AAA (PCL)</v>
      </c>
      <c r="F391" s="10">
        <f t="shared" si="427"/>
        <v>2</v>
      </c>
      <c r="G391" s="10">
        <f t="shared" si="427"/>
        <v>3</v>
      </c>
      <c r="H391" s="10">
        <f t="shared" si="427"/>
        <v>0.4</v>
      </c>
      <c r="I391" s="3">
        <f t="shared" si="420"/>
        <v>4.636041181183244</v>
      </c>
      <c r="J391" s="3">
        <f t="shared" si="421"/>
        <v>5.3680476834753348</v>
      </c>
      <c r="K391" s="10">
        <f t="shared" si="427"/>
        <v>7</v>
      </c>
      <c r="L391" s="10">
        <f t="shared" si="427"/>
        <v>7</v>
      </c>
      <c r="M391" s="10">
        <f t="shared" si="427"/>
        <v>0</v>
      </c>
      <c r="N391" s="10">
        <f t="shared" si="427"/>
        <v>0</v>
      </c>
      <c r="O391" s="10">
        <f t="shared" si="427"/>
        <v>0</v>
      </c>
      <c r="P391" s="10">
        <f t="shared" si="427"/>
        <v>0</v>
      </c>
      <c r="Q391" s="13">
        <f t="shared" si="414"/>
        <v>41</v>
      </c>
      <c r="R391" s="10">
        <f t="shared" si="427"/>
        <v>43</v>
      </c>
      <c r="S391" s="9">
        <f>S383*(C9/C5)*(1000/870)</f>
        <v>24.454439446943191</v>
      </c>
      <c r="T391" s="9">
        <f>T383*(C9/C5)*(1000/870)</f>
        <v>21.119743158723665</v>
      </c>
      <c r="U391" s="11">
        <f t="shared" si="422"/>
        <v>107.41923562311774</v>
      </c>
      <c r="V391" s="11">
        <f t="shared" si="423"/>
        <v>100.7815190735695</v>
      </c>
      <c r="W391" s="3">
        <f t="shared" si="424"/>
        <v>0.81495393196527011</v>
      </c>
    </row>
    <row r="392" spans="2:23" x14ac:dyDescent="0.3">
      <c r="B392" s="10" t="str">
        <f t="shared" ref="B392:R392" si="429">B384</f>
        <v>Casey Kelly</v>
      </c>
      <c r="C392" s="10">
        <f t="shared" si="429"/>
        <v>28</v>
      </c>
      <c r="D392" s="10">
        <f t="shared" ref="D392" si="430">D384</f>
        <v>2018</v>
      </c>
      <c r="E392" s="10" t="str">
        <f t="shared" si="429"/>
        <v>MLB (NL)</v>
      </c>
      <c r="F392" s="10">
        <f t="shared" si="429"/>
        <v>0</v>
      </c>
      <c r="G392" s="10">
        <f t="shared" si="429"/>
        <v>3</v>
      </c>
      <c r="H392" s="10">
        <f t="shared" si="429"/>
        <v>0</v>
      </c>
      <c r="I392" s="3">
        <f t="shared" si="420"/>
        <v>2.3629778672032198</v>
      </c>
      <c r="J392" s="3">
        <f t="shared" si="421"/>
        <v>2.953722334004024</v>
      </c>
      <c r="K392" s="10">
        <f t="shared" si="429"/>
        <v>7</v>
      </c>
      <c r="L392" s="10">
        <f t="shared" si="429"/>
        <v>3</v>
      </c>
      <c r="M392" s="10">
        <f t="shared" si="429"/>
        <v>4</v>
      </c>
      <c r="N392" s="10">
        <f t="shared" si="429"/>
        <v>0</v>
      </c>
      <c r="O392" s="10">
        <f t="shared" si="429"/>
        <v>0</v>
      </c>
      <c r="P392" s="10">
        <f t="shared" si="429"/>
        <v>0</v>
      </c>
      <c r="Q392" s="13">
        <f>Q384-(Q384-ROUNDDOWN(Q384,0))+(Q384-ROUNDDOWN(Q384,0))/0.3</f>
        <v>23.666666666666664</v>
      </c>
      <c r="R392" s="10">
        <f t="shared" si="429"/>
        <v>28</v>
      </c>
      <c r="S392" s="9">
        <f>S384*(C9/C4)*(1000/945)</f>
        <v>7.7671957671957665</v>
      </c>
      <c r="T392" s="9">
        <f>T384*(C9/C4)*(1000/945)</f>
        <v>6.2137566137566136</v>
      </c>
      <c r="U392" s="11">
        <f t="shared" si="422"/>
        <v>238.68188010899178</v>
      </c>
      <c r="V392" s="11">
        <f t="shared" si="423"/>
        <v>191.96117166212534</v>
      </c>
      <c r="W392" s="3">
        <f t="shared" si="424"/>
        <v>1.213702107213952</v>
      </c>
    </row>
    <row r="393" spans="2:23" x14ac:dyDescent="0.3">
      <c r="B393" s="10" t="str">
        <f t="shared" ref="B393:R393" si="431">B385</f>
        <v>Casey Kelly</v>
      </c>
      <c r="C393" s="10">
        <f t="shared" si="431"/>
        <v>28</v>
      </c>
      <c r="D393" s="10">
        <f t="shared" ref="D393" si="432">D385</f>
        <v>2018</v>
      </c>
      <c r="E393" s="10" t="str">
        <f t="shared" si="431"/>
        <v>AAA (PCL)</v>
      </c>
      <c r="F393" s="10">
        <f t="shared" si="431"/>
        <v>10</v>
      </c>
      <c r="G393" s="10">
        <f t="shared" si="431"/>
        <v>9</v>
      </c>
      <c r="H393" s="10">
        <f t="shared" si="431"/>
        <v>0.52600000000000002</v>
      </c>
      <c r="I393" s="3">
        <f t="shared" si="420"/>
        <v>5.1772647594366612</v>
      </c>
      <c r="J393" s="3">
        <f t="shared" si="421"/>
        <v>5.752516399374068</v>
      </c>
      <c r="K393" s="10">
        <f t="shared" si="431"/>
        <v>24</v>
      </c>
      <c r="L393" s="10">
        <f t="shared" si="431"/>
        <v>24</v>
      </c>
      <c r="M393" s="10">
        <f t="shared" si="431"/>
        <v>0</v>
      </c>
      <c r="N393" s="10">
        <f t="shared" si="431"/>
        <v>0</v>
      </c>
      <c r="O393" s="10">
        <f t="shared" si="431"/>
        <v>0</v>
      </c>
      <c r="P393" s="10">
        <f t="shared" si="431"/>
        <v>0</v>
      </c>
      <c r="Q393" s="13">
        <f>Q385-(Q385-ROUNDDOWN(Q385,0))+(Q385-ROUNDDOWN(Q385,0))/0.3</f>
        <v>136</v>
      </c>
      <c r="R393" s="10">
        <f t="shared" si="431"/>
        <v>155</v>
      </c>
      <c r="S393" s="9">
        <f>S385*(C9/C5)*(1000/890)</f>
        <v>86.926914479430366</v>
      </c>
      <c r="T393" s="9">
        <f>T385*(C9/C5)*(1000/890)</f>
        <v>78.234223031487332</v>
      </c>
      <c r="U393" s="11">
        <f t="shared" si="422"/>
        <v>108.93783227369059</v>
      </c>
      <c r="V393" s="11">
        <f t="shared" si="423"/>
        <v>98.565559945504077</v>
      </c>
      <c r="W393" s="3">
        <f t="shared" si="424"/>
        <v>2.5352872878853461</v>
      </c>
    </row>
    <row r="394" spans="2:23" x14ac:dyDescent="0.3"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</row>
    <row r="395" spans="2:23" x14ac:dyDescent="0.3">
      <c r="B395" s="10" t="s">
        <v>146</v>
      </c>
      <c r="C395" s="10" t="s">
        <v>176</v>
      </c>
      <c r="D395" s="10" t="s">
        <v>173</v>
      </c>
      <c r="E395" s="10" t="s">
        <v>171</v>
      </c>
      <c r="F395" s="10" t="s">
        <v>531</v>
      </c>
      <c r="G395" s="10" t="s">
        <v>532</v>
      </c>
      <c r="H395" s="10" t="s">
        <v>533</v>
      </c>
      <c r="I395" s="10" t="s">
        <v>534</v>
      </c>
      <c r="J395" s="10" t="s">
        <v>535</v>
      </c>
      <c r="K395" s="10" t="s">
        <v>148</v>
      </c>
      <c r="L395" s="10" t="s">
        <v>536</v>
      </c>
      <c r="M395" s="10" t="s">
        <v>537</v>
      </c>
      <c r="N395" s="10" t="s">
        <v>538</v>
      </c>
      <c r="O395" s="10" t="s">
        <v>539</v>
      </c>
      <c r="P395" s="10" t="s">
        <v>540</v>
      </c>
      <c r="Q395" s="10" t="s">
        <v>541</v>
      </c>
      <c r="R395" s="10" t="s">
        <v>152</v>
      </c>
      <c r="S395" s="10" t="s">
        <v>151</v>
      </c>
      <c r="T395" s="10" t="s">
        <v>542</v>
      </c>
    </row>
    <row r="396" spans="2:23" x14ac:dyDescent="0.3">
      <c r="B396" s="5" t="s">
        <v>632</v>
      </c>
      <c r="C396" s="5">
        <v>22</v>
      </c>
      <c r="D396" s="5">
        <v>2016</v>
      </c>
      <c r="E396" s="5" t="s">
        <v>634</v>
      </c>
      <c r="F396" s="5">
        <v>3</v>
      </c>
      <c r="G396" s="5">
        <v>6</v>
      </c>
      <c r="H396" s="5">
        <v>0.33300000000000002</v>
      </c>
      <c r="I396" s="5">
        <v>5.7</v>
      </c>
      <c r="J396" s="5">
        <v>5.7</v>
      </c>
      <c r="K396" s="5">
        <v>10</v>
      </c>
      <c r="L396" s="5">
        <v>10</v>
      </c>
      <c r="M396" s="5">
        <v>0</v>
      </c>
      <c r="N396" s="5">
        <v>0</v>
      </c>
      <c r="O396" s="5">
        <v>0</v>
      </c>
      <c r="P396" s="5">
        <v>0</v>
      </c>
      <c r="Q396" s="5">
        <v>53.2</v>
      </c>
      <c r="R396" s="5">
        <v>53</v>
      </c>
      <c r="S396" s="5">
        <v>34</v>
      </c>
      <c r="T396" s="5">
        <v>34</v>
      </c>
    </row>
    <row r="397" spans="2:23" x14ac:dyDescent="0.3">
      <c r="B397" s="10" t="s">
        <v>632</v>
      </c>
      <c r="C397" s="5">
        <v>22</v>
      </c>
      <c r="D397" s="10">
        <v>2016</v>
      </c>
      <c r="E397" s="5" t="s">
        <v>635</v>
      </c>
      <c r="F397" s="5">
        <v>11</v>
      </c>
      <c r="G397" s="5">
        <v>5</v>
      </c>
      <c r="H397" s="5">
        <v>0.68799999999999994</v>
      </c>
      <c r="I397" s="5">
        <v>2.5</v>
      </c>
      <c r="J397" s="5">
        <v>3.05</v>
      </c>
      <c r="K397" s="5">
        <v>21</v>
      </c>
      <c r="L397" s="5">
        <v>21</v>
      </c>
      <c r="M397" s="5">
        <v>0</v>
      </c>
      <c r="N397" s="5">
        <v>0</v>
      </c>
      <c r="O397" s="5">
        <v>0</v>
      </c>
      <c r="P397" s="5">
        <v>0</v>
      </c>
      <c r="Q397" s="5">
        <v>129.19999999999999</v>
      </c>
      <c r="R397" s="5">
        <v>105</v>
      </c>
      <c r="S397" s="5">
        <v>44</v>
      </c>
      <c r="T397" s="5">
        <v>36</v>
      </c>
    </row>
    <row r="398" spans="2:23" x14ac:dyDescent="0.3">
      <c r="B398" s="10" t="s">
        <v>632</v>
      </c>
      <c r="C398" s="5">
        <v>23</v>
      </c>
      <c r="D398" s="10">
        <v>2017</v>
      </c>
      <c r="E398" s="10" t="s">
        <v>634</v>
      </c>
      <c r="F398" s="5">
        <v>3</v>
      </c>
      <c r="G398" s="5">
        <v>2</v>
      </c>
      <c r="H398" s="5">
        <v>0.6</v>
      </c>
      <c r="I398" s="5">
        <v>3.88</v>
      </c>
      <c r="J398" s="5">
        <v>5.24</v>
      </c>
      <c r="K398" s="5">
        <v>11</v>
      </c>
      <c r="L398" s="5">
        <v>8</v>
      </c>
      <c r="M398" s="5">
        <v>1</v>
      </c>
      <c r="N398" s="5">
        <v>0</v>
      </c>
      <c r="O398" s="5">
        <v>0</v>
      </c>
      <c r="P398" s="5">
        <v>0</v>
      </c>
      <c r="Q398" s="5">
        <v>46.1</v>
      </c>
      <c r="R398" s="5">
        <v>50</v>
      </c>
      <c r="S398" s="5">
        <v>27</v>
      </c>
      <c r="T398" s="5">
        <v>20</v>
      </c>
    </row>
    <row r="399" spans="2:23" x14ac:dyDescent="0.3">
      <c r="B399" s="10" t="s">
        <v>632</v>
      </c>
      <c r="C399" s="5">
        <v>23</v>
      </c>
      <c r="D399" s="10">
        <v>2017</v>
      </c>
      <c r="E399" s="10" t="s">
        <v>635</v>
      </c>
      <c r="F399" s="5">
        <v>5</v>
      </c>
      <c r="G399" s="5">
        <v>14</v>
      </c>
      <c r="H399" s="5">
        <v>0.26300000000000001</v>
      </c>
      <c r="I399" s="5">
        <v>5.25</v>
      </c>
      <c r="J399" s="5">
        <v>6.31</v>
      </c>
      <c r="K399" s="5">
        <v>22</v>
      </c>
      <c r="L399" s="5">
        <v>22</v>
      </c>
      <c r="M399" s="5">
        <v>0</v>
      </c>
      <c r="N399" s="5">
        <v>0</v>
      </c>
      <c r="O399" s="5">
        <v>0</v>
      </c>
      <c r="P399" s="5">
        <v>0</v>
      </c>
      <c r="Q399" s="5">
        <v>118.1</v>
      </c>
      <c r="R399" s="5">
        <v>136</v>
      </c>
      <c r="S399" s="5">
        <v>83</v>
      </c>
      <c r="T399" s="5">
        <v>69</v>
      </c>
    </row>
    <row r="400" spans="2:23" x14ac:dyDescent="0.3">
      <c r="B400" s="10" t="s">
        <v>632</v>
      </c>
      <c r="C400" s="5">
        <v>24</v>
      </c>
      <c r="D400" s="10">
        <v>2018</v>
      </c>
      <c r="E400" s="5" t="s">
        <v>636</v>
      </c>
      <c r="F400" s="5">
        <v>1</v>
      </c>
      <c r="G400" s="5">
        <v>0</v>
      </c>
      <c r="H400" s="5">
        <v>1</v>
      </c>
      <c r="I400" s="5">
        <v>4.96</v>
      </c>
      <c r="J400" s="5">
        <v>5.51</v>
      </c>
      <c r="K400" s="5">
        <v>9</v>
      </c>
      <c r="L400" s="5">
        <v>0</v>
      </c>
      <c r="M400" s="5">
        <v>6</v>
      </c>
      <c r="N400" s="5">
        <v>0</v>
      </c>
      <c r="O400" s="5">
        <v>0</v>
      </c>
      <c r="P400" s="5">
        <v>2</v>
      </c>
      <c r="Q400" s="5">
        <v>16.100000000000001</v>
      </c>
      <c r="R400" s="5">
        <v>14</v>
      </c>
      <c r="S400" s="5">
        <v>10</v>
      </c>
      <c r="T400" s="5">
        <v>9</v>
      </c>
    </row>
    <row r="401" spans="2:23" x14ac:dyDescent="0.3">
      <c r="B401" s="10" t="s">
        <v>632</v>
      </c>
      <c r="C401" s="5">
        <v>24</v>
      </c>
      <c r="D401" s="10">
        <v>2018</v>
      </c>
      <c r="E401" s="5" t="s">
        <v>637</v>
      </c>
      <c r="F401" s="5">
        <v>1</v>
      </c>
      <c r="G401" s="5">
        <v>2</v>
      </c>
      <c r="H401" s="5">
        <v>0.33300000000000002</v>
      </c>
      <c r="I401" s="5">
        <v>4.5999999999999996</v>
      </c>
      <c r="J401" s="5">
        <v>4.79</v>
      </c>
      <c r="K401" s="5">
        <v>28</v>
      </c>
      <c r="L401" s="5">
        <v>4</v>
      </c>
      <c r="M401" s="5">
        <v>5</v>
      </c>
      <c r="N401" s="5">
        <v>0</v>
      </c>
      <c r="O401" s="5">
        <v>0</v>
      </c>
      <c r="P401" s="5">
        <v>2</v>
      </c>
      <c r="Q401" s="5">
        <v>47</v>
      </c>
      <c r="R401" s="5">
        <v>41</v>
      </c>
      <c r="S401" s="5">
        <v>25</v>
      </c>
      <c r="T401" s="5">
        <v>24</v>
      </c>
    </row>
    <row r="402" spans="2:23" x14ac:dyDescent="0.3">
      <c r="B402" s="10" t="s">
        <v>632</v>
      </c>
      <c r="C402" s="5">
        <v>24</v>
      </c>
      <c r="D402" s="10">
        <v>2018</v>
      </c>
      <c r="E402" s="5" t="s">
        <v>638</v>
      </c>
      <c r="F402" s="5">
        <v>0</v>
      </c>
      <c r="G402" s="5">
        <v>0</v>
      </c>
      <c r="I402" s="5">
        <v>1.69</v>
      </c>
      <c r="J402" s="5">
        <v>1.69</v>
      </c>
      <c r="K402" s="5">
        <v>5</v>
      </c>
      <c r="L402" s="5">
        <v>0</v>
      </c>
      <c r="M402" s="5">
        <v>1</v>
      </c>
      <c r="N402" s="5">
        <v>0</v>
      </c>
      <c r="O402" s="5">
        <v>0</v>
      </c>
      <c r="P402" s="5">
        <v>1</v>
      </c>
      <c r="Q402" s="5">
        <v>5.0999999999999996</v>
      </c>
      <c r="R402" s="5">
        <v>6</v>
      </c>
      <c r="S402" s="5">
        <v>1</v>
      </c>
      <c r="T402" s="5">
        <v>1</v>
      </c>
    </row>
    <row r="403" spans="2:23" x14ac:dyDescent="0.3">
      <c r="B403" s="10"/>
      <c r="D403" s="10"/>
    </row>
    <row r="404" spans="2:23" x14ac:dyDescent="0.3">
      <c r="B404" s="10" t="s">
        <v>146</v>
      </c>
      <c r="C404" s="10" t="s">
        <v>176</v>
      </c>
      <c r="D404" s="10" t="s">
        <v>173</v>
      </c>
      <c r="E404" s="10" t="s">
        <v>171</v>
      </c>
      <c r="F404" s="10" t="s">
        <v>531</v>
      </c>
      <c r="G404" s="10" t="s">
        <v>532</v>
      </c>
      <c r="H404" s="10" t="s">
        <v>533</v>
      </c>
      <c r="I404" s="10" t="s">
        <v>534</v>
      </c>
      <c r="J404" s="10" t="s">
        <v>535</v>
      </c>
      <c r="K404" s="10" t="s">
        <v>148</v>
      </c>
      <c r="L404" s="10" t="s">
        <v>536</v>
      </c>
      <c r="M404" s="10" t="s">
        <v>537</v>
      </c>
      <c r="N404" s="10" t="s">
        <v>538</v>
      </c>
      <c r="O404" s="10" t="s">
        <v>539</v>
      </c>
      <c r="P404" s="10" t="s">
        <v>540</v>
      </c>
      <c r="Q404" s="10" t="s">
        <v>541</v>
      </c>
      <c r="R404" s="10" t="s">
        <v>152</v>
      </c>
      <c r="S404" s="10" t="s">
        <v>151</v>
      </c>
      <c r="T404" s="10" t="s">
        <v>542</v>
      </c>
      <c r="U404" s="10" t="s">
        <v>550</v>
      </c>
      <c r="V404" s="10" t="s">
        <v>559</v>
      </c>
      <c r="W404" s="10" t="s">
        <v>549</v>
      </c>
    </row>
    <row r="405" spans="2:23" x14ac:dyDescent="0.3">
      <c r="B405" s="10" t="s">
        <v>632</v>
      </c>
      <c r="C405" s="10">
        <v>22</v>
      </c>
      <c r="D405" s="10">
        <v>2016</v>
      </c>
      <c r="E405" s="5" t="s">
        <v>639</v>
      </c>
      <c r="F405" s="5">
        <f>F396</f>
        <v>3</v>
      </c>
      <c r="G405" s="10">
        <f t="shared" ref="G405:R405" si="433">G396</f>
        <v>6</v>
      </c>
      <c r="H405" s="10">
        <f t="shared" si="433"/>
        <v>0.33300000000000002</v>
      </c>
      <c r="I405" s="3">
        <f t="shared" ref="I405" si="434">T405*9/Q405</f>
        <v>4.5739537725282551</v>
      </c>
      <c r="J405" s="3">
        <f t="shared" ref="J405" si="435">S405*9/Q405</f>
        <v>4.5739537725282551</v>
      </c>
      <c r="K405" s="10">
        <f t="shared" si="433"/>
        <v>10</v>
      </c>
      <c r="L405" s="10">
        <f t="shared" si="433"/>
        <v>10</v>
      </c>
      <c r="M405" s="10">
        <f t="shared" si="433"/>
        <v>0</v>
      </c>
      <c r="N405" s="10">
        <f t="shared" si="433"/>
        <v>0</v>
      </c>
      <c r="O405" s="10">
        <f t="shared" si="433"/>
        <v>0</v>
      </c>
      <c r="P405" s="10">
        <f t="shared" si="433"/>
        <v>0</v>
      </c>
      <c r="Q405" s="13">
        <f t="shared" ref="Q405:Q407" si="436">Q396-(Q396-ROUNDDOWN(Q396,0))+(Q396-ROUNDDOWN(Q396,0))/0.3</f>
        <v>53.666666666666679</v>
      </c>
      <c r="R405" s="10">
        <f t="shared" si="433"/>
        <v>53</v>
      </c>
      <c r="S405" s="9">
        <f>S396*(C9/C4)*(1000/915)</f>
        <v>27.274316939890713</v>
      </c>
      <c r="T405" s="9">
        <f>T396*(C9/C4)*(1000/915)</f>
        <v>27.274316939890713</v>
      </c>
      <c r="U405" s="11">
        <f t="shared" ref="U405" si="437">IFERROR(VLOOKUP(D405,$F$2:$AG$5,MATCH($U$173,$F$2:$AG$2,0),0)/I405*100,"-")</f>
        <v>113.46857135224664</v>
      </c>
      <c r="V405" s="11">
        <f t="shared" ref="V405" si="438">VLOOKUP(D405,$F$2:$AG$5,26,0)/J405*100</f>
        <v>123.30688678741252</v>
      </c>
      <c r="W405" s="3">
        <f t="shared" ref="W405" si="439">(V405^2/(V405^2+100^2)-0.325)/9*Q405</f>
        <v>1.6591756171221157</v>
      </c>
    </row>
    <row r="406" spans="2:23" x14ac:dyDescent="0.3">
      <c r="B406" s="10" t="s">
        <v>632</v>
      </c>
      <c r="C406" s="10">
        <v>22</v>
      </c>
      <c r="D406" s="10">
        <v>2016</v>
      </c>
      <c r="E406" s="10" t="s">
        <v>639</v>
      </c>
      <c r="F406" s="10">
        <f t="shared" ref="F406:R406" si="440">F397</f>
        <v>11</v>
      </c>
      <c r="G406" s="10">
        <f t="shared" si="440"/>
        <v>5</v>
      </c>
      <c r="H406" s="10">
        <f t="shared" si="440"/>
        <v>0.68799999999999994</v>
      </c>
      <c r="I406" s="3">
        <f t="shared" ref="I406:I411" si="441">T406*9/Q406</f>
        <v>2.1174570001730895</v>
      </c>
      <c r="J406" s="3">
        <f t="shared" ref="J406:J411" si="442">S406*9/Q406</f>
        <v>2.5880030002115539</v>
      </c>
      <c r="K406" s="10">
        <f t="shared" si="440"/>
        <v>21</v>
      </c>
      <c r="L406" s="10">
        <f t="shared" si="440"/>
        <v>21</v>
      </c>
      <c r="M406" s="10">
        <f t="shared" si="440"/>
        <v>0</v>
      </c>
      <c r="N406" s="10">
        <f t="shared" si="440"/>
        <v>0</v>
      </c>
      <c r="O406" s="10">
        <f t="shared" si="440"/>
        <v>0</v>
      </c>
      <c r="P406" s="10">
        <f t="shared" si="440"/>
        <v>0</v>
      </c>
      <c r="Q406" s="13">
        <f t="shared" si="436"/>
        <v>129.66666666666663</v>
      </c>
      <c r="R406" s="10">
        <f t="shared" si="440"/>
        <v>105</v>
      </c>
      <c r="S406" s="9">
        <f>S397*(C9/C6)*(1000/1080)</f>
        <v>37.286413595640525</v>
      </c>
      <c r="T406" s="9">
        <f>T397*(C9/C6)*(1000/1080)</f>
        <v>30.507065669160429</v>
      </c>
      <c r="U406" s="11">
        <f t="shared" ref="U406:U411" si="443">IFERROR(VLOOKUP(D406,$F$2:$AG$5,MATCH($U$173,$F$2:$AG$2,0),0)/I406*100,"-")</f>
        <v>245.10533151680289</v>
      </c>
      <c r="V406" s="11">
        <f t="shared" ref="V406:V411" si="444">VLOOKUP(D406,$F$2:$AG$5,26,0)/J406*100</f>
        <v>217.92864998761451</v>
      </c>
      <c r="W406" s="3">
        <f t="shared" ref="W406:W411" si="445">(V406^2/(V406^2+100^2)-0.325)/9*Q406</f>
        <v>7.2190543461643051</v>
      </c>
    </row>
    <row r="407" spans="2:23" x14ac:dyDescent="0.3">
      <c r="B407" s="10" t="s">
        <v>632</v>
      </c>
      <c r="C407" s="10">
        <v>23</v>
      </c>
      <c r="D407" s="10">
        <v>2017</v>
      </c>
      <c r="E407" s="10" t="s">
        <v>639</v>
      </c>
      <c r="F407" s="10">
        <f t="shared" ref="F407:R407" si="446">F398</f>
        <v>3</v>
      </c>
      <c r="G407" s="10">
        <f t="shared" si="446"/>
        <v>2</v>
      </c>
      <c r="H407" s="10">
        <f t="shared" si="446"/>
        <v>0.6</v>
      </c>
      <c r="I407" s="3">
        <f t="shared" si="441"/>
        <v>2.8949348135704627</v>
      </c>
      <c r="J407" s="3">
        <f t="shared" si="442"/>
        <v>3.908161998320125</v>
      </c>
      <c r="K407" s="10">
        <f t="shared" si="446"/>
        <v>11</v>
      </c>
      <c r="L407" s="10">
        <f t="shared" si="446"/>
        <v>8</v>
      </c>
      <c r="M407" s="10">
        <f t="shared" si="446"/>
        <v>1</v>
      </c>
      <c r="N407" s="10">
        <f t="shared" si="446"/>
        <v>0</v>
      </c>
      <c r="O407" s="10">
        <f t="shared" si="446"/>
        <v>0</v>
      </c>
      <c r="P407" s="10">
        <f t="shared" si="446"/>
        <v>0</v>
      </c>
      <c r="Q407" s="13">
        <f t="shared" si="436"/>
        <v>46.333333333333336</v>
      </c>
      <c r="R407" s="10">
        <f t="shared" si="446"/>
        <v>50</v>
      </c>
      <c r="S407" s="9">
        <f>S398*(C9/C4)*(1000/985)</f>
        <v>20.119796954314719</v>
      </c>
      <c r="T407" s="9">
        <f>T398*(C9/C4)*(1000/985)</f>
        <v>14.903553299492385</v>
      </c>
      <c r="U407" s="11">
        <f t="shared" si="443"/>
        <v>172.02459884953078</v>
      </c>
      <c r="V407" s="11">
        <f t="shared" si="444"/>
        <v>138.42824331042115</v>
      </c>
      <c r="W407" s="3">
        <f t="shared" si="445"/>
        <v>1.7096610925353799</v>
      </c>
    </row>
    <row r="408" spans="2:23" x14ac:dyDescent="0.3">
      <c r="B408" s="10" t="s">
        <v>632</v>
      </c>
      <c r="C408" s="10">
        <v>23</v>
      </c>
      <c r="D408" s="10">
        <v>2017</v>
      </c>
      <c r="E408" s="10" t="s">
        <v>639</v>
      </c>
      <c r="F408" s="10">
        <f t="shared" ref="F408:R408" si="447">F399</f>
        <v>5</v>
      </c>
      <c r="G408" s="10">
        <f t="shared" si="447"/>
        <v>14</v>
      </c>
      <c r="H408" s="10">
        <f t="shared" si="447"/>
        <v>0.26300000000000001</v>
      </c>
      <c r="I408" s="3">
        <f t="shared" si="441"/>
        <v>4.3075599071543662</v>
      </c>
      <c r="J408" s="3">
        <f t="shared" si="442"/>
        <v>5.1815575694755411</v>
      </c>
      <c r="K408" s="10">
        <f t="shared" si="447"/>
        <v>22</v>
      </c>
      <c r="L408" s="10">
        <f t="shared" si="447"/>
        <v>22</v>
      </c>
      <c r="M408" s="10">
        <f t="shared" si="447"/>
        <v>0</v>
      </c>
      <c r="N408" s="10">
        <f t="shared" si="447"/>
        <v>0</v>
      </c>
      <c r="O408" s="10">
        <f t="shared" si="447"/>
        <v>0</v>
      </c>
      <c r="P408" s="10">
        <f t="shared" si="447"/>
        <v>0</v>
      </c>
      <c r="Q408" s="13">
        <f>Q399-(Q399-ROUNDDOWN(Q399,0))+(Q399-ROUNDDOWN(Q399,0))/0.3</f>
        <v>118.33333333333331</v>
      </c>
      <c r="R408" s="10">
        <f t="shared" si="447"/>
        <v>136</v>
      </c>
      <c r="S408" s="9">
        <f>S399*(C9/C6)*(1000/1115)</f>
        <v>68.127886561622844</v>
      </c>
      <c r="T408" s="9">
        <f>T399*(C9/C6)*(1000/1115)</f>
        <v>56.636435816288873</v>
      </c>
      <c r="U408" s="11">
        <f t="shared" si="443"/>
        <v>115.61069624890851</v>
      </c>
      <c r="V408" s="11">
        <f t="shared" si="444"/>
        <v>104.40875986537735</v>
      </c>
      <c r="W408" s="3">
        <f t="shared" si="445"/>
        <v>2.5843779391201736</v>
      </c>
    </row>
    <row r="409" spans="2:23" x14ac:dyDescent="0.3">
      <c r="B409" s="10" t="s">
        <v>632</v>
      </c>
      <c r="C409" s="10">
        <v>24</v>
      </c>
      <c r="D409" s="10">
        <v>2018</v>
      </c>
      <c r="E409" s="10" t="s">
        <v>639</v>
      </c>
      <c r="F409" s="10">
        <f t="shared" ref="F409:R409" si="448">F400</f>
        <v>1</v>
      </c>
      <c r="G409" s="10">
        <f t="shared" si="448"/>
        <v>0</v>
      </c>
      <c r="H409" s="10">
        <f t="shared" si="448"/>
        <v>1</v>
      </c>
      <c r="I409" s="3">
        <f t="shared" si="441"/>
        <v>3.5862471096813096</v>
      </c>
      <c r="J409" s="3">
        <f t="shared" si="442"/>
        <v>3.9847190107570105</v>
      </c>
      <c r="K409" s="10">
        <f t="shared" si="448"/>
        <v>9</v>
      </c>
      <c r="L409" s="10">
        <f t="shared" si="448"/>
        <v>0</v>
      </c>
      <c r="M409" s="10">
        <f t="shared" si="448"/>
        <v>6</v>
      </c>
      <c r="N409" s="10">
        <f t="shared" si="448"/>
        <v>0</v>
      </c>
      <c r="O409" s="10">
        <f t="shared" si="448"/>
        <v>0</v>
      </c>
      <c r="P409" s="10">
        <f t="shared" si="448"/>
        <v>2</v>
      </c>
      <c r="Q409" s="13">
        <f t="shared" ref="Q409:Q411" si="449">Q400-(Q400-ROUNDDOWN(Q400,0))+(Q400-ROUNDDOWN(Q400,0))/0.3</f>
        <v>16.333333333333339</v>
      </c>
      <c r="R409" s="10">
        <f t="shared" si="448"/>
        <v>14</v>
      </c>
      <c r="S409" s="9">
        <f>S400*(C9/C4)*(1000/1015)</f>
        <v>7.2315270935960587</v>
      </c>
      <c r="T409" s="9">
        <f>T400*(C9/C4)*(1000/1015)</f>
        <v>6.5083743842364532</v>
      </c>
      <c r="U409" s="11">
        <f t="shared" si="443"/>
        <v>157.26746728563262</v>
      </c>
      <c r="V409" s="11">
        <f t="shared" si="444"/>
        <v>142.2935967302453</v>
      </c>
      <c r="W409" s="3">
        <f t="shared" si="445"/>
        <v>0.62501099113860659</v>
      </c>
    </row>
    <row r="410" spans="2:23" x14ac:dyDescent="0.3">
      <c r="B410" s="10" t="s">
        <v>632</v>
      </c>
      <c r="C410" s="10">
        <v>24</v>
      </c>
      <c r="D410" s="10">
        <v>2018</v>
      </c>
      <c r="E410" s="10" t="s">
        <v>639</v>
      </c>
      <c r="F410" s="10">
        <f t="shared" ref="F410:R410" si="450">F401</f>
        <v>1</v>
      </c>
      <c r="G410" s="10">
        <f t="shared" si="450"/>
        <v>2</v>
      </c>
      <c r="H410" s="10">
        <f t="shared" si="450"/>
        <v>0.33300000000000002</v>
      </c>
      <c r="I410" s="3">
        <f t="shared" si="441"/>
        <v>3.7057978355264711</v>
      </c>
      <c r="J410" s="3">
        <f t="shared" si="442"/>
        <v>3.8602060786734067</v>
      </c>
      <c r="K410" s="10">
        <f t="shared" si="450"/>
        <v>28</v>
      </c>
      <c r="L410" s="10">
        <f t="shared" si="450"/>
        <v>4</v>
      </c>
      <c r="M410" s="10">
        <f t="shared" si="450"/>
        <v>5</v>
      </c>
      <c r="N410" s="10">
        <f t="shared" si="450"/>
        <v>0</v>
      </c>
      <c r="O410" s="10">
        <f t="shared" si="450"/>
        <v>0</v>
      </c>
      <c r="P410" s="10">
        <f t="shared" si="450"/>
        <v>2</v>
      </c>
      <c r="Q410" s="13">
        <f t="shared" si="449"/>
        <v>47</v>
      </c>
      <c r="R410" s="10">
        <f t="shared" si="450"/>
        <v>41</v>
      </c>
      <c r="S410" s="9">
        <f>S401*(C9/C6)*(1000/1135)</f>
        <v>20.158853966405569</v>
      </c>
      <c r="T410" s="9">
        <f>T401*(C9/C6)*(1000/1135)</f>
        <v>19.35249980774935</v>
      </c>
      <c r="U410" s="11">
        <f t="shared" si="443"/>
        <v>152.19394716924009</v>
      </c>
      <c r="V410" s="11">
        <f t="shared" si="444"/>
        <v>146.88334986376023</v>
      </c>
      <c r="W410" s="3">
        <f t="shared" si="445"/>
        <v>1.871074810564936</v>
      </c>
    </row>
    <row r="411" spans="2:23" x14ac:dyDescent="0.3">
      <c r="B411" s="10" t="s">
        <v>632</v>
      </c>
      <c r="C411" s="10">
        <v>24</v>
      </c>
      <c r="D411" s="10">
        <v>2018</v>
      </c>
      <c r="E411" s="10" t="s">
        <v>639</v>
      </c>
      <c r="F411" s="10">
        <f t="shared" ref="F411:R411" si="451">F402</f>
        <v>0</v>
      </c>
      <c r="G411" s="10">
        <f t="shared" si="451"/>
        <v>0</v>
      </c>
      <c r="H411" s="10">
        <f t="shared" si="451"/>
        <v>0</v>
      </c>
      <c r="I411" s="3">
        <f t="shared" si="441"/>
        <v>1.5444201995012472</v>
      </c>
      <c r="J411" s="3">
        <f t="shared" si="442"/>
        <v>1.5444201995012472</v>
      </c>
      <c r="K411" s="10">
        <f t="shared" si="451"/>
        <v>5</v>
      </c>
      <c r="L411" s="10">
        <f t="shared" si="451"/>
        <v>0</v>
      </c>
      <c r="M411" s="10">
        <f t="shared" si="451"/>
        <v>1</v>
      </c>
      <c r="N411" s="10">
        <f t="shared" si="451"/>
        <v>0</v>
      </c>
      <c r="O411" s="10">
        <f t="shared" si="451"/>
        <v>0</v>
      </c>
      <c r="P411" s="10">
        <f t="shared" si="451"/>
        <v>1</v>
      </c>
      <c r="Q411" s="13">
        <f t="shared" si="449"/>
        <v>5.3333333333333321</v>
      </c>
      <c r="R411" s="10">
        <f t="shared" si="451"/>
        <v>6</v>
      </c>
      <c r="S411" s="9">
        <f>S402*(C9/C8)</f>
        <v>0.91521197007481292</v>
      </c>
      <c r="T411" s="9">
        <f>T402*(C9/C8)</f>
        <v>0.91521197007481292</v>
      </c>
      <c r="U411" s="11">
        <f t="shared" si="443"/>
        <v>365.1855888586133</v>
      </c>
      <c r="V411" s="11">
        <f t="shared" si="444"/>
        <v>367.12806539509529</v>
      </c>
      <c r="W411" s="3">
        <f t="shared" si="445"/>
        <v>0.3590702965496757</v>
      </c>
    </row>
    <row r="412" spans="2:23" x14ac:dyDescent="0.3"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</row>
    <row r="413" spans="2:23" x14ac:dyDescent="0.3">
      <c r="B413" s="10" t="s">
        <v>146</v>
      </c>
      <c r="C413" s="10" t="s">
        <v>176</v>
      </c>
      <c r="D413" s="10" t="s">
        <v>173</v>
      </c>
      <c r="E413" s="10" t="s">
        <v>171</v>
      </c>
      <c r="F413" s="10" t="s">
        <v>531</v>
      </c>
      <c r="G413" s="10" t="s">
        <v>532</v>
      </c>
      <c r="H413" s="10" t="s">
        <v>533</v>
      </c>
      <c r="I413" s="10" t="s">
        <v>534</v>
      </c>
      <c r="J413" s="10" t="s">
        <v>535</v>
      </c>
      <c r="K413" s="10" t="s">
        <v>148</v>
      </c>
      <c r="L413" s="10" t="s">
        <v>536</v>
      </c>
      <c r="M413" s="10" t="s">
        <v>537</v>
      </c>
      <c r="N413" s="10" t="s">
        <v>538</v>
      </c>
      <c r="O413" s="10" t="s">
        <v>539</v>
      </c>
      <c r="P413" s="10" t="s">
        <v>540</v>
      </c>
      <c r="Q413" s="10" t="s">
        <v>541</v>
      </c>
      <c r="R413" s="10" t="s">
        <v>152</v>
      </c>
      <c r="S413" s="10" t="s">
        <v>151</v>
      </c>
      <c r="T413" s="10" t="s">
        <v>542</v>
      </c>
    </row>
    <row r="414" spans="2:23" x14ac:dyDescent="0.3">
      <c r="B414" s="5" t="s">
        <v>640</v>
      </c>
      <c r="C414" s="5">
        <v>25</v>
      </c>
      <c r="D414" s="5">
        <v>2016</v>
      </c>
      <c r="E414" s="5" t="s">
        <v>642</v>
      </c>
      <c r="F414" s="5">
        <v>0</v>
      </c>
      <c r="G414" s="5">
        <v>1</v>
      </c>
      <c r="H414" s="5">
        <v>0</v>
      </c>
      <c r="I414" s="5">
        <v>3.6</v>
      </c>
      <c r="J414" s="5">
        <v>3.6</v>
      </c>
      <c r="K414" s="5">
        <v>3</v>
      </c>
      <c r="L414" s="5">
        <v>0</v>
      </c>
      <c r="M414" s="5">
        <v>2</v>
      </c>
      <c r="N414" s="5">
        <v>0</v>
      </c>
      <c r="O414" s="5">
        <v>0</v>
      </c>
      <c r="P414" s="5">
        <v>0</v>
      </c>
      <c r="Q414" s="5">
        <v>5</v>
      </c>
      <c r="R414" s="5">
        <v>5</v>
      </c>
      <c r="S414" s="5">
        <v>2</v>
      </c>
      <c r="T414" s="5">
        <v>2</v>
      </c>
    </row>
    <row r="415" spans="2:23" x14ac:dyDescent="0.3">
      <c r="B415" s="10" t="s">
        <v>640</v>
      </c>
      <c r="C415" s="5">
        <v>25</v>
      </c>
      <c r="D415" s="5">
        <v>2016</v>
      </c>
      <c r="E415" s="5" t="s">
        <v>643</v>
      </c>
      <c r="F415" s="5">
        <v>6</v>
      </c>
      <c r="G415" s="5">
        <v>8</v>
      </c>
      <c r="H415" s="5">
        <v>0.42899999999999999</v>
      </c>
      <c r="I415" s="5">
        <v>4.1900000000000004</v>
      </c>
      <c r="J415" s="5">
        <v>4.88</v>
      </c>
      <c r="K415" s="5">
        <v>25</v>
      </c>
      <c r="L415" s="5">
        <v>18</v>
      </c>
      <c r="M415" s="5">
        <v>2</v>
      </c>
      <c r="N415" s="5">
        <v>1</v>
      </c>
      <c r="O415" s="5">
        <v>0</v>
      </c>
      <c r="P415" s="5">
        <v>0</v>
      </c>
      <c r="Q415" s="5">
        <v>131</v>
      </c>
      <c r="R415" s="5">
        <v>134</v>
      </c>
      <c r="S415" s="5">
        <v>71</v>
      </c>
      <c r="T415" s="5">
        <v>61</v>
      </c>
    </row>
    <row r="416" spans="2:23" x14ac:dyDescent="0.3">
      <c r="B416" s="10" t="s">
        <v>640</v>
      </c>
      <c r="C416" s="5">
        <v>26</v>
      </c>
      <c r="D416" s="5">
        <v>2017</v>
      </c>
      <c r="E416" s="5" t="s">
        <v>644</v>
      </c>
      <c r="F416" s="5">
        <v>0</v>
      </c>
      <c r="G416" s="5">
        <v>0</v>
      </c>
      <c r="I416" s="5">
        <v>108</v>
      </c>
      <c r="J416" s="5">
        <v>108</v>
      </c>
      <c r="K416" s="5">
        <v>1</v>
      </c>
      <c r="L416" s="5">
        <v>0</v>
      </c>
      <c r="M416" s="5">
        <v>0</v>
      </c>
      <c r="N416" s="5">
        <v>0</v>
      </c>
      <c r="O416" s="5">
        <v>0</v>
      </c>
      <c r="P416" s="5">
        <v>0</v>
      </c>
      <c r="Q416" s="5">
        <v>0.1</v>
      </c>
      <c r="R416" s="5">
        <v>3</v>
      </c>
      <c r="S416" s="5">
        <v>4</v>
      </c>
      <c r="T416" s="5">
        <v>4</v>
      </c>
    </row>
    <row r="417" spans="2:23" x14ac:dyDescent="0.3">
      <c r="B417" s="10" t="s">
        <v>640</v>
      </c>
      <c r="C417" s="5">
        <v>26</v>
      </c>
      <c r="D417" s="5">
        <v>2017</v>
      </c>
      <c r="E417" s="5" t="s">
        <v>645</v>
      </c>
      <c r="F417" s="5">
        <v>2</v>
      </c>
      <c r="G417" s="5">
        <v>7</v>
      </c>
      <c r="H417" s="5">
        <v>0.222</v>
      </c>
      <c r="I417" s="5">
        <v>5.43</v>
      </c>
      <c r="J417" s="5">
        <v>5.43</v>
      </c>
      <c r="K417" s="5">
        <v>15</v>
      </c>
      <c r="L417" s="5">
        <v>11</v>
      </c>
      <c r="M417" s="5">
        <v>1</v>
      </c>
      <c r="N417" s="5">
        <v>0</v>
      </c>
      <c r="O417" s="5">
        <v>0</v>
      </c>
      <c r="P417" s="5">
        <v>0</v>
      </c>
      <c r="Q417" s="5">
        <v>59.2</v>
      </c>
      <c r="R417" s="5">
        <v>48</v>
      </c>
      <c r="S417" s="5">
        <v>36</v>
      </c>
      <c r="T417" s="5">
        <v>36</v>
      </c>
    </row>
    <row r="418" spans="2:23" x14ac:dyDescent="0.3">
      <c r="B418" s="10" t="s">
        <v>640</v>
      </c>
      <c r="C418" s="10">
        <v>26</v>
      </c>
      <c r="D418" s="10">
        <v>2017</v>
      </c>
      <c r="E418" s="5" t="s">
        <v>637</v>
      </c>
      <c r="F418" s="5">
        <v>2</v>
      </c>
      <c r="G418" s="5">
        <v>4</v>
      </c>
      <c r="H418" s="5">
        <v>0.33300000000000002</v>
      </c>
      <c r="I418" s="5">
        <v>4.0599999999999996</v>
      </c>
      <c r="J418" s="5">
        <v>5.28</v>
      </c>
      <c r="K418" s="5">
        <v>9</v>
      </c>
      <c r="L418" s="5">
        <v>9</v>
      </c>
      <c r="M418" s="5">
        <v>0</v>
      </c>
      <c r="N418" s="5">
        <v>0</v>
      </c>
      <c r="O418" s="5">
        <v>0</v>
      </c>
      <c r="P418" s="5">
        <v>0</v>
      </c>
      <c r="Q418" s="5">
        <v>44.1</v>
      </c>
      <c r="R418" s="5">
        <v>50</v>
      </c>
      <c r="S418" s="5">
        <v>26</v>
      </c>
      <c r="T418" s="5">
        <v>20</v>
      </c>
    </row>
    <row r="419" spans="2:23" x14ac:dyDescent="0.3">
      <c r="B419" s="10" t="s">
        <v>640</v>
      </c>
      <c r="C419" s="5">
        <v>27</v>
      </c>
      <c r="D419" s="5">
        <v>2018</v>
      </c>
      <c r="E419" s="5" t="s">
        <v>644</v>
      </c>
      <c r="F419" s="5">
        <v>0</v>
      </c>
      <c r="G419" s="5">
        <v>2</v>
      </c>
      <c r="H419" s="5">
        <v>0</v>
      </c>
      <c r="I419" s="5">
        <v>7.41</v>
      </c>
      <c r="J419" s="5">
        <v>7.41</v>
      </c>
      <c r="K419" s="5">
        <v>9</v>
      </c>
      <c r="L419" s="5">
        <v>1</v>
      </c>
      <c r="M419" s="5">
        <v>3</v>
      </c>
      <c r="N419" s="5">
        <v>0</v>
      </c>
      <c r="O419" s="5">
        <v>0</v>
      </c>
      <c r="P419" s="5">
        <v>0</v>
      </c>
      <c r="Q419" s="5">
        <v>17</v>
      </c>
      <c r="R419" s="5">
        <v>20</v>
      </c>
      <c r="S419" s="5">
        <v>14</v>
      </c>
      <c r="T419" s="5">
        <v>14</v>
      </c>
    </row>
    <row r="420" spans="2:23" x14ac:dyDescent="0.3">
      <c r="B420" s="10" t="s">
        <v>640</v>
      </c>
      <c r="C420" s="5">
        <v>27</v>
      </c>
      <c r="D420" s="5">
        <v>2018</v>
      </c>
      <c r="E420" s="5" t="s">
        <v>643</v>
      </c>
      <c r="F420" s="5">
        <v>10</v>
      </c>
      <c r="G420" s="5">
        <v>7</v>
      </c>
      <c r="H420" s="5">
        <v>0.58799999999999997</v>
      </c>
      <c r="I420" s="5">
        <v>3.39</v>
      </c>
      <c r="J420" s="5">
        <v>3.92</v>
      </c>
      <c r="K420" s="5">
        <v>23</v>
      </c>
      <c r="L420" s="5">
        <v>23</v>
      </c>
      <c r="M420" s="5">
        <v>0</v>
      </c>
      <c r="N420" s="5">
        <v>0</v>
      </c>
      <c r="O420" s="5">
        <v>0</v>
      </c>
      <c r="P420" s="5">
        <v>0</v>
      </c>
      <c r="Q420" s="5">
        <v>135.1</v>
      </c>
      <c r="R420" s="5">
        <v>120</v>
      </c>
      <c r="S420" s="5">
        <v>59</v>
      </c>
      <c r="T420" s="5">
        <v>51</v>
      </c>
    </row>
    <row r="422" spans="2:23" x14ac:dyDescent="0.3">
      <c r="B422" s="10" t="s">
        <v>146</v>
      </c>
      <c r="C422" s="10" t="s">
        <v>176</v>
      </c>
      <c r="D422" s="10" t="s">
        <v>173</v>
      </c>
      <c r="E422" s="10" t="s">
        <v>171</v>
      </c>
      <c r="F422" s="10" t="s">
        <v>531</v>
      </c>
      <c r="G422" s="10" t="s">
        <v>532</v>
      </c>
      <c r="H422" s="10" t="s">
        <v>533</v>
      </c>
      <c r="I422" s="10" t="s">
        <v>534</v>
      </c>
      <c r="J422" s="10" t="s">
        <v>535</v>
      </c>
      <c r="K422" s="10" t="s">
        <v>148</v>
      </c>
      <c r="L422" s="10" t="s">
        <v>536</v>
      </c>
      <c r="M422" s="10" t="s">
        <v>537</v>
      </c>
      <c r="N422" s="10" t="s">
        <v>538</v>
      </c>
      <c r="O422" s="10" t="s">
        <v>539</v>
      </c>
      <c r="P422" s="10" t="s">
        <v>540</v>
      </c>
      <c r="Q422" s="10" t="s">
        <v>541</v>
      </c>
      <c r="R422" s="10" t="s">
        <v>152</v>
      </c>
      <c r="S422" s="10" t="s">
        <v>151</v>
      </c>
      <c r="T422" s="10" t="s">
        <v>542</v>
      </c>
      <c r="U422" s="10" t="s">
        <v>550</v>
      </c>
      <c r="V422" s="10" t="s">
        <v>559</v>
      </c>
      <c r="W422" s="10" t="s">
        <v>549</v>
      </c>
    </row>
    <row r="423" spans="2:23" x14ac:dyDescent="0.3">
      <c r="B423" s="10" t="s">
        <v>640</v>
      </c>
      <c r="C423" s="10">
        <v>25</v>
      </c>
      <c r="D423" s="10">
        <v>2016</v>
      </c>
      <c r="E423" s="5" t="s">
        <v>646</v>
      </c>
      <c r="F423" s="5">
        <f>F414</f>
        <v>0</v>
      </c>
      <c r="G423" s="10">
        <f t="shared" ref="G423:R423" si="452">G414</f>
        <v>1</v>
      </c>
      <c r="H423" s="10">
        <f t="shared" si="452"/>
        <v>0</v>
      </c>
      <c r="I423" s="3">
        <f t="shared" ref="I423" si="453">T423*9/Q423</f>
        <v>2.0756451042771298</v>
      </c>
      <c r="J423" s="3">
        <f t="shared" ref="J423" si="454">S423*9/Q423</f>
        <v>2.0756451042771298</v>
      </c>
      <c r="K423" s="10">
        <f t="shared" si="452"/>
        <v>3</v>
      </c>
      <c r="L423" s="10">
        <f t="shared" si="452"/>
        <v>0</v>
      </c>
      <c r="M423" s="10">
        <f t="shared" si="452"/>
        <v>2</v>
      </c>
      <c r="N423" s="10">
        <f t="shared" si="452"/>
        <v>0</v>
      </c>
      <c r="O423" s="10">
        <f t="shared" si="452"/>
        <v>0</v>
      </c>
      <c r="P423" s="10">
        <f t="shared" si="452"/>
        <v>0</v>
      </c>
      <c r="Q423" s="13">
        <f t="shared" ref="Q423:Q425" si="455">Q414-(Q414-ROUNDDOWN(Q414,0))+(Q414-ROUNDDOWN(Q414,0))/0.3</f>
        <v>5</v>
      </c>
      <c r="R423" s="10">
        <f t="shared" si="452"/>
        <v>5</v>
      </c>
      <c r="S423" s="9">
        <f>S414*(C9/C3)*(1000/1150)</f>
        <v>1.1531361690428499</v>
      </c>
      <c r="T423" s="9">
        <f>T414*(C9/C3)*(1000/1150)</f>
        <v>1.1531361690428499</v>
      </c>
      <c r="U423" s="11">
        <f t="shared" ref="U423" si="456">IFERROR(VLOOKUP(D423,$F$2:$AG$5,MATCH($U$173,$F$2:$AG$2,0),0)/I423*100,"-")</f>
        <v>250.04274523160763</v>
      </c>
      <c r="V423" s="11">
        <f t="shared" ref="V423" si="457">VLOOKUP(D423,$F$2:$AG$5,26,0)/J423*100</f>
        <v>271.7227520435967</v>
      </c>
      <c r="W423" s="3">
        <f t="shared" ref="W423" si="458">(V423^2/(V423^2+100^2)-0.325)/9*Q423</f>
        <v>0.30873088491824735</v>
      </c>
    </row>
    <row r="424" spans="2:23" x14ac:dyDescent="0.3">
      <c r="B424" s="10" t="s">
        <v>640</v>
      </c>
      <c r="C424" s="10">
        <v>25</v>
      </c>
      <c r="D424" s="10">
        <v>2016</v>
      </c>
      <c r="E424" s="10" t="s">
        <v>646</v>
      </c>
      <c r="F424" s="10">
        <f t="shared" ref="F424:R424" si="459">F415</f>
        <v>6</v>
      </c>
      <c r="G424" s="10">
        <f t="shared" si="459"/>
        <v>8</v>
      </c>
      <c r="H424" s="10">
        <f t="shared" si="459"/>
        <v>0.42899999999999999</v>
      </c>
      <c r="I424" s="3">
        <f t="shared" ref="I424:I429" si="460">T424*9/Q424</f>
        <v>4.1918105499609757</v>
      </c>
      <c r="J424" s="3">
        <f t="shared" ref="J424:J429" si="461">S424*9/Q424</f>
        <v>4.8789926073316279</v>
      </c>
      <c r="K424" s="10">
        <f t="shared" si="459"/>
        <v>25</v>
      </c>
      <c r="L424" s="10">
        <f t="shared" si="459"/>
        <v>18</v>
      </c>
      <c r="M424" s="10">
        <f t="shared" si="459"/>
        <v>2</v>
      </c>
      <c r="N424" s="10">
        <f t="shared" si="459"/>
        <v>1</v>
      </c>
      <c r="O424" s="10">
        <f t="shared" si="459"/>
        <v>0</v>
      </c>
      <c r="P424" s="10">
        <f t="shared" si="459"/>
        <v>0</v>
      </c>
      <c r="Q424" s="13">
        <f t="shared" si="455"/>
        <v>131</v>
      </c>
      <c r="R424" s="10">
        <f t="shared" si="459"/>
        <v>134</v>
      </c>
      <c r="S424" s="9">
        <f>S415*(C9/C6)*(1000/915)</f>
        <v>71.016447951160359</v>
      </c>
      <c r="T424" s="9">
        <f>T415*(C9/C6)*(1000/915)</f>
        <v>61.014131338320873</v>
      </c>
      <c r="U424" s="11">
        <f t="shared" ref="U424:U429" si="462">IFERROR(VLOOKUP(D424,$F$2:$AG$5,MATCH($U$173,$F$2:$AG$2,0),0)/I424*100,"-")</f>
        <v>123.81284741144414</v>
      </c>
      <c r="V424" s="11">
        <f t="shared" ref="V424:V429" si="463">VLOOKUP(D424,$F$2:$AG$5,26,0)/J424*100</f>
        <v>115.59763364930727</v>
      </c>
      <c r="W424" s="3">
        <f t="shared" ref="W424:W429" si="464">(V424^2/(V424^2+100^2)-0.325)/9*Q424</f>
        <v>3.59477609051459</v>
      </c>
    </row>
    <row r="425" spans="2:23" x14ac:dyDescent="0.3">
      <c r="B425" s="10" t="s">
        <v>640</v>
      </c>
      <c r="C425" s="10">
        <v>26</v>
      </c>
      <c r="D425" s="10">
        <v>2017</v>
      </c>
      <c r="E425" s="10" t="s">
        <v>646</v>
      </c>
      <c r="F425" s="10">
        <f t="shared" ref="F425:R425" si="465">F416</f>
        <v>0</v>
      </c>
      <c r="G425" s="10">
        <f t="shared" si="465"/>
        <v>0</v>
      </c>
      <c r="H425" s="10">
        <f t="shared" si="465"/>
        <v>0</v>
      </c>
      <c r="I425" s="3">
        <f t="shared" si="460"/>
        <v>68.855534709193236</v>
      </c>
      <c r="J425" s="3">
        <f t="shared" si="461"/>
        <v>68.855534709193236</v>
      </c>
      <c r="K425" s="10">
        <f t="shared" si="465"/>
        <v>1</v>
      </c>
      <c r="L425" s="10">
        <f t="shared" si="465"/>
        <v>0</v>
      </c>
      <c r="M425" s="10">
        <f t="shared" si="465"/>
        <v>0</v>
      </c>
      <c r="N425" s="10">
        <f t="shared" si="465"/>
        <v>0</v>
      </c>
      <c r="O425" s="10">
        <f t="shared" si="465"/>
        <v>0</v>
      </c>
      <c r="P425" s="10">
        <f t="shared" si="465"/>
        <v>0</v>
      </c>
      <c r="Q425" s="13">
        <f t="shared" si="455"/>
        <v>0.33333333333333337</v>
      </c>
      <c r="R425" s="10">
        <f t="shared" si="465"/>
        <v>3</v>
      </c>
      <c r="S425" s="9">
        <f>S416*(C9/C3)*(1000/1040)</f>
        <v>2.5502049892293797</v>
      </c>
      <c r="T425" s="9">
        <f>T416*(C9/C3)*(1000/1040)</f>
        <v>2.5502049892293797</v>
      </c>
      <c r="U425" s="11">
        <f t="shared" si="462"/>
        <v>7.2325340599455057</v>
      </c>
      <c r="V425" s="11">
        <f t="shared" si="463"/>
        <v>7.8570299727520441</v>
      </c>
      <c r="W425" s="3">
        <f t="shared" si="464"/>
        <v>-1.180979939692518E-2</v>
      </c>
    </row>
    <row r="426" spans="2:23" x14ac:dyDescent="0.3">
      <c r="B426" s="10" t="s">
        <v>640</v>
      </c>
      <c r="C426" s="10">
        <v>26</v>
      </c>
      <c r="D426" s="10">
        <v>2017</v>
      </c>
      <c r="E426" s="10" t="s">
        <v>646</v>
      </c>
      <c r="F426" s="10">
        <f t="shared" ref="F426:R426" si="466">F417</f>
        <v>2</v>
      </c>
      <c r="G426" s="10">
        <f t="shared" si="466"/>
        <v>7</v>
      </c>
      <c r="H426" s="10">
        <f t="shared" si="466"/>
        <v>0.222</v>
      </c>
      <c r="I426" s="3">
        <f t="shared" si="460"/>
        <v>5.6474481647582397</v>
      </c>
      <c r="J426" s="3">
        <f t="shared" si="461"/>
        <v>5.6474481647582397</v>
      </c>
      <c r="K426" s="10">
        <f t="shared" si="466"/>
        <v>15</v>
      </c>
      <c r="L426" s="10">
        <f t="shared" si="466"/>
        <v>11</v>
      </c>
      <c r="M426" s="10">
        <f t="shared" si="466"/>
        <v>1</v>
      </c>
      <c r="N426" s="10">
        <f t="shared" si="466"/>
        <v>0</v>
      </c>
      <c r="O426" s="10">
        <f t="shared" si="466"/>
        <v>0</v>
      </c>
      <c r="P426" s="10">
        <f t="shared" si="466"/>
        <v>0</v>
      </c>
      <c r="Q426" s="13">
        <f t="shared" ref="Q426:Q429" si="467">Q417-(Q417-ROUNDDOWN(Q417,0))+(Q417-ROUNDDOWN(Q417,0))/0.3</f>
        <v>59.666666666666679</v>
      </c>
      <c r="R426" s="10">
        <f t="shared" si="466"/>
        <v>48</v>
      </c>
      <c r="S426" s="9">
        <f>S417*(C9/C6)*(1000/880)</f>
        <v>37.440489684878713</v>
      </c>
      <c r="T426" s="9">
        <f>T417*(C9/C6)*(1000/880)</f>
        <v>37.440489684878713</v>
      </c>
      <c r="U426" s="11">
        <f t="shared" si="462"/>
        <v>88.181420257678241</v>
      </c>
      <c r="V426" s="11">
        <f t="shared" si="463"/>
        <v>95.795478633341219</v>
      </c>
      <c r="W426" s="3">
        <f t="shared" si="464"/>
        <v>1.0178858242005331</v>
      </c>
    </row>
    <row r="427" spans="2:23" x14ac:dyDescent="0.3">
      <c r="B427" s="10" t="s">
        <v>640</v>
      </c>
      <c r="C427" s="10">
        <v>26</v>
      </c>
      <c r="D427" s="10">
        <v>2017</v>
      </c>
      <c r="E427" s="10" t="s">
        <v>646</v>
      </c>
      <c r="F427" s="10">
        <f t="shared" ref="F427:R427" si="468">F418</f>
        <v>2</v>
      </c>
      <c r="G427" s="10">
        <f t="shared" si="468"/>
        <v>4</v>
      </c>
      <c r="H427" s="10">
        <f t="shared" si="468"/>
        <v>0.33300000000000002</v>
      </c>
      <c r="I427" s="3">
        <f t="shared" si="460"/>
        <v>3.5971909238759943</v>
      </c>
      <c r="J427" s="3">
        <f t="shared" si="461"/>
        <v>4.6763482010387927</v>
      </c>
      <c r="K427" s="10">
        <f t="shared" si="468"/>
        <v>9</v>
      </c>
      <c r="L427" s="10">
        <f t="shared" si="468"/>
        <v>9</v>
      </c>
      <c r="M427" s="10">
        <f t="shared" si="468"/>
        <v>0</v>
      </c>
      <c r="N427" s="10">
        <f t="shared" si="468"/>
        <v>0</v>
      </c>
      <c r="O427" s="10">
        <f t="shared" si="468"/>
        <v>0</v>
      </c>
      <c r="P427" s="10">
        <f t="shared" si="468"/>
        <v>0</v>
      </c>
      <c r="Q427" s="13">
        <f t="shared" si="467"/>
        <v>44.333333333333336</v>
      </c>
      <c r="R427" s="10">
        <f t="shared" si="468"/>
        <v>50</v>
      </c>
      <c r="S427" s="9">
        <f>S418*(C9/C6)*(1000/1033)</f>
        <v>23.035344842154053</v>
      </c>
      <c r="T427" s="9">
        <f>T418*(C9/C6)*(1000/1033)</f>
        <v>17.719496032426193</v>
      </c>
      <c r="U427" s="11">
        <f t="shared" si="462"/>
        <v>138.44135897668787</v>
      </c>
      <c r="V427" s="11">
        <f t="shared" si="463"/>
        <v>115.68856225886334</v>
      </c>
      <c r="W427" s="3">
        <f t="shared" si="464"/>
        <v>1.2184489793831175</v>
      </c>
    </row>
    <row r="428" spans="2:23" x14ac:dyDescent="0.3">
      <c r="B428" s="10" t="s">
        <v>640</v>
      </c>
      <c r="C428" s="10">
        <v>27</v>
      </c>
      <c r="D428" s="10">
        <v>2018</v>
      </c>
      <c r="E428" s="10" t="s">
        <v>646</v>
      </c>
      <c r="F428" s="10">
        <f t="shared" ref="F428:R428" si="469">F419</f>
        <v>0</v>
      </c>
      <c r="G428" s="10">
        <f t="shared" si="469"/>
        <v>2</v>
      </c>
      <c r="H428" s="10">
        <f t="shared" si="469"/>
        <v>0</v>
      </c>
      <c r="I428" s="3">
        <f t="shared" si="460"/>
        <v>4.6362217229275515</v>
      </c>
      <c r="J428" s="3">
        <f t="shared" si="461"/>
        <v>4.6362217229275515</v>
      </c>
      <c r="K428" s="10">
        <f t="shared" si="469"/>
        <v>9</v>
      </c>
      <c r="L428" s="10">
        <f t="shared" si="469"/>
        <v>1</v>
      </c>
      <c r="M428" s="10">
        <f t="shared" si="469"/>
        <v>3</v>
      </c>
      <c r="N428" s="10">
        <f t="shared" si="469"/>
        <v>0</v>
      </c>
      <c r="O428" s="10">
        <f t="shared" si="469"/>
        <v>0</v>
      </c>
      <c r="P428" s="10">
        <f t="shared" si="469"/>
        <v>0</v>
      </c>
      <c r="Q428" s="13">
        <f t="shared" si="467"/>
        <v>17</v>
      </c>
      <c r="R428" s="10">
        <f t="shared" si="469"/>
        <v>20</v>
      </c>
      <c r="S428" s="9">
        <f>S419*(C9/C3)*(1000/1060)</f>
        <v>8.7573076988631531</v>
      </c>
      <c r="T428" s="9">
        <f>T419*(C9/C3)*(1000/1060)</f>
        <v>8.7573076988631531</v>
      </c>
      <c r="U428" s="11">
        <f t="shared" si="462"/>
        <v>121.65078240560527</v>
      </c>
      <c r="V428" s="11">
        <f t="shared" si="463"/>
        <v>122.29786103542233</v>
      </c>
      <c r="W428" s="3">
        <f t="shared" si="464"/>
        <v>0.5181355780263055</v>
      </c>
    </row>
    <row r="429" spans="2:23" x14ac:dyDescent="0.3">
      <c r="B429" s="10" t="s">
        <v>640</v>
      </c>
      <c r="C429" s="10">
        <v>27</v>
      </c>
      <c r="D429" s="10">
        <v>2018</v>
      </c>
      <c r="E429" s="10" t="s">
        <v>646</v>
      </c>
      <c r="F429" s="10">
        <f t="shared" ref="F429:R429" si="470">F420</f>
        <v>10</v>
      </c>
      <c r="G429" s="10">
        <f t="shared" si="470"/>
        <v>7</v>
      </c>
      <c r="H429" s="10">
        <f t="shared" si="470"/>
        <v>0.58799999999999997</v>
      </c>
      <c r="I429" s="3">
        <f t="shared" si="460"/>
        <v>3.1040563615591563</v>
      </c>
      <c r="J429" s="3">
        <f t="shared" si="461"/>
        <v>3.5909671633723574</v>
      </c>
      <c r="K429" s="10">
        <f t="shared" si="470"/>
        <v>23</v>
      </c>
      <c r="L429" s="10">
        <f t="shared" si="470"/>
        <v>23</v>
      </c>
      <c r="M429" s="10">
        <f t="shared" si="470"/>
        <v>0</v>
      </c>
      <c r="N429" s="10">
        <f t="shared" si="470"/>
        <v>0</v>
      </c>
      <c r="O429" s="10">
        <f t="shared" si="470"/>
        <v>0</v>
      </c>
      <c r="P429" s="10">
        <f t="shared" si="470"/>
        <v>0</v>
      </c>
      <c r="Q429" s="13">
        <f t="shared" si="467"/>
        <v>135.33333333333331</v>
      </c>
      <c r="R429" s="10">
        <f t="shared" si="470"/>
        <v>120</v>
      </c>
      <c r="S429" s="9">
        <f>S420*(C9/C6)</f>
        <v>53.997506234413962</v>
      </c>
      <c r="T429" s="9">
        <f>T420*(C9/C6)</f>
        <v>46.67581047381546</v>
      </c>
      <c r="U429" s="11">
        <f t="shared" si="462"/>
        <v>181.69773171151596</v>
      </c>
      <c r="V429" s="11">
        <f t="shared" si="463"/>
        <v>157.89618066780585</v>
      </c>
      <c r="W429" s="3">
        <f t="shared" si="464"/>
        <v>5.84524225582875</v>
      </c>
    </row>
    <row r="431" spans="2:23" x14ac:dyDescent="0.3">
      <c r="B431" s="10" t="s">
        <v>146</v>
      </c>
      <c r="C431" s="10" t="s">
        <v>176</v>
      </c>
      <c r="D431" s="10" t="s">
        <v>173</v>
      </c>
      <c r="E431" s="10" t="s">
        <v>171</v>
      </c>
      <c r="F431" s="10" t="s">
        <v>531</v>
      </c>
      <c r="G431" s="10" t="s">
        <v>532</v>
      </c>
      <c r="H431" s="10" t="s">
        <v>533</v>
      </c>
      <c r="I431" s="10" t="s">
        <v>534</v>
      </c>
      <c r="J431" s="10" t="s">
        <v>535</v>
      </c>
      <c r="K431" s="10" t="s">
        <v>148</v>
      </c>
      <c r="L431" s="10" t="s">
        <v>536</v>
      </c>
      <c r="M431" s="10" t="s">
        <v>537</v>
      </c>
      <c r="N431" s="10" t="s">
        <v>538</v>
      </c>
      <c r="O431" s="10" t="s">
        <v>539</v>
      </c>
      <c r="P431" s="10" t="s">
        <v>540</v>
      </c>
      <c r="Q431" s="10" t="s">
        <v>541</v>
      </c>
      <c r="R431" s="10" t="s">
        <v>152</v>
      </c>
      <c r="S431" s="10" t="s">
        <v>151</v>
      </c>
      <c r="T431" s="10" t="s">
        <v>542</v>
      </c>
    </row>
    <row r="432" spans="2:23" x14ac:dyDescent="0.3">
      <c r="B432" s="5" t="s">
        <v>648</v>
      </c>
      <c r="C432" s="5">
        <v>23</v>
      </c>
      <c r="D432" s="5">
        <v>2016</v>
      </c>
      <c r="E432" s="5" t="s">
        <v>649</v>
      </c>
      <c r="F432" s="5">
        <v>1</v>
      </c>
      <c r="G432" s="5">
        <v>3</v>
      </c>
      <c r="H432" s="5">
        <v>0.25</v>
      </c>
      <c r="I432" s="5">
        <v>7.25</v>
      </c>
      <c r="J432" s="5">
        <v>7.25</v>
      </c>
      <c r="K432" s="5">
        <v>5</v>
      </c>
      <c r="L432" s="5">
        <v>5</v>
      </c>
      <c r="M432" s="5">
        <v>0</v>
      </c>
      <c r="N432" s="5">
        <v>0</v>
      </c>
      <c r="O432" s="5">
        <v>0</v>
      </c>
      <c r="P432" s="5">
        <v>0</v>
      </c>
      <c r="Q432" s="5">
        <v>22.1</v>
      </c>
      <c r="R432" s="5">
        <v>31</v>
      </c>
      <c r="S432" s="5">
        <v>18</v>
      </c>
      <c r="T432" s="5">
        <v>18</v>
      </c>
    </row>
    <row r="433" spans="2:23" x14ac:dyDescent="0.3">
      <c r="B433" s="10" t="s">
        <v>648</v>
      </c>
      <c r="C433" s="10">
        <v>23</v>
      </c>
      <c r="D433" s="10">
        <v>2016</v>
      </c>
      <c r="E433" s="5" t="s">
        <v>650</v>
      </c>
      <c r="F433" s="5">
        <v>4</v>
      </c>
      <c r="G433" s="5">
        <v>0</v>
      </c>
      <c r="H433" s="5">
        <v>1</v>
      </c>
      <c r="I433" s="5">
        <v>1.18</v>
      </c>
      <c r="J433" s="5">
        <v>1.38</v>
      </c>
      <c r="K433" s="5">
        <v>8</v>
      </c>
      <c r="L433" s="5">
        <v>8</v>
      </c>
      <c r="M433" s="5">
        <v>0</v>
      </c>
      <c r="N433" s="5">
        <v>0</v>
      </c>
      <c r="O433" s="5">
        <v>0</v>
      </c>
      <c r="P433" s="5">
        <v>0</v>
      </c>
      <c r="Q433" s="5">
        <v>45.2</v>
      </c>
      <c r="R433" s="5">
        <v>38</v>
      </c>
      <c r="S433" s="5">
        <v>7</v>
      </c>
      <c r="T433" s="5">
        <v>6</v>
      </c>
    </row>
    <row r="434" spans="2:23" x14ac:dyDescent="0.3">
      <c r="B434" s="10" t="s">
        <v>648</v>
      </c>
      <c r="C434" s="10">
        <v>23</v>
      </c>
      <c r="D434" s="10">
        <v>2016</v>
      </c>
      <c r="E434" s="5" t="s">
        <v>651</v>
      </c>
      <c r="F434" s="5">
        <v>5</v>
      </c>
      <c r="G434" s="5">
        <v>6</v>
      </c>
      <c r="H434" s="5">
        <v>0.45500000000000002</v>
      </c>
      <c r="I434" s="5">
        <v>4.8</v>
      </c>
      <c r="J434" s="5">
        <v>5.2</v>
      </c>
      <c r="K434" s="5">
        <v>17</v>
      </c>
      <c r="L434" s="5">
        <v>17</v>
      </c>
      <c r="M434" s="5">
        <v>0</v>
      </c>
      <c r="N434" s="5">
        <v>0</v>
      </c>
      <c r="O434" s="5">
        <v>0</v>
      </c>
      <c r="P434" s="5">
        <v>0</v>
      </c>
      <c r="Q434" s="5">
        <v>90</v>
      </c>
      <c r="R434" s="5">
        <v>100</v>
      </c>
      <c r="S434" s="5">
        <v>52</v>
      </c>
      <c r="T434" s="5">
        <v>48</v>
      </c>
    </row>
    <row r="435" spans="2:23" x14ac:dyDescent="0.3">
      <c r="B435" s="10" t="s">
        <v>648</v>
      </c>
      <c r="C435" s="5">
        <v>24</v>
      </c>
      <c r="D435" s="5">
        <v>2017</v>
      </c>
      <c r="E435" s="5" t="s">
        <v>652</v>
      </c>
      <c r="F435" s="5">
        <v>1</v>
      </c>
      <c r="G435" s="5">
        <v>2</v>
      </c>
      <c r="H435" s="5">
        <v>0.33300000000000002</v>
      </c>
      <c r="I435" s="5">
        <v>7.13</v>
      </c>
      <c r="J435" s="5">
        <v>7.88</v>
      </c>
      <c r="K435" s="5">
        <v>8</v>
      </c>
      <c r="L435" s="5">
        <v>4</v>
      </c>
      <c r="M435" s="5">
        <v>2</v>
      </c>
      <c r="N435" s="5">
        <v>0</v>
      </c>
      <c r="O435" s="5">
        <v>0</v>
      </c>
      <c r="P435" s="5">
        <v>0</v>
      </c>
      <c r="Q435" s="5">
        <v>24</v>
      </c>
      <c r="R435" s="5">
        <v>22</v>
      </c>
      <c r="S435" s="5">
        <v>21</v>
      </c>
      <c r="T435" s="5">
        <v>19</v>
      </c>
    </row>
    <row r="436" spans="2:23" x14ac:dyDescent="0.3">
      <c r="B436" s="10" t="s">
        <v>648</v>
      </c>
      <c r="C436" s="5">
        <v>24</v>
      </c>
      <c r="D436" s="5">
        <v>2017</v>
      </c>
      <c r="E436" s="5" t="s">
        <v>650</v>
      </c>
      <c r="F436" s="5">
        <v>1</v>
      </c>
      <c r="G436" s="5">
        <v>2</v>
      </c>
      <c r="H436" s="5">
        <v>0.33300000000000002</v>
      </c>
      <c r="I436" s="5">
        <v>2.67</v>
      </c>
      <c r="J436" s="5">
        <v>2.67</v>
      </c>
      <c r="K436" s="5">
        <v>18</v>
      </c>
      <c r="L436" s="5">
        <v>3</v>
      </c>
      <c r="M436" s="5">
        <v>7</v>
      </c>
      <c r="N436" s="5">
        <v>0</v>
      </c>
      <c r="O436" s="5">
        <v>0</v>
      </c>
      <c r="P436" s="5">
        <v>4</v>
      </c>
      <c r="Q436" s="5">
        <v>33.200000000000003</v>
      </c>
      <c r="R436" s="5">
        <v>36</v>
      </c>
      <c r="S436" s="5">
        <v>10</v>
      </c>
      <c r="T436" s="5">
        <v>10</v>
      </c>
    </row>
    <row r="437" spans="2:23" x14ac:dyDescent="0.3">
      <c r="B437" s="10" t="s">
        <v>648</v>
      </c>
      <c r="C437" s="5">
        <v>25</v>
      </c>
      <c r="D437" s="5">
        <v>2018</v>
      </c>
      <c r="E437" s="5" t="s">
        <v>650</v>
      </c>
      <c r="F437" s="5">
        <v>5</v>
      </c>
      <c r="G437" s="5">
        <v>7</v>
      </c>
      <c r="H437" s="5">
        <v>0.41699999999999998</v>
      </c>
      <c r="I437" s="5">
        <v>5.29</v>
      </c>
      <c r="J437" s="5">
        <v>5.83</v>
      </c>
      <c r="K437" s="5">
        <v>32</v>
      </c>
      <c r="L437" s="5">
        <v>10</v>
      </c>
      <c r="M437" s="5">
        <v>9</v>
      </c>
      <c r="N437" s="5">
        <v>0</v>
      </c>
      <c r="O437" s="5">
        <v>0</v>
      </c>
      <c r="P437" s="5">
        <v>5</v>
      </c>
      <c r="Q437" s="5">
        <v>83.1</v>
      </c>
      <c r="R437" s="5">
        <v>100</v>
      </c>
      <c r="S437" s="5">
        <v>54</v>
      </c>
      <c r="T437" s="5">
        <v>49</v>
      </c>
    </row>
    <row r="439" spans="2:23" x14ac:dyDescent="0.3">
      <c r="B439" s="10" t="s">
        <v>146</v>
      </c>
      <c r="C439" s="10" t="s">
        <v>176</v>
      </c>
      <c r="D439" s="10" t="s">
        <v>173</v>
      </c>
      <c r="E439" s="10" t="s">
        <v>171</v>
      </c>
      <c r="F439" s="10" t="s">
        <v>531</v>
      </c>
      <c r="G439" s="10" t="s">
        <v>532</v>
      </c>
      <c r="H439" s="10" t="s">
        <v>533</v>
      </c>
      <c r="I439" s="10" t="s">
        <v>534</v>
      </c>
      <c r="J439" s="10" t="s">
        <v>535</v>
      </c>
      <c r="K439" s="10" t="s">
        <v>148</v>
      </c>
      <c r="L439" s="10" t="s">
        <v>536</v>
      </c>
      <c r="M439" s="10" t="s">
        <v>537</v>
      </c>
      <c r="N439" s="10" t="s">
        <v>538</v>
      </c>
      <c r="O439" s="10" t="s">
        <v>539</v>
      </c>
      <c r="P439" s="10" t="s">
        <v>540</v>
      </c>
      <c r="Q439" s="10" t="s">
        <v>541</v>
      </c>
      <c r="R439" s="10" t="s">
        <v>152</v>
      </c>
      <c r="S439" s="10" t="s">
        <v>151</v>
      </c>
      <c r="T439" s="10" t="s">
        <v>542</v>
      </c>
      <c r="U439" s="10" t="s">
        <v>550</v>
      </c>
      <c r="V439" s="10" t="s">
        <v>559</v>
      </c>
      <c r="W439" s="10" t="s">
        <v>549</v>
      </c>
    </row>
    <row r="440" spans="2:23" x14ac:dyDescent="0.3">
      <c r="B440" s="10" t="s">
        <v>648</v>
      </c>
      <c r="C440" s="10">
        <v>23</v>
      </c>
      <c r="D440" s="10">
        <v>2016</v>
      </c>
      <c r="E440" s="5" t="s">
        <v>653</v>
      </c>
      <c r="F440" s="5">
        <f>F432</f>
        <v>1</v>
      </c>
      <c r="G440" s="10">
        <f t="shared" ref="G440:R440" si="471">G432</f>
        <v>3</v>
      </c>
      <c r="H440" s="10">
        <f t="shared" si="471"/>
        <v>0.25</v>
      </c>
      <c r="I440" s="3">
        <f t="shared" ref="I440" si="472">T440*9/Q440</f>
        <v>5.1995789017995051</v>
      </c>
      <c r="J440" s="3">
        <f t="shared" ref="J440" si="473">S440*9/Q440</f>
        <v>5.1995789017995051</v>
      </c>
      <c r="K440" s="10">
        <f t="shared" si="471"/>
        <v>5</v>
      </c>
      <c r="L440" s="10">
        <f t="shared" si="471"/>
        <v>5</v>
      </c>
      <c r="M440" s="10">
        <f t="shared" si="471"/>
        <v>0</v>
      </c>
      <c r="N440" s="10">
        <f t="shared" si="471"/>
        <v>0</v>
      </c>
      <c r="O440" s="10">
        <f t="shared" si="471"/>
        <v>0</v>
      </c>
      <c r="P440" s="10">
        <f t="shared" si="471"/>
        <v>0</v>
      </c>
      <c r="Q440" s="13">
        <f>Q432-(Q432-ROUNDDOWN(Q432,0))+(Q432-ROUNDDOWN(Q432,0))/0.3</f>
        <v>22.333333333333339</v>
      </c>
      <c r="R440" s="10">
        <f t="shared" si="471"/>
        <v>31</v>
      </c>
      <c r="S440" s="9">
        <f>S432*(C9/C3)*(1000/925)</f>
        <v>12.902658756317294</v>
      </c>
      <c r="T440" s="9">
        <f>T432*(C9/C3)*(1000/925)</f>
        <v>12.902658756317294</v>
      </c>
      <c r="U440" s="11">
        <f t="shared" ref="U440" si="474">IFERROR(VLOOKUP(D440,$F$2:$AG$5,MATCH($U$173,$F$2:$AG$2,0),0)/I440*100,"-")</f>
        <v>99.815775431426005</v>
      </c>
      <c r="V440" s="11">
        <f t="shared" ref="V440" si="475">VLOOKUP(D440,$F$2:$AG$5,26,0)/J440*100</f>
        <v>108.47032243415077</v>
      </c>
      <c r="W440" s="3">
        <f t="shared" ref="W440" si="476">(V440^2/(V440^2+100^2)-0.325)/9*Q440</f>
        <v>0.53491774039556805</v>
      </c>
    </row>
    <row r="441" spans="2:23" x14ac:dyDescent="0.3">
      <c r="B441" s="10" t="s">
        <v>648</v>
      </c>
      <c r="C441" s="10">
        <v>23</v>
      </c>
      <c r="D441" s="10">
        <v>2016</v>
      </c>
      <c r="E441" s="10" t="s">
        <v>653</v>
      </c>
      <c r="F441" s="10">
        <f t="shared" ref="F441:R441" si="477">F433</f>
        <v>4</v>
      </c>
      <c r="G441" s="10">
        <f t="shared" si="477"/>
        <v>0</v>
      </c>
      <c r="H441" s="10">
        <f t="shared" si="477"/>
        <v>1</v>
      </c>
      <c r="I441" s="3">
        <f t="shared" ref="I441:I445" si="478">T441*9/Q441</f>
        <v>1.3861007000270145</v>
      </c>
      <c r="J441" s="3">
        <f t="shared" ref="J441:J445" si="479">S441*9/Q441</f>
        <v>1.6171174833648503</v>
      </c>
      <c r="K441" s="10">
        <f t="shared" si="477"/>
        <v>8</v>
      </c>
      <c r="L441" s="10">
        <f t="shared" si="477"/>
        <v>8</v>
      </c>
      <c r="M441" s="10">
        <f t="shared" si="477"/>
        <v>0</v>
      </c>
      <c r="N441" s="10">
        <f t="shared" si="477"/>
        <v>0</v>
      </c>
      <c r="O441" s="10">
        <f t="shared" si="477"/>
        <v>0</v>
      </c>
      <c r="P441" s="10">
        <f t="shared" si="477"/>
        <v>0</v>
      </c>
      <c r="Q441" s="13">
        <f>Q433-(Q433-ROUNDDOWN(Q433,0))+(Q433-ROUNDDOWN(Q433,0))/0.3</f>
        <v>45.666666666666679</v>
      </c>
      <c r="R441" s="10">
        <f t="shared" si="477"/>
        <v>38</v>
      </c>
      <c r="S441" s="9">
        <f>S433*(C9/C5)*(1000/825)</f>
        <v>8.2053738970735015</v>
      </c>
      <c r="T441" s="9">
        <f>T433*(C9/C5)*(1000/825)</f>
        <v>7.0331776260630017</v>
      </c>
      <c r="U441" s="11">
        <f t="shared" ref="U441:U445" si="480">IFERROR(VLOOKUP(D441,$F$2:$AG$5,MATCH($U$173,$F$2:$AG$2,0),0)/I441*100,"-")</f>
        <v>374.43167007266135</v>
      </c>
      <c r="V441" s="11">
        <f t="shared" ref="V441:V445" si="481">VLOOKUP(D441,$F$2:$AG$5,26,0)/J441*100</f>
        <v>348.76872323861437</v>
      </c>
      <c r="W441" s="3">
        <f t="shared" ref="W441:W445" si="482">(V441^2/(V441^2+100^2)-0.325)/9*Q441</f>
        <v>3.0395481136261093</v>
      </c>
    </row>
    <row r="442" spans="2:23" x14ac:dyDescent="0.3">
      <c r="B442" s="10" t="s">
        <v>648</v>
      </c>
      <c r="C442" s="10">
        <v>23</v>
      </c>
      <c r="D442" s="10">
        <v>2016</v>
      </c>
      <c r="E442" s="10" t="s">
        <v>653</v>
      </c>
      <c r="F442" s="10">
        <f t="shared" ref="F442:R442" si="483">F434</f>
        <v>5</v>
      </c>
      <c r="G442" s="10">
        <f t="shared" si="483"/>
        <v>6</v>
      </c>
      <c r="H442" s="10">
        <f t="shared" si="483"/>
        <v>0.45500000000000002</v>
      </c>
      <c r="I442" s="3">
        <f t="shared" si="478"/>
        <v>4.7587017302159733</v>
      </c>
      <c r="J442" s="3">
        <f t="shared" si="479"/>
        <v>5.1552602077339715</v>
      </c>
      <c r="K442" s="10">
        <f t="shared" si="483"/>
        <v>17</v>
      </c>
      <c r="L442" s="10">
        <f t="shared" si="483"/>
        <v>17</v>
      </c>
      <c r="M442" s="10">
        <f t="shared" si="483"/>
        <v>0</v>
      </c>
      <c r="N442" s="10">
        <f t="shared" si="483"/>
        <v>0</v>
      </c>
      <c r="O442" s="10">
        <f t="shared" si="483"/>
        <v>0</v>
      </c>
      <c r="P442" s="10">
        <f t="shared" si="483"/>
        <v>0</v>
      </c>
      <c r="Q442" s="13">
        <f t="shared" ref="Q442:Q445" si="484">Q434-(Q434-ROUNDDOWN(Q434,0))+(Q434-ROUNDDOWN(Q434,0))/0.3</f>
        <v>90</v>
      </c>
      <c r="R442" s="10">
        <f t="shared" si="483"/>
        <v>100</v>
      </c>
      <c r="S442" s="9">
        <f>S434*(C9/C10)*(1000/1110)</f>
        <v>51.552602077339714</v>
      </c>
      <c r="T442" s="9">
        <f>T434*(C9/C10)*(1000/1110)</f>
        <v>47.58701730215973</v>
      </c>
      <c r="U442" s="11">
        <f t="shared" si="480"/>
        <v>109.06336001362398</v>
      </c>
      <c r="V442" s="11">
        <f t="shared" si="481"/>
        <v>109.40281911548939</v>
      </c>
      <c r="W442" s="3">
        <f t="shared" si="482"/>
        <v>2.1981266573349028</v>
      </c>
    </row>
    <row r="443" spans="2:23" x14ac:dyDescent="0.3">
      <c r="B443" s="10" t="s">
        <v>648</v>
      </c>
      <c r="C443" s="10">
        <v>24</v>
      </c>
      <c r="D443" s="10">
        <v>2017</v>
      </c>
      <c r="E443" s="10" t="s">
        <v>653</v>
      </c>
      <c r="F443" s="10">
        <f t="shared" ref="F443:R443" si="485">F435</f>
        <v>1</v>
      </c>
      <c r="G443" s="10">
        <f t="shared" si="485"/>
        <v>2</v>
      </c>
      <c r="H443" s="10">
        <f t="shared" si="485"/>
        <v>0.33300000000000002</v>
      </c>
      <c r="I443" s="3">
        <f t="shared" si="478"/>
        <v>4.7961977081699745</v>
      </c>
      <c r="J443" s="3">
        <f t="shared" si="479"/>
        <v>5.3010606248194465</v>
      </c>
      <c r="K443" s="10">
        <f t="shared" si="485"/>
        <v>8</v>
      </c>
      <c r="L443" s="10">
        <f t="shared" si="485"/>
        <v>4</v>
      </c>
      <c r="M443" s="10">
        <f t="shared" si="485"/>
        <v>2</v>
      </c>
      <c r="N443" s="10">
        <f t="shared" si="485"/>
        <v>0</v>
      </c>
      <c r="O443" s="10">
        <f t="shared" si="485"/>
        <v>0</v>
      </c>
      <c r="P443" s="10">
        <f t="shared" si="485"/>
        <v>0</v>
      </c>
      <c r="Q443" s="13">
        <f t="shared" si="484"/>
        <v>24</v>
      </c>
      <c r="R443" s="10">
        <f t="shared" si="485"/>
        <v>22</v>
      </c>
      <c r="S443" s="9">
        <f>S435*(C9/C3)*(1000/985)</f>
        <v>14.13616166618519</v>
      </c>
      <c r="T443" s="9">
        <f>T435*(C9/C3)*(1000/985)</f>
        <v>12.789860555119933</v>
      </c>
      <c r="U443" s="11">
        <f t="shared" si="480"/>
        <v>103.83225010755774</v>
      </c>
      <c r="V443" s="11">
        <f t="shared" si="481"/>
        <v>102.055048657065</v>
      </c>
      <c r="W443" s="3">
        <f t="shared" si="482"/>
        <v>0.49378582533821891</v>
      </c>
    </row>
    <row r="444" spans="2:23" x14ac:dyDescent="0.3">
      <c r="B444" s="10" t="s">
        <v>648</v>
      </c>
      <c r="C444" s="10">
        <v>24</v>
      </c>
      <c r="D444" s="10">
        <v>2017</v>
      </c>
      <c r="E444" s="10" t="s">
        <v>653</v>
      </c>
      <c r="F444" s="10">
        <f t="shared" ref="F444:R444" si="486">F436</f>
        <v>1</v>
      </c>
      <c r="G444" s="10">
        <f t="shared" si="486"/>
        <v>2</v>
      </c>
      <c r="H444" s="10">
        <f t="shared" si="486"/>
        <v>0.33300000000000002</v>
      </c>
      <c r="I444" s="3">
        <f t="shared" si="478"/>
        <v>3.114716919570427</v>
      </c>
      <c r="J444" s="3">
        <f t="shared" si="479"/>
        <v>3.114716919570427</v>
      </c>
      <c r="K444" s="10">
        <f t="shared" si="486"/>
        <v>18</v>
      </c>
      <c r="L444" s="10">
        <f t="shared" si="486"/>
        <v>3</v>
      </c>
      <c r="M444" s="10">
        <f t="shared" si="486"/>
        <v>7</v>
      </c>
      <c r="N444" s="10">
        <f t="shared" si="486"/>
        <v>0</v>
      </c>
      <c r="O444" s="10">
        <f t="shared" si="486"/>
        <v>0</v>
      </c>
      <c r="P444" s="10">
        <f t="shared" si="486"/>
        <v>4</v>
      </c>
      <c r="Q444" s="13">
        <f t="shared" si="484"/>
        <v>33.666666666666679</v>
      </c>
      <c r="R444" s="10">
        <f t="shared" si="486"/>
        <v>36</v>
      </c>
      <c r="S444" s="9">
        <f>S436*(C9/C5)*(1000/830)</f>
        <v>11.6513484769116</v>
      </c>
      <c r="T444" s="9">
        <f>T436*(C9/C5)*(1000/830)</f>
        <v>11.6513484769116</v>
      </c>
      <c r="U444" s="11">
        <f t="shared" si="480"/>
        <v>159.886118982743</v>
      </c>
      <c r="V444" s="11">
        <f t="shared" si="481"/>
        <v>173.69154692703606</v>
      </c>
      <c r="W444" s="3">
        <f t="shared" si="482"/>
        <v>1.5937436334884809</v>
      </c>
    </row>
    <row r="445" spans="2:23" x14ac:dyDescent="0.3">
      <c r="B445" s="10" t="s">
        <v>648</v>
      </c>
      <c r="C445" s="10">
        <v>25</v>
      </c>
      <c r="D445" s="10">
        <v>2018</v>
      </c>
      <c r="E445" s="10" t="s">
        <v>653</v>
      </c>
      <c r="F445" s="10">
        <f t="shared" ref="F445:R445" si="487">F437</f>
        <v>5</v>
      </c>
      <c r="G445" s="10">
        <f t="shared" si="487"/>
        <v>7</v>
      </c>
      <c r="H445" s="10">
        <f t="shared" si="487"/>
        <v>0.41699999999999998</v>
      </c>
      <c r="I445" s="3">
        <f t="shared" si="478"/>
        <v>6.2410874385423707</v>
      </c>
      <c r="J445" s="3">
        <f t="shared" si="479"/>
        <v>6.8779330955364903</v>
      </c>
      <c r="K445" s="10">
        <f t="shared" si="487"/>
        <v>32</v>
      </c>
      <c r="L445" s="10">
        <f t="shared" si="487"/>
        <v>10</v>
      </c>
      <c r="M445" s="10">
        <f t="shared" si="487"/>
        <v>9</v>
      </c>
      <c r="N445" s="10">
        <f t="shared" si="487"/>
        <v>0</v>
      </c>
      <c r="O445" s="10">
        <f t="shared" si="487"/>
        <v>0</v>
      </c>
      <c r="P445" s="10">
        <f t="shared" si="487"/>
        <v>5</v>
      </c>
      <c r="Q445" s="13">
        <f t="shared" si="484"/>
        <v>83.333333333333314</v>
      </c>
      <c r="R445" s="10">
        <f t="shared" si="487"/>
        <v>100</v>
      </c>
      <c r="S445" s="9">
        <f>S437*(C9/C5)*(1000/820)</f>
        <v>63.684565699411934</v>
      </c>
      <c r="T445" s="9">
        <f>T437*(C9/C5)*(1000/820)</f>
        <v>57.787846653170092</v>
      </c>
      <c r="U445" s="11">
        <f t="shared" si="480"/>
        <v>90.368866892806139</v>
      </c>
      <c r="V445" s="11">
        <f t="shared" si="481"/>
        <v>82.437556766575824</v>
      </c>
      <c r="W445" s="3">
        <f t="shared" si="482"/>
        <v>0.7372074296622223</v>
      </c>
    </row>
    <row r="446" spans="2:23" x14ac:dyDescent="0.3">
      <c r="T446" s="17" t="s">
        <v>654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ignoredErrors>
    <ignoredError sqref="J22:J23 J32:J35 R34:S34 R33:T33 P45:Q45 P60:P61 J76 P74:P77 J96:J101 P97 J111:J115 O113:S113 J126:J127 N127 J136:J139 N136:N137 P44:Q44 S44 P47:Q47 P46:Q46 S46 S45 S47 N138:N139 J147:J149 P147 R148 J166:J167 R166:R167 N166:N167 I174 Q174:Q175 Q184:Q187 Q194:Q195 Q204:Q207 Q219 Q220:Q225 Q236:Q241 Q247 Q258:Q260 Q261:Q263 Q276:Q283 Q292:Q295 Q305:Q309 Q321:Q327 T323 Q338:Q343 Q357:Q365 Q374:Q377 Q388:Q393 Q405:Q411 Q423:Q429 Q440:Q445" formula="1"/>
    <ignoredError sqref="I194" evalError="1"/>
  </ignoredError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2:G32"/>
  <sheetViews>
    <sheetView workbookViewId="0">
      <selection activeCell="G2" sqref="G2"/>
    </sheetView>
  </sheetViews>
  <sheetFormatPr defaultColWidth="8.75" defaultRowHeight="16.5" x14ac:dyDescent="0.3"/>
  <cols>
    <col min="1" max="2" width="8.75" style="10"/>
    <col min="3" max="3" width="9.5" style="10" customWidth="1"/>
    <col min="4" max="4" width="9.875" style="10" customWidth="1"/>
    <col min="5" max="5" width="15.75" style="10" customWidth="1"/>
    <col min="6" max="16384" width="8.75" style="10"/>
  </cols>
  <sheetData>
    <row r="2" spans="2:7" x14ac:dyDescent="0.3">
      <c r="B2" s="10" t="s">
        <v>29</v>
      </c>
      <c r="C2" s="10" t="s">
        <v>737</v>
      </c>
      <c r="D2" s="10" t="s">
        <v>739</v>
      </c>
      <c r="E2" s="10" t="s">
        <v>738</v>
      </c>
      <c r="F2" s="10" t="s">
        <v>770</v>
      </c>
    </row>
    <row r="3" spans="2:7" x14ac:dyDescent="0.3">
      <c r="B3" s="10" t="s">
        <v>740</v>
      </c>
      <c r="C3" s="3">
        <f>38.04+19.4</f>
        <v>57.44</v>
      </c>
      <c r="D3" s="7">
        <f t="shared" ref="D3:D32" si="0">(C3+32.256)/144</f>
        <v>0.62288888888888883</v>
      </c>
      <c r="E3" s="7">
        <v>0.6</v>
      </c>
      <c r="F3" s="7">
        <f t="shared" ref="F3:F32" si="1">ROUND(D3-E3,3)</f>
        <v>2.3E-2</v>
      </c>
      <c r="G3" s="11"/>
    </row>
    <row r="4" spans="2:7" x14ac:dyDescent="0.3">
      <c r="B4" s="10" t="s">
        <v>741</v>
      </c>
      <c r="C4" s="3">
        <f>16.43+24.48</f>
        <v>40.909999999999997</v>
      </c>
      <c r="D4" s="7">
        <f t="shared" si="0"/>
        <v>0.5080972222222222</v>
      </c>
      <c r="E4" s="7">
        <v>0.52100000000000002</v>
      </c>
      <c r="F4" s="7">
        <f t="shared" si="1"/>
        <v>-1.2999999999999999E-2</v>
      </c>
      <c r="G4" s="11"/>
    </row>
    <row r="5" spans="2:7" x14ac:dyDescent="0.3">
      <c r="B5" s="10" t="s">
        <v>742</v>
      </c>
      <c r="C5" s="3">
        <f>24.21+18.07</f>
        <v>42.28</v>
      </c>
      <c r="D5" s="7">
        <f t="shared" si="0"/>
        <v>0.51761111111111113</v>
      </c>
      <c r="E5" s="7">
        <v>0.52500000000000002</v>
      </c>
      <c r="F5" s="7">
        <f t="shared" si="1"/>
        <v>-7.0000000000000001E-3</v>
      </c>
      <c r="G5" s="11"/>
    </row>
    <row r="6" spans="2:7" x14ac:dyDescent="0.3">
      <c r="B6" s="10" t="s">
        <v>743</v>
      </c>
      <c r="C6" s="3">
        <f>25.52+21.78</f>
        <v>47.3</v>
      </c>
      <c r="D6" s="7">
        <f t="shared" si="0"/>
        <v>0.55247222222222225</v>
      </c>
      <c r="E6" s="7">
        <v>0.55800000000000005</v>
      </c>
      <c r="F6" s="7">
        <f t="shared" si="1"/>
        <v>-6.0000000000000001E-3</v>
      </c>
      <c r="G6" s="11"/>
    </row>
    <row r="7" spans="2:7" x14ac:dyDescent="0.3">
      <c r="B7" s="10" t="s">
        <v>744</v>
      </c>
      <c r="C7" s="3">
        <f>18.08+20.68</f>
        <v>38.76</v>
      </c>
      <c r="D7" s="7">
        <f t="shared" si="0"/>
        <v>0.49316666666666659</v>
      </c>
      <c r="E7" s="7">
        <v>0.48499999999999999</v>
      </c>
      <c r="F7" s="7">
        <f t="shared" si="1"/>
        <v>8.0000000000000002E-3</v>
      </c>
      <c r="G7" s="11"/>
    </row>
    <row r="8" spans="2:7" x14ac:dyDescent="0.3">
      <c r="B8" s="10" t="s">
        <v>745</v>
      </c>
      <c r="C8" s="3">
        <f>13.04+23.04</f>
        <v>36.08</v>
      </c>
      <c r="D8" s="7">
        <f t="shared" si="0"/>
        <v>0.47455555555555556</v>
      </c>
      <c r="E8" s="7">
        <v>0.48399999999999999</v>
      </c>
      <c r="F8" s="7">
        <f t="shared" si="1"/>
        <v>-8.9999999999999993E-3</v>
      </c>
      <c r="G8" s="11"/>
    </row>
    <row r="9" spans="2:7" x14ac:dyDescent="0.3">
      <c r="B9" s="10" t="s">
        <v>746</v>
      </c>
      <c r="C9" s="3">
        <f>22.05+15.85</f>
        <v>37.9</v>
      </c>
      <c r="D9" s="7">
        <f t="shared" si="0"/>
        <v>0.48719444444444449</v>
      </c>
      <c r="E9" s="7">
        <v>0.48599999999999999</v>
      </c>
      <c r="F9" s="7">
        <f t="shared" si="1"/>
        <v>1E-3</v>
      </c>
      <c r="G9" s="11"/>
    </row>
    <row r="10" spans="2:7" x14ac:dyDescent="0.3">
      <c r="B10" s="10" t="s">
        <v>747</v>
      </c>
      <c r="C10" s="3">
        <f>13.04+11.22</f>
        <v>24.259999999999998</v>
      </c>
      <c r="D10" s="7">
        <f t="shared" si="0"/>
        <v>0.39247222222222222</v>
      </c>
      <c r="E10" s="7">
        <v>0.39</v>
      </c>
      <c r="F10" s="7">
        <f t="shared" si="1"/>
        <v>2E-3</v>
      </c>
      <c r="G10" s="11"/>
    </row>
    <row r="11" spans="2:7" x14ac:dyDescent="0.3">
      <c r="B11" s="10" t="s">
        <v>748</v>
      </c>
      <c r="C11" s="3">
        <f>14.01+19.69</f>
        <v>33.700000000000003</v>
      </c>
      <c r="D11" s="7">
        <f t="shared" si="0"/>
        <v>0.45802777777777781</v>
      </c>
      <c r="E11" s="7">
        <v>0.48</v>
      </c>
      <c r="F11" s="7">
        <f t="shared" si="1"/>
        <v>-2.1999999999999999E-2</v>
      </c>
      <c r="G11" s="11"/>
    </row>
    <row r="12" spans="2:7" x14ac:dyDescent="0.3">
      <c r="B12" s="10" t="s">
        <v>749</v>
      </c>
      <c r="C12" s="3">
        <f>11.22+16.59</f>
        <v>27.810000000000002</v>
      </c>
      <c r="D12" s="7">
        <f t="shared" si="0"/>
        <v>0.41712500000000002</v>
      </c>
      <c r="E12" s="7">
        <v>0.45600000000000002</v>
      </c>
      <c r="F12" s="7">
        <f t="shared" si="1"/>
        <v>-3.9E-2</v>
      </c>
      <c r="G12" s="11"/>
    </row>
    <row r="13" spans="2:7" x14ac:dyDescent="0.3">
      <c r="B13" s="10" t="s">
        <v>750</v>
      </c>
      <c r="C13" s="10">
        <f>35.41+21.46</f>
        <v>56.87</v>
      </c>
      <c r="D13" s="7">
        <f t="shared" si="0"/>
        <v>0.61893055555555554</v>
      </c>
      <c r="E13" s="10">
        <v>0.60099999999999998</v>
      </c>
      <c r="F13" s="7">
        <f t="shared" si="1"/>
        <v>1.7999999999999999E-2</v>
      </c>
    </row>
    <row r="14" spans="2:7" x14ac:dyDescent="0.3">
      <c r="B14" s="10" t="s">
        <v>751</v>
      </c>
      <c r="C14" s="10">
        <f>32.04+19.12</f>
        <v>51.16</v>
      </c>
      <c r="D14" s="7">
        <f t="shared" si="0"/>
        <v>0.57927777777777778</v>
      </c>
      <c r="E14" s="10">
        <v>0.58899999999999997</v>
      </c>
      <c r="F14" s="7">
        <f t="shared" si="1"/>
        <v>-0.01</v>
      </c>
    </row>
    <row r="15" spans="2:7" x14ac:dyDescent="0.3">
      <c r="B15" s="10" t="s">
        <v>759</v>
      </c>
      <c r="C15" s="10">
        <f>18.33+21.5</f>
        <v>39.83</v>
      </c>
      <c r="D15" s="7">
        <f t="shared" si="0"/>
        <v>0.50059722222222225</v>
      </c>
      <c r="E15" s="10">
        <v>0.51500000000000001</v>
      </c>
      <c r="F15" s="7">
        <f t="shared" si="1"/>
        <v>-1.4E-2</v>
      </c>
    </row>
    <row r="16" spans="2:7" x14ac:dyDescent="0.3">
      <c r="B16" s="10" t="s">
        <v>752</v>
      </c>
      <c r="C16" s="10">
        <f>20.3+17.06</f>
        <v>37.36</v>
      </c>
      <c r="D16" s="7">
        <f t="shared" si="0"/>
        <v>0.48344444444444445</v>
      </c>
      <c r="E16" s="10">
        <v>0.496</v>
      </c>
      <c r="F16" s="7">
        <f t="shared" si="1"/>
        <v>-1.2999999999999999E-2</v>
      </c>
    </row>
    <row r="17" spans="2:6" x14ac:dyDescent="0.3">
      <c r="B17" s="10" t="s">
        <v>753</v>
      </c>
      <c r="C17" s="10">
        <f>6.74+17.49</f>
        <v>24.229999999999997</v>
      </c>
      <c r="D17" s="7">
        <f t="shared" si="0"/>
        <v>0.39226388888888886</v>
      </c>
      <c r="E17" s="10">
        <v>0.41699999999999998</v>
      </c>
      <c r="F17" s="7">
        <f t="shared" si="1"/>
        <v>-2.5000000000000001E-2</v>
      </c>
    </row>
    <row r="18" spans="2:6" x14ac:dyDescent="0.3">
      <c r="B18" s="10" t="s">
        <v>754</v>
      </c>
      <c r="C18" s="10">
        <f>19.61+19.16</f>
        <v>38.769999999999996</v>
      </c>
      <c r="D18" s="7">
        <f t="shared" si="0"/>
        <v>0.4932361111111111</v>
      </c>
      <c r="E18" s="10">
        <v>0.51500000000000001</v>
      </c>
      <c r="F18" s="7">
        <f t="shared" si="1"/>
        <v>-2.1999999999999999E-2</v>
      </c>
    </row>
    <row r="19" spans="2:6" x14ac:dyDescent="0.3">
      <c r="B19" s="10" t="s">
        <v>755</v>
      </c>
      <c r="C19" s="10">
        <f>24.96+19.38</f>
        <v>44.34</v>
      </c>
      <c r="D19" s="7">
        <f t="shared" si="0"/>
        <v>0.5319166666666667</v>
      </c>
      <c r="E19" s="10">
        <v>0.52600000000000002</v>
      </c>
      <c r="F19" s="7">
        <f t="shared" si="1"/>
        <v>6.0000000000000001E-3</v>
      </c>
    </row>
    <row r="20" spans="2:6" x14ac:dyDescent="0.3">
      <c r="B20" s="10" t="s">
        <v>756</v>
      </c>
      <c r="C20" s="10">
        <f>28.53+16.35</f>
        <v>44.88</v>
      </c>
      <c r="D20" s="7">
        <f t="shared" si="0"/>
        <v>0.53566666666666662</v>
      </c>
      <c r="E20" s="10">
        <v>0.52400000000000002</v>
      </c>
      <c r="F20" s="7">
        <f t="shared" si="1"/>
        <v>1.2E-2</v>
      </c>
    </row>
    <row r="21" spans="2:6" x14ac:dyDescent="0.3">
      <c r="B21" s="10" t="s">
        <v>757</v>
      </c>
      <c r="C21" s="10">
        <f>18.83+15.79</f>
        <v>34.619999999999997</v>
      </c>
      <c r="D21" s="7">
        <f t="shared" si="0"/>
        <v>0.4644166666666667</v>
      </c>
      <c r="E21" s="10">
        <v>0.45200000000000001</v>
      </c>
      <c r="F21" s="7">
        <f t="shared" si="1"/>
        <v>1.2E-2</v>
      </c>
    </row>
    <row r="22" spans="2:6" x14ac:dyDescent="0.3">
      <c r="B22" s="10" t="s">
        <v>758</v>
      </c>
      <c r="C22" s="10">
        <f>6.11+12.68</f>
        <v>18.79</v>
      </c>
      <c r="D22" s="7">
        <f t="shared" si="0"/>
        <v>0.35448611111111111</v>
      </c>
      <c r="E22" s="10">
        <v>0.371</v>
      </c>
      <c r="F22" s="7">
        <f t="shared" si="1"/>
        <v>-1.7000000000000001E-2</v>
      </c>
    </row>
    <row r="23" spans="2:6" x14ac:dyDescent="0.3">
      <c r="B23" s="10" t="s">
        <v>760</v>
      </c>
      <c r="C23" s="10">
        <f>35.97+24.93</f>
        <v>60.9</v>
      </c>
      <c r="D23" s="7">
        <f t="shared" si="0"/>
        <v>0.6469166666666667</v>
      </c>
      <c r="E23" s="10">
        <v>0.64</v>
      </c>
      <c r="F23" s="7">
        <f t="shared" si="1"/>
        <v>7.0000000000000001E-3</v>
      </c>
    </row>
    <row r="24" spans="2:6" x14ac:dyDescent="0.3">
      <c r="B24" s="10" t="s">
        <v>761</v>
      </c>
      <c r="C24" s="10">
        <f>19.63+21.3</f>
        <v>40.93</v>
      </c>
      <c r="D24" s="7">
        <f t="shared" si="0"/>
        <v>0.50823611111111111</v>
      </c>
      <c r="E24" s="10">
        <v>0.51</v>
      </c>
      <c r="F24" s="7">
        <f t="shared" si="1"/>
        <v>-2E-3</v>
      </c>
    </row>
    <row r="25" spans="2:6" x14ac:dyDescent="0.3">
      <c r="B25" s="10" t="s">
        <v>762</v>
      </c>
      <c r="C25" s="10">
        <f>21.57+23.47</f>
        <v>45.04</v>
      </c>
      <c r="D25" s="7">
        <f t="shared" si="0"/>
        <v>0.53677777777777769</v>
      </c>
      <c r="E25" s="10">
        <v>0.53200000000000003</v>
      </c>
      <c r="F25" s="7">
        <f t="shared" si="1"/>
        <v>5.0000000000000001E-3</v>
      </c>
    </row>
    <row r="26" spans="2:6" x14ac:dyDescent="0.3">
      <c r="B26" s="10" t="s">
        <v>763</v>
      </c>
      <c r="C26" s="10">
        <f>20.23+12.55</f>
        <v>32.78</v>
      </c>
      <c r="D26" s="7">
        <f t="shared" si="0"/>
        <v>0.45163888888888892</v>
      </c>
      <c r="E26" s="10">
        <v>0.48199999999999998</v>
      </c>
      <c r="F26" s="7">
        <f t="shared" si="1"/>
        <v>-0.03</v>
      </c>
    </row>
    <row r="27" spans="2:6" x14ac:dyDescent="0.3">
      <c r="B27" s="10" t="s">
        <v>764</v>
      </c>
      <c r="C27" s="10">
        <f>12.55+22.51</f>
        <v>35.06</v>
      </c>
      <c r="D27" s="7">
        <f t="shared" si="0"/>
        <v>0.46747222222222223</v>
      </c>
      <c r="E27" s="10">
        <v>0.49099999999999999</v>
      </c>
      <c r="F27" s="7">
        <f t="shared" si="1"/>
        <v>-2.4E-2</v>
      </c>
    </row>
    <row r="28" spans="2:6" x14ac:dyDescent="0.3">
      <c r="B28" s="10" t="s">
        <v>765</v>
      </c>
      <c r="C28" s="10">
        <f>14.32+20.29</f>
        <v>34.61</v>
      </c>
      <c r="D28" s="7">
        <f t="shared" si="0"/>
        <v>0.46434722222222224</v>
      </c>
      <c r="E28" s="10">
        <v>0.498</v>
      </c>
      <c r="F28" s="7">
        <f t="shared" si="1"/>
        <v>-3.4000000000000002E-2</v>
      </c>
    </row>
    <row r="29" spans="2:6" x14ac:dyDescent="0.3">
      <c r="B29" s="10" t="s">
        <v>766</v>
      </c>
      <c r="C29" s="10">
        <f>21.46+11.08</f>
        <v>32.54</v>
      </c>
      <c r="D29" s="7">
        <f t="shared" si="0"/>
        <v>0.44997222222222216</v>
      </c>
      <c r="E29" s="10">
        <v>0.45100000000000001</v>
      </c>
      <c r="F29" s="7">
        <f t="shared" si="1"/>
        <v>-1E-3</v>
      </c>
    </row>
    <row r="30" spans="2:6" x14ac:dyDescent="0.3">
      <c r="B30" s="10" t="s">
        <v>767</v>
      </c>
      <c r="C30" s="10">
        <f>25.78+28.87</f>
        <v>54.650000000000006</v>
      </c>
      <c r="D30" s="7">
        <f t="shared" si="0"/>
        <v>0.60351388888888891</v>
      </c>
      <c r="E30" s="10">
        <v>0.59699999999999998</v>
      </c>
      <c r="F30" s="7">
        <f t="shared" si="1"/>
        <v>7.0000000000000001E-3</v>
      </c>
    </row>
    <row r="31" spans="2:6" x14ac:dyDescent="0.3">
      <c r="B31" s="10" t="s">
        <v>768</v>
      </c>
      <c r="C31" s="10">
        <f>17.49+13.12</f>
        <v>30.61</v>
      </c>
      <c r="D31" s="7">
        <f t="shared" si="0"/>
        <v>0.43656944444444445</v>
      </c>
      <c r="E31" s="10">
        <v>0.45700000000000002</v>
      </c>
      <c r="F31" s="7">
        <f t="shared" si="1"/>
        <v>-0.02</v>
      </c>
    </row>
    <row r="32" spans="2:6" x14ac:dyDescent="0.3">
      <c r="B32" s="10" t="s">
        <v>769</v>
      </c>
      <c r="C32" s="10">
        <f>8.82+9.51</f>
        <v>18.329999999999998</v>
      </c>
      <c r="D32" s="7">
        <f t="shared" si="0"/>
        <v>0.35129166666666667</v>
      </c>
      <c r="E32" s="10">
        <v>0.35799999999999998</v>
      </c>
      <c r="F32" s="7">
        <f t="shared" si="1"/>
        <v>-7.0000000000000001E-3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P31"/>
  <sheetViews>
    <sheetView workbookViewId="0">
      <selection activeCell="P31" sqref="P31"/>
    </sheetView>
  </sheetViews>
  <sheetFormatPr defaultColWidth="8.75" defaultRowHeight="16.5" x14ac:dyDescent="0.3"/>
  <cols>
    <col min="1" max="1" width="8.75" style="1"/>
    <col min="2" max="2" width="11" style="1" bestFit="1" customWidth="1"/>
    <col min="3" max="3" width="11.125" style="1" bestFit="1" customWidth="1"/>
    <col min="4" max="10" width="8.75" style="1"/>
    <col min="11" max="11" width="11.625" style="1" customWidth="1"/>
    <col min="12" max="16384" width="8.75" style="1"/>
  </cols>
  <sheetData>
    <row r="1" spans="2:16" x14ac:dyDescent="0.3">
      <c r="B1" s="1" t="s">
        <v>35</v>
      </c>
      <c r="C1" s="2">
        <v>43647</v>
      </c>
    </row>
    <row r="2" spans="2:16" x14ac:dyDescent="0.3">
      <c r="C2" s="2"/>
    </row>
    <row r="3" spans="2:16" x14ac:dyDescent="0.3">
      <c r="B3" s="1" t="s">
        <v>26</v>
      </c>
      <c r="C3" s="1" t="s">
        <v>25</v>
      </c>
      <c r="D3" s="1" t="s">
        <v>27</v>
      </c>
      <c r="E3" s="1">
        <v>2016</v>
      </c>
      <c r="F3" s="1">
        <v>2017</v>
      </c>
      <c r="G3" s="1">
        <v>2018</v>
      </c>
      <c r="H3" s="1">
        <v>2019</v>
      </c>
      <c r="J3" s="1" t="s">
        <v>26</v>
      </c>
      <c r="K3" s="1" t="s">
        <v>25</v>
      </c>
      <c r="L3" s="1" t="s">
        <v>27</v>
      </c>
      <c r="M3" s="1">
        <v>2016</v>
      </c>
      <c r="N3" s="1">
        <v>2017</v>
      </c>
      <c r="O3" s="1">
        <v>2018</v>
      </c>
      <c r="P3" s="1">
        <v>2019</v>
      </c>
    </row>
    <row r="4" spans="2:16" x14ac:dyDescent="0.3">
      <c r="B4" s="1" t="s">
        <v>0</v>
      </c>
      <c r="C4" s="2">
        <v>32408</v>
      </c>
      <c r="D4" s="1">
        <f>DATEDIF(C4,$C$1,"y")</f>
        <v>30</v>
      </c>
      <c r="E4" s="3">
        <v>5.37</v>
      </c>
      <c r="F4" s="3">
        <v>7.37</v>
      </c>
      <c r="G4" s="3">
        <v>6.25</v>
      </c>
      <c r="H4" s="3">
        <f>(((G4*0.6)+(F4*0.3)+(E4*0.1))*0.9+0.05*(32-D4))*0.889505330101326</f>
        <v>5.2909556045087074</v>
      </c>
      <c r="J4" s="1" t="s">
        <v>36</v>
      </c>
      <c r="K4" s="2">
        <v>31943</v>
      </c>
      <c r="L4" s="1">
        <f>DATEDIF(K4,$C$1,"y")</f>
        <v>32</v>
      </c>
      <c r="M4" s="1">
        <v>2.69</v>
      </c>
      <c r="N4" s="4">
        <f>2.33+ROUND(SUM('MILB &amp; MLB'!W194:W195),2)</f>
        <v>3.7199999999999998</v>
      </c>
      <c r="O4" s="1">
        <v>6.81</v>
      </c>
      <c r="P4" s="3">
        <f>(((O4*0.6)+(N4*0.3)+(M4*0.1))*0.9+0.05*(32-L4))*0.843970778133105</f>
        <v>4.1556277144495954</v>
      </c>
    </row>
    <row r="5" spans="2:16" x14ac:dyDescent="0.3">
      <c r="B5" s="1" t="s">
        <v>1</v>
      </c>
      <c r="C5" s="2">
        <v>32201</v>
      </c>
      <c r="D5" s="1">
        <f t="shared" ref="D5:D27" si="0">DATEDIF(C5,$C$1,"y")</f>
        <v>31</v>
      </c>
      <c r="E5" s="3">
        <v>0.08</v>
      </c>
      <c r="F5" s="3">
        <v>2.85</v>
      </c>
      <c r="G5" s="3">
        <v>4.51</v>
      </c>
      <c r="H5" s="3">
        <f t="shared" ref="H5:H27" si="1">(((G5*0.6)+(F5*0.3)+(E5*0.1))*0.9+0.05*(32-D5))*0.889505330101326</f>
        <v>2.9016553373235356</v>
      </c>
      <c r="J5" s="1" t="s">
        <v>37</v>
      </c>
      <c r="K5" s="2">
        <v>32382</v>
      </c>
      <c r="L5" s="1">
        <f t="shared" ref="L5:L18" si="2">DATEDIF(K5,$C$1,"y")</f>
        <v>30</v>
      </c>
      <c r="M5" s="3">
        <f>ROUND(SUM('MILB &amp; MLB'!W204:W205),2)</f>
        <v>0.54</v>
      </c>
      <c r="N5" s="3">
        <f>ROUND(SUM('MILB &amp; MLB'!W206:W207),2)</f>
        <v>3.07</v>
      </c>
      <c r="O5" s="1">
        <v>4.12</v>
      </c>
      <c r="P5" s="3">
        <f t="shared" ref="P5:P31" si="3">(((O5*0.6)+(N5*0.3)+(M5*0.1))*0.9+0.05*(32-L5))*0.843970778133105</f>
        <v>2.7026476228156415</v>
      </c>
    </row>
    <row r="6" spans="2:16" x14ac:dyDescent="0.3">
      <c r="B6" s="1" t="s">
        <v>2</v>
      </c>
      <c r="C6" s="2">
        <v>33111</v>
      </c>
      <c r="D6" s="1">
        <f t="shared" si="0"/>
        <v>28</v>
      </c>
      <c r="E6" s="3">
        <v>1.27</v>
      </c>
      <c r="F6" s="3">
        <v>0.62</v>
      </c>
      <c r="G6" s="3">
        <v>4.05</v>
      </c>
      <c r="H6" s="3">
        <f t="shared" si="1"/>
        <v>2.3738228744414087</v>
      </c>
      <c r="J6" s="1" t="s">
        <v>38</v>
      </c>
      <c r="K6" s="2">
        <v>32510</v>
      </c>
      <c r="L6" s="1">
        <f t="shared" si="2"/>
        <v>30</v>
      </c>
      <c r="M6" s="1">
        <v>0.26</v>
      </c>
      <c r="N6" s="1">
        <v>1.23</v>
      </c>
      <c r="O6" s="1">
        <v>3.91</v>
      </c>
      <c r="P6" s="3">
        <f t="shared" si="3"/>
        <v>2.1663885903898672</v>
      </c>
    </row>
    <row r="7" spans="2:16" x14ac:dyDescent="0.3">
      <c r="B7" s="1" t="s">
        <v>3</v>
      </c>
      <c r="C7" s="2">
        <v>31127</v>
      </c>
      <c r="D7" s="1">
        <f t="shared" si="0"/>
        <v>34</v>
      </c>
      <c r="E7" s="3">
        <v>4.41</v>
      </c>
      <c r="F7" s="3">
        <v>2.74</v>
      </c>
      <c r="G7" s="3">
        <v>3.57</v>
      </c>
      <c r="H7" s="3">
        <f t="shared" si="1"/>
        <v>2.6369385510853811</v>
      </c>
      <c r="J7" s="1" t="s">
        <v>16</v>
      </c>
      <c r="K7" s="2">
        <v>34712</v>
      </c>
      <c r="L7" s="1">
        <f t="shared" si="2"/>
        <v>24</v>
      </c>
      <c r="M7" s="1">
        <v>0.03</v>
      </c>
      <c r="N7" s="1">
        <v>3.22</v>
      </c>
      <c r="O7" s="1">
        <v>2.95</v>
      </c>
      <c r="P7" s="3">
        <f t="shared" si="3"/>
        <v>2.418060676429159</v>
      </c>
    </row>
    <row r="8" spans="2:16" x14ac:dyDescent="0.3">
      <c r="B8" s="1" t="s">
        <v>4</v>
      </c>
      <c r="C8" s="2">
        <v>33124</v>
      </c>
      <c r="D8" s="1">
        <f t="shared" si="0"/>
        <v>28</v>
      </c>
      <c r="E8" s="3">
        <v>4.71</v>
      </c>
      <c r="F8" s="3">
        <v>6.8</v>
      </c>
      <c r="G8" s="3">
        <v>3.4</v>
      </c>
      <c r="H8" s="3">
        <f t="shared" si="1"/>
        <v>3.821225947582287</v>
      </c>
      <c r="J8" s="1" t="s">
        <v>39</v>
      </c>
      <c r="K8" s="2">
        <v>35864</v>
      </c>
      <c r="L8" s="1">
        <f t="shared" si="2"/>
        <v>21</v>
      </c>
      <c r="N8" s="1">
        <v>-0.2</v>
      </c>
      <c r="O8" s="1">
        <v>1.72</v>
      </c>
      <c r="P8" s="3">
        <f t="shared" si="3"/>
        <v>1.2024895646840479</v>
      </c>
    </row>
    <row r="9" spans="2:16" x14ac:dyDescent="0.3">
      <c r="B9" s="1" t="s">
        <v>5</v>
      </c>
      <c r="C9" s="2">
        <v>31087</v>
      </c>
      <c r="D9" s="1">
        <f t="shared" si="0"/>
        <v>34</v>
      </c>
      <c r="E9" s="3">
        <v>1.76</v>
      </c>
      <c r="F9" s="3">
        <v>0.31</v>
      </c>
      <c r="G9" s="3">
        <v>3.34</v>
      </c>
      <c r="H9" s="3">
        <f t="shared" si="1"/>
        <v>1.7307105207781501</v>
      </c>
      <c r="J9" s="1" t="s">
        <v>19</v>
      </c>
      <c r="K9" s="2">
        <v>35735</v>
      </c>
      <c r="L9" s="1">
        <f t="shared" si="2"/>
        <v>21</v>
      </c>
      <c r="N9" s="1">
        <v>0.24</v>
      </c>
      <c r="O9" s="1">
        <v>1.32</v>
      </c>
      <c r="P9" s="3">
        <f t="shared" si="3"/>
        <v>1.12045560504951</v>
      </c>
    </row>
    <row r="10" spans="2:16" x14ac:dyDescent="0.3">
      <c r="B10" s="1" t="s">
        <v>6</v>
      </c>
      <c r="C10" s="2">
        <v>31714</v>
      </c>
      <c r="D10" s="1">
        <f t="shared" si="0"/>
        <v>32</v>
      </c>
      <c r="E10" s="3">
        <v>3.99</v>
      </c>
      <c r="F10" s="3">
        <v>3.89</v>
      </c>
      <c r="G10" s="3">
        <v>3.2</v>
      </c>
      <c r="H10" s="3">
        <f t="shared" si="1"/>
        <v>2.7907340226599002</v>
      </c>
      <c r="J10" s="1" t="s">
        <v>40</v>
      </c>
      <c r="K10" s="2">
        <v>29628</v>
      </c>
      <c r="L10" s="1">
        <f t="shared" si="2"/>
        <v>38</v>
      </c>
      <c r="M10" s="1">
        <v>0.22</v>
      </c>
      <c r="N10" s="1">
        <v>0.89</v>
      </c>
      <c r="O10" s="1">
        <v>1.21</v>
      </c>
      <c r="P10" s="3">
        <f t="shared" si="3"/>
        <v>0.51777607238465984</v>
      </c>
    </row>
    <row r="11" spans="2:16" x14ac:dyDescent="0.3">
      <c r="B11" s="1" t="s">
        <v>7</v>
      </c>
      <c r="C11" s="2">
        <v>33153</v>
      </c>
      <c r="D11" s="1">
        <f t="shared" si="0"/>
        <v>28</v>
      </c>
      <c r="E11" s="3">
        <v>1.6</v>
      </c>
      <c r="F11" s="3">
        <v>0.54</v>
      </c>
      <c r="G11" s="3">
        <v>1.5</v>
      </c>
      <c r="H11" s="3">
        <f t="shared" si="1"/>
        <v>1.1561790280657036</v>
      </c>
      <c r="J11" s="1" t="s">
        <v>41</v>
      </c>
      <c r="K11" s="2">
        <v>32383</v>
      </c>
      <c r="L11" s="1">
        <f t="shared" si="2"/>
        <v>30</v>
      </c>
      <c r="M11" s="1">
        <v>0.18</v>
      </c>
      <c r="N11" s="1">
        <v>2.2799999999999998</v>
      </c>
      <c r="O11" s="1">
        <v>1.04</v>
      </c>
      <c r="P11" s="3">
        <f t="shared" si="3"/>
        <v>1.0915918044373578</v>
      </c>
    </row>
    <row r="12" spans="2:16" x14ac:dyDescent="0.3">
      <c r="B12" s="1" t="s">
        <v>8</v>
      </c>
      <c r="C12" s="2">
        <v>32882</v>
      </c>
      <c r="D12" s="1">
        <f t="shared" si="0"/>
        <v>29</v>
      </c>
      <c r="E12" s="3">
        <v>0.11</v>
      </c>
      <c r="F12" s="3">
        <v>1.23</v>
      </c>
      <c r="G12" s="3">
        <v>1.32</v>
      </c>
      <c r="H12" s="3">
        <f t="shared" si="1"/>
        <v>1.0716760217060777</v>
      </c>
      <c r="J12" s="1" t="s">
        <v>42</v>
      </c>
      <c r="K12" s="2">
        <v>36357</v>
      </c>
      <c r="L12" s="1">
        <f t="shared" si="2"/>
        <v>19</v>
      </c>
      <c r="O12" s="1">
        <v>0.61</v>
      </c>
      <c r="P12" s="3">
        <f t="shared" si="3"/>
        <v>0.82658498010356307</v>
      </c>
    </row>
    <row r="13" spans="2:16" x14ac:dyDescent="0.3">
      <c r="B13" s="1" t="s">
        <v>9</v>
      </c>
      <c r="C13" s="2">
        <v>34347</v>
      </c>
      <c r="D13" s="1">
        <f t="shared" si="0"/>
        <v>25</v>
      </c>
      <c r="E13" s="3">
        <v>1.22</v>
      </c>
      <c r="F13" s="3">
        <v>0.24</v>
      </c>
      <c r="G13" s="3">
        <v>0.87</v>
      </c>
      <c r="H13" s="3">
        <f t="shared" si="1"/>
        <v>0.88452410025275863</v>
      </c>
      <c r="J13" s="1" t="s">
        <v>17</v>
      </c>
      <c r="K13" s="2">
        <v>30600</v>
      </c>
      <c r="L13" s="1">
        <f t="shared" si="2"/>
        <v>35</v>
      </c>
      <c r="M13" s="1">
        <v>0.24</v>
      </c>
      <c r="N13" s="1">
        <v>1.45</v>
      </c>
      <c r="O13" s="1">
        <v>0.35</v>
      </c>
      <c r="P13" s="3">
        <f t="shared" si="3"/>
        <v>0.38155918879397682</v>
      </c>
    </row>
    <row r="14" spans="2:16" x14ac:dyDescent="0.3">
      <c r="B14" s="1" t="s">
        <v>10</v>
      </c>
      <c r="C14" s="2">
        <v>32418</v>
      </c>
      <c r="D14" s="1">
        <f t="shared" si="0"/>
        <v>30</v>
      </c>
      <c r="E14" s="3">
        <v>0.23</v>
      </c>
      <c r="F14" s="3">
        <v>0.23</v>
      </c>
      <c r="G14" s="3">
        <v>0.6</v>
      </c>
      <c r="H14" s="3">
        <f t="shared" si="1"/>
        <v>0.45080130129535206</v>
      </c>
      <c r="J14" s="1" t="s">
        <v>43</v>
      </c>
      <c r="K14" s="2">
        <v>33799</v>
      </c>
      <c r="L14" s="1">
        <f t="shared" si="2"/>
        <v>26</v>
      </c>
      <c r="M14" s="1">
        <v>-0.11</v>
      </c>
      <c r="N14" s="1">
        <v>-0.37</v>
      </c>
      <c r="O14" s="1">
        <v>0.27</v>
      </c>
      <c r="P14" s="3">
        <f t="shared" si="3"/>
        <v>0.28357418145272334</v>
      </c>
    </row>
    <row r="15" spans="2:16" x14ac:dyDescent="0.3">
      <c r="B15" s="1" t="s">
        <v>11</v>
      </c>
      <c r="C15" s="2">
        <v>32789</v>
      </c>
      <c r="D15" s="1">
        <f t="shared" si="0"/>
        <v>29</v>
      </c>
      <c r="E15" s="3">
        <v>0.54</v>
      </c>
      <c r="F15" s="3">
        <v>-0.18</v>
      </c>
      <c r="G15" s="3">
        <v>0.17</v>
      </c>
      <c r="H15" s="3">
        <f t="shared" si="1"/>
        <v>0.21508238881850064</v>
      </c>
      <c r="J15" s="1" t="s">
        <v>44</v>
      </c>
      <c r="K15" s="2">
        <v>32917</v>
      </c>
      <c r="L15" s="1">
        <f t="shared" si="2"/>
        <v>29</v>
      </c>
      <c r="M15" s="1">
        <v>0.14000000000000001</v>
      </c>
      <c r="N15" s="1">
        <v>-0.38</v>
      </c>
      <c r="O15" s="1">
        <v>0.25</v>
      </c>
      <c r="P15" s="3">
        <f t="shared" si="3"/>
        <v>0.1645743017359555</v>
      </c>
    </row>
    <row r="16" spans="2:16" x14ac:dyDescent="0.3">
      <c r="B16" s="1" t="s">
        <v>12</v>
      </c>
      <c r="C16" s="2">
        <v>34400</v>
      </c>
      <c r="D16" s="1">
        <f t="shared" si="0"/>
        <v>25</v>
      </c>
      <c r="E16" s="3"/>
      <c r="F16" s="3"/>
      <c r="G16" s="3">
        <v>0.09</v>
      </c>
      <c r="H16" s="3">
        <f t="shared" si="1"/>
        <v>0.35455682457838855</v>
      </c>
      <c r="J16" s="1" t="s">
        <v>45</v>
      </c>
      <c r="K16" s="2">
        <v>33956</v>
      </c>
      <c r="L16" s="1">
        <f t="shared" si="2"/>
        <v>26</v>
      </c>
      <c r="M16" s="1">
        <v>-0.09</v>
      </c>
      <c r="O16" s="1">
        <v>0.04</v>
      </c>
      <c r="P16" s="3">
        <f t="shared" si="3"/>
        <v>0.26458483894472845</v>
      </c>
    </row>
    <row r="17" spans="2:16" x14ac:dyDescent="0.3">
      <c r="B17" s="1" t="s">
        <v>13</v>
      </c>
      <c r="C17" s="2">
        <v>36341</v>
      </c>
      <c r="D17" s="1">
        <f t="shared" si="0"/>
        <v>20</v>
      </c>
      <c r="E17" s="3"/>
      <c r="F17" s="3"/>
      <c r="G17" s="3">
        <v>0.05</v>
      </c>
      <c r="H17" s="3">
        <f t="shared" si="1"/>
        <v>0.55771984197353153</v>
      </c>
      <c r="J17" s="1" t="s">
        <v>46</v>
      </c>
      <c r="K17" s="2">
        <v>34756</v>
      </c>
      <c r="L17" s="1">
        <f t="shared" si="2"/>
        <v>24</v>
      </c>
      <c r="O17" s="1">
        <v>0.01</v>
      </c>
      <c r="P17" s="3">
        <f t="shared" si="3"/>
        <v>0.34214575345516079</v>
      </c>
    </row>
    <row r="18" spans="2:16" x14ac:dyDescent="0.3">
      <c r="B18" s="1" t="s">
        <v>14</v>
      </c>
      <c r="C18" s="2">
        <v>33132</v>
      </c>
      <c r="D18" s="1">
        <f t="shared" si="0"/>
        <v>28</v>
      </c>
      <c r="E18" s="3"/>
      <c r="F18" s="3"/>
      <c r="G18" s="3">
        <v>0.04</v>
      </c>
      <c r="H18" s="3">
        <f t="shared" si="1"/>
        <v>0.19711438115045388</v>
      </c>
      <c r="J18" s="1" t="s">
        <v>18</v>
      </c>
      <c r="K18" s="2">
        <v>35492</v>
      </c>
      <c r="L18" s="1">
        <f t="shared" si="2"/>
        <v>22</v>
      </c>
      <c r="M18" s="1">
        <v>-0.28999999999999998</v>
      </c>
      <c r="N18" s="1">
        <v>0.12</v>
      </c>
      <c r="O18" s="1">
        <v>-0.02</v>
      </c>
      <c r="P18" s="3">
        <f t="shared" si="3"/>
        <v>0.41818752056495351</v>
      </c>
    </row>
    <row r="19" spans="2:16" x14ac:dyDescent="0.3">
      <c r="B19" s="1" t="s">
        <v>15</v>
      </c>
      <c r="C19" s="2">
        <v>34518</v>
      </c>
      <c r="D19" s="1">
        <f t="shared" si="0"/>
        <v>24</v>
      </c>
      <c r="E19" s="3">
        <v>-0.27</v>
      </c>
      <c r="F19" s="3">
        <v>-0.15</v>
      </c>
      <c r="G19" s="3">
        <v>0.01</v>
      </c>
      <c r="H19" s="3">
        <f t="shared" si="1"/>
        <v>0.30296551543251166</v>
      </c>
      <c r="J19" s="1" t="s">
        <v>47</v>
      </c>
      <c r="K19" s="2">
        <v>36287</v>
      </c>
      <c r="L19" s="1">
        <f t="shared" ref="L19:L27" si="4">DATEDIF(K19,$C$1,"y")</f>
        <v>20</v>
      </c>
      <c r="O19" s="1">
        <v>-7.0000000000000007E-2</v>
      </c>
      <c r="P19" s="3">
        <f t="shared" si="3"/>
        <v>0.47448037146643163</v>
      </c>
    </row>
    <row r="20" spans="2:16" x14ac:dyDescent="0.3">
      <c r="B20" s="1" t="s">
        <v>21</v>
      </c>
      <c r="C20" s="2">
        <v>35188</v>
      </c>
      <c r="D20" s="1">
        <f t="shared" si="0"/>
        <v>23</v>
      </c>
      <c r="E20" s="3"/>
      <c r="F20" s="3">
        <v>-0.18</v>
      </c>
      <c r="G20" s="3">
        <v>-0.01</v>
      </c>
      <c r="H20" s="3">
        <f t="shared" si="1"/>
        <v>0.35224411072012513</v>
      </c>
      <c r="J20" s="1" t="s">
        <v>20</v>
      </c>
      <c r="K20" s="2">
        <v>34060</v>
      </c>
      <c r="L20" s="1">
        <f t="shared" si="4"/>
        <v>26</v>
      </c>
      <c r="O20" s="1">
        <v>-0.24</v>
      </c>
      <c r="P20" s="3">
        <f t="shared" si="3"/>
        <v>0.14381262059388111</v>
      </c>
    </row>
    <row r="21" spans="2:16" x14ac:dyDescent="0.3">
      <c r="B21" s="1" t="s">
        <v>22</v>
      </c>
      <c r="C21" s="2">
        <v>32644</v>
      </c>
      <c r="D21" s="1">
        <f t="shared" si="0"/>
        <v>30</v>
      </c>
      <c r="E21" s="3">
        <v>0.36</v>
      </c>
      <c r="F21" s="3"/>
      <c r="G21" s="3">
        <v>-0.18</v>
      </c>
      <c r="H21" s="3">
        <f t="shared" si="1"/>
        <v>3.131058761956667E-2</v>
      </c>
      <c r="J21" s="1" t="s">
        <v>48</v>
      </c>
      <c r="K21" s="2">
        <v>33146</v>
      </c>
      <c r="L21" s="1">
        <f t="shared" si="4"/>
        <v>28</v>
      </c>
      <c r="M21" s="1">
        <v>0.33</v>
      </c>
      <c r="O21" s="1">
        <v>-0.28000000000000003</v>
      </c>
      <c r="P21" s="3">
        <f t="shared" si="3"/>
        <v>6.6251706083448741E-2</v>
      </c>
    </row>
    <row r="22" spans="2:16" x14ac:dyDescent="0.3">
      <c r="B22" s="1" t="s">
        <v>23</v>
      </c>
      <c r="C22" s="2">
        <v>35294</v>
      </c>
      <c r="D22" s="1">
        <f t="shared" si="0"/>
        <v>22</v>
      </c>
      <c r="E22" s="3"/>
      <c r="F22" s="3">
        <v>0</v>
      </c>
      <c r="G22" s="3">
        <v>-0.21</v>
      </c>
      <c r="H22" s="3">
        <f t="shared" si="1"/>
        <v>0.34388276061717266</v>
      </c>
      <c r="J22" s="1" t="s">
        <v>59</v>
      </c>
      <c r="K22" s="2">
        <v>34689</v>
      </c>
      <c r="L22" s="1">
        <f t="shared" si="4"/>
        <v>24</v>
      </c>
      <c r="O22" s="1">
        <v>-0.44</v>
      </c>
      <c r="P22" s="3">
        <f t="shared" si="3"/>
        <v>0.13706085436881627</v>
      </c>
    </row>
    <row r="23" spans="2:16" x14ac:dyDescent="0.3">
      <c r="B23" s="1" t="s">
        <v>24</v>
      </c>
      <c r="C23" s="2">
        <v>33165</v>
      </c>
      <c r="D23" s="1">
        <f t="shared" si="0"/>
        <v>28</v>
      </c>
      <c r="E23" s="3">
        <v>0.24</v>
      </c>
      <c r="F23" s="3">
        <f>-0.46-0.22</f>
        <v>-0.68</v>
      </c>
      <c r="G23" s="3">
        <v>-0.25</v>
      </c>
      <c r="H23" s="3">
        <f t="shared" si="1"/>
        <v>-8.62820170198286E-2</v>
      </c>
      <c r="J23" s="1" t="s">
        <v>49</v>
      </c>
      <c r="K23" s="2">
        <v>31184</v>
      </c>
      <c r="L23" s="1">
        <f t="shared" si="4"/>
        <v>34</v>
      </c>
      <c r="O23" s="1">
        <v>-0.44</v>
      </c>
      <c r="P23" s="3">
        <f t="shared" si="3"/>
        <v>-0.28492453469773626</v>
      </c>
    </row>
    <row r="24" spans="2:16" x14ac:dyDescent="0.3">
      <c r="B24" s="1" t="s">
        <v>109</v>
      </c>
      <c r="C24" s="2">
        <v>32225</v>
      </c>
      <c r="D24" s="1">
        <f t="shared" si="0"/>
        <v>31</v>
      </c>
      <c r="F24" s="1">
        <v>-0.11</v>
      </c>
      <c r="G24" s="1">
        <v>-0.33</v>
      </c>
      <c r="H24" s="3">
        <f t="shared" si="1"/>
        <v>-0.14045289162299937</v>
      </c>
      <c r="J24" s="1" t="s">
        <v>50</v>
      </c>
      <c r="K24" s="2">
        <v>31564</v>
      </c>
      <c r="L24" s="1">
        <f t="shared" si="4"/>
        <v>33</v>
      </c>
      <c r="M24" s="1">
        <v>4.13</v>
      </c>
      <c r="N24" s="1">
        <v>2.33</v>
      </c>
      <c r="O24" s="1">
        <v>-0.53</v>
      </c>
      <c r="P24" s="3">
        <f t="shared" si="3"/>
        <v>0.5609029791472615</v>
      </c>
    </row>
    <row r="25" spans="2:16" x14ac:dyDescent="0.3">
      <c r="B25" s="1" t="s">
        <v>459</v>
      </c>
      <c r="C25" s="2">
        <v>32260</v>
      </c>
      <c r="D25" s="1">
        <f t="shared" si="0"/>
        <v>31</v>
      </c>
      <c r="F25" s="3">
        <f>'MILB &amp; MLB'!AM32+'MILB &amp; MLB'!AM33</f>
        <v>0.46355511264435545</v>
      </c>
      <c r="G25" s="3">
        <f>'MILB &amp; MLB'!AM34+'MILB &amp; MLB'!AM35</f>
        <v>5.3298790506504279</v>
      </c>
      <c r="H25" s="3">
        <f t="shared" si="1"/>
        <v>2.7159217923965762</v>
      </c>
      <c r="J25" s="1" t="s">
        <v>51</v>
      </c>
      <c r="K25" s="2">
        <v>33794</v>
      </c>
      <c r="L25" s="1">
        <f t="shared" si="4"/>
        <v>26</v>
      </c>
      <c r="N25" s="1">
        <v>0.28000000000000003</v>
      </c>
      <c r="O25" s="1">
        <f>-0.68+0.03</f>
        <v>-0.65</v>
      </c>
      <c r="P25" s="3">
        <f t="shared" si="3"/>
        <v>2.0761681142074436E-2</v>
      </c>
    </row>
    <row r="26" spans="2:16" x14ac:dyDescent="0.3">
      <c r="B26" s="1" t="s">
        <v>672</v>
      </c>
      <c r="C26" s="2">
        <v>35188</v>
      </c>
      <c r="D26" s="1">
        <f t="shared" si="0"/>
        <v>23</v>
      </c>
      <c r="F26" s="1">
        <v>-0.18</v>
      </c>
      <c r="G26" s="1">
        <v>0.01</v>
      </c>
      <c r="H26" s="3">
        <f t="shared" si="1"/>
        <v>0.36185076828521945</v>
      </c>
      <c r="J26" s="1" t="s">
        <v>52</v>
      </c>
      <c r="K26" s="2">
        <v>31259</v>
      </c>
      <c r="L26" s="1">
        <f t="shared" si="4"/>
        <v>33</v>
      </c>
      <c r="M26" s="1">
        <v>5.67</v>
      </c>
      <c r="N26" s="1">
        <v>5.41</v>
      </c>
      <c r="O26" s="1">
        <v>-2.19</v>
      </c>
      <c r="P26" s="3">
        <f t="shared" si="3"/>
        <v>0.62318802257348482</v>
      </c>
    </row>
    <row r="27" spans="2:16" x14ac:dyDescent="0.3">
      <c r="B27" s="1" t="s">
        <v>673</v>
      </c>
      <c r="C27" s="2">
        <v>36149</v>
      </c>
      <c r="D27" s="1">
        <f t="shared" si="0"/>
        <v>20</v>
      </c>
      <c r="G27" s="1">
        <v>0.01</v>
      </c>
      <c r="H27" s="3">
        <f t="shared" si="1"/>
        <v>0.53850652684334288</v>
      </c>
      <c r="J27" s="1" t="s">
        <v>105</v>
      </c>
      <c r="K27" s="2">
        <v>30626</v>
      </c>
      <c r="L27" s="1">
        <f t="shared" si="4"/>
        <v>35</v>
      </c>
      <c r="M27" s="1">
        <v>2.79</v>
      </c>
      <c r="N27" s="1">
        <v>0.01</v>
      </c>
      <c r="O27" s="1">
        <v>0.22</v>
      </c>
      <c r="P27" s="3">
        <f t="shared" si="3"/>
        <v>0.18786789521242919</v>
      </c>
    </row>
    <row r="28" spans="2:16" x14ac:dyDescent="0.3">
      <c r="J28" s="1" t="s">
        <v>106</v>
      </c>
      <c r="K28" s="2">
        <v>29710</v>
      </c>
      <c r="L28" s="1">
        <f t="shared" ref="L28:L31" si="5">DATEDIF(K28,$C$1,"y")</f>
        <v>38</v>
      </c>
      <c r="M28" s="1">
        <v>-1.55</v>
      </c>
      <c r="N28" s="1">
        <v>1.1299999999999999</v>
      </c>
      <c r="O28" s="1">
        <v>-0.03</v>
      </c>
      <c r="P28" s="3">
        <f t="shared" si="3"/>
        <v>-0.1271019991868457</v>
      </c>
    </row>
    <row r="29" spans="2:16" x14ac:dyDescent="0.3">
      <c r="J29" s="1" t="s">
        <v>107</v>
      </c>
      <c r="K29" s="2">
        <v>33455</v>
      </c>
      <c r="L29" s="1">
        <f t="shared" si="5"/>
        <v>27</v>
      </c>
      <c r="M29" s="1">
        <v>0.08</v>
      </c>
      <c r="P29" s="3">
        <f t="shared" si="3"/>
        <v>0.21706928413583457</v>
      </c>
    </row>
    <row r="30" spans="2:16" x14ac:dyDescent="0.3">
      <c r="J30" s="1" t="s">
        <v>108</v>
      </c>
      <c r="K30" s="2">
        <v>34392</v>
      </c>
      <c r="L30" s="1">
        <f t="shared" si="5"/>
        <v>25</v>
      </c>
      <c r="N30" s="1">
        <v>0.47</v>
      </c>
      <c r="O30" s="1">
        <v>0.42</v>
      </c>
      <c r="P30" s="3">
        <f t="shared" si="3"/>
        <v>0.59390223657226593</v>
      </c>
    </row>
    <row r="31" spans="2:16" x14ac:dyDescent="0.3">
      <c r="J31" s="1" t="s">
        <v>674</v>
      </c>
      <c r="K31" s="2">
        <v>32677</v>
      </c>
      <c r="L31" s="1">
        <f t="shared" si="5"/>
        <v>30</v>
      </c>
      <c r="M31" s="1">
        <v>1.21</v>
      </c>
      <c r="P31" s="3">
        <f t="shared" si="3"/>
        <v>0.17630549555200561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P30"/>
  <sheetViews>
    <sheetView workbookViewId="0">
      <selection activeCell="P30" sqref="P30"/>
    </sheetView>
  </sheetViews>
  <sheetFormatPr defaultColWidth="8.75" defaultRowHeight="16.5" x14ac:dyDescent="0.3"/>
  <cols>
    <col min="1" max="2" width="8.75" style="1"/>
    <col min="3" max="3" width="11.125" style="1" customWidth="1"/>
    <col min="4" max="10" width="8.75" style="1"/>
    <col min="11" max="11" width="11.125" style="1" bestFit="1" customWidth="1"/>
    <col min="12" max="16384" width="8.75" style="1"/>
  </cols>
  <sheetData>
    <row r="1" spans="2:16" x14ac:dyDescent="0.3">
      <c r="B1" s="1" t="s">
        <v>35</v>
      </c>
      <c r="C1" s="2">
        <v>43647</v>
      </c>
    </row>
    <row r="2" spans="2:16" x14ac:dyDescent="0.3">
      <c r="B2" s="1" t="s">
        <v>30</v>
      </c>
      <c r="C2" s="2"/>
      <c r="J2" s="1" t="s">
        <v>31</v>
      </c>
    </row>
    <row r="3" spans="2:16" x14ac:dyDescent="0.3">
      <c r="B3" s="1" t="s">
        <v>26</v>
      </c>
      <c r="C3" s="1" t="s">
        <v>25</v>
      </c>
      <c r="D3" s="1" t="s">
        <v>27</v>
      </c>
      <c r="E3" s="1">
        <v>2016</v>
      </c>
      <c r="F3" s="1">
        <v>2017</v>
      </c>
      <c r="G3" s="1">
        <v>2018</v>
      </c>
      <c r="H3" s="1">
        <v>2019</v>
      </c>
      <c r="J3" s="1" t="s">
        <v>26</v>
      </c>
      <c r="K3" s="1" t="s">
        <v>25</v>
      </c>
      <c r="L3" s="1" t="s">
        <v>27</v>
      </c>
      <c r="M3" s="1">
        <v>2016</v>
      </c>
      <c r="N3" s="1">
        <v>2017</v>
      </c>
      <c r="O3" s="1">
        <v>2018</v>
      </c>
      <c r="P3" s="1">
        <v>2019</v>
      </c>
    </row>
    <row r="4" spans="2:16" x14ac:dyDescent="0.3">
      <c r="B4" s="1" t="s">
        <v>60</v>
      </c>
      <c r="C4" s="2">
        <v>31320</v>
      </c>
      <c r="D4" s="1">
        <f>DATEDIF(C4,$C$1,"y")</f>
        <v>33</v>
      </c>
      <c r="E4" s="3">
        <f>'MILB &amp; MLB'!AM22</f>
        <v>-0.5670096096557562</v>
      </c>
      <c r="F4" s="3">
        <f>0.57+'MILB &amp; MLB'!AM23</f>
        <v>1.9865735817820989</v>
      </c>
      <c r="G4" s="3">
        <v>5.36</v>
      </c>
      <c r="H4" s="3">
        <f t="shared" ref="H4:H29" si="0">(((G4*0.6)+(F4*0.3)+(E4*0.1))*0.9+0.05*(32-D4))*0.889505330101326</f>
        <v>2.9618250378406281</v>
      </c>
      <c r="J4" s="1" t="s">
        <v>81</v>
      </c>
      <c r="K4" s="2">
        <v>33169</v>
      </c>
      <c r="L4" s="1">
        <f t="shared" ref="L4:L17" si="1">DATEDIF(K4,$C$1,"y")</f>
        <v>28</v>
      </c>
      <c r="O4" s="1">
        <v>-0.19</v>
      </c>
      <c r="P4" s="3">
        <f t="shared" ref="P4:P30" si="2">(((O4*0.6)+(N4*0.3)+(M4*0.1))*0.9+0.05*(32-L4))*0.843970778133105</f>
        <v>8.2202753790164437E-2</v>
      </c>
    </row>
    <row r="5" spans="2:16" x14ac:dyDescent="0.3">
      <c r="B5" s="1" t="s">
        <v>61</v>
      </c>
      <c r="C5" s="2">
        <v>32729</v>
      </c>
      <c r="D5" s="1">
        <f t="shared" ref="D5:D29" si="3">DATEDIF(C5,$C$1,"y")</f>
        <v>29</v>
      </c>
      <c r="E5" s="1">
        <v>0.05</v>
      </c>
      <c r="F5" s="1">
        <v>4</v>
      </c>
      <c r="G5" s="3">
        <v>4.4800000000000004</v>
      </c>
      <c r="H5" s="3">
        <f t="shared" si="0"/>
        <v>3.2499856245912149</v>
      </c>
      <c r="J5" s="1" t="s">
        <v>85</v>
      </c>
      <c r="K5" s="2">
        <v>32346</v>
      </c>
      <c r="L5" s="1">
        <f t="shared" si="1"/>
        <v>30</v>
      </c>
      <c r="M5" s="1">
        <v>3.69</v>
      </c>
      <c r="O5" s="1">
        <v>5.26</v>
      </c>
      <c r="P5" s="3">
        <f t="shared" si="2"/>
        <v>2.7618943714405857</v>
      </c>
    </row>
    <row r="6" spans="2:16" x14ac:dyDescent="0.3">
      <c r="B6" s="1" t="s">
        <v>62</v>
      </c>
      <c r="C6" s="2">
        <v>32197</v>
      </c>
      <c r="D6" s="1">
        <f t="shared" si="3"/>
        <v>31</v>
      </c>
      <c r="E6" s="1">
        <v>1.91</v>
      </c>
      <c r="F6" s="1">
        <v>0.22</v>
      </c>
      <c r="G6" s="3">
        <v>4.13</v>
      </c>
      <c r="H6" s="3">
        <f t="shared" si="0"/>
        <v>2.23399263654948</v>
      </c>
      <c r="J6" s="1" t="s">
        <v>101</v>
      </c>
      <c r="K6" s="2">
        <v>34003</v>
      </c>
      <c r="L6" s="1">
        <f t="shared" si="1"/>
        <v>26</v>
      </c>
      <c r="M6" s="1">
        <v>1.3</v>
      </c>
      <c r="N6" s="1">
        <v>0.02</v>
      </c>
      <c r="O6" s="1">
        <v>-0.32</v>
      </c>
      <c r="P6" s="3">
        <f t="shared" si="2"/>
        <v>0.21065510622202302</v>
      </c>
    </row>
    <row r="7" spans="2:16" x14ac:dyDescent="0.3">
      <c r="B7" s="1" t="s">
        <v>63</v>
      </c>
      <c r="C7" s="2">
        <v>31836</v>
      </c>
      <c r="D7" s="1">
        <f t="shared" si="3"/>
        <v>32</v>
      </c>
      <c r="E7" s="1">
        <v>5.5</v>
      </c>
      <c r="F7" s="1">
        <v>6.68</v>
      </c>
      <c r="G7" s="3">
        <v>3.8</v>
      </c>
      <c r="H7" s="3">
        <f t="shared" si="0"/>
        <v>3.8698818891388291</v>
      </c>
      <c r="J7" s="1" t="s">
        <v>88</v>
      </c>
      <c r="K7" s="2">
        <v>33012</v>
      </c>
      <c r="L7" s="1">
        <f t="shared" si="1"/>
        <v>29</v>
      </c>
      <c r="M7" s="1">
        <v>0.27</v>
      </c>
      <c r="N7" s="1">
        <v>-0.15</v>
      </c>
      <c r="O7" s="1">
        <v>2.2599999999999998</v>
      </c>
      <c r="P7" s="3">
        <f t="shared" si="2"/>
        <v>1.1429052277478509</v>
      </c>
    </row>
    <row r="8" spans="2:16" x14ac:dyDescent="0.3">
      <c r="B8" s="1" t="s">
        <v>64</v>
      </c>
      <c r="C8" s="2">
        <v>33091</v>
      </c>
      <c r="D8" s="1">
        <f t="shared" si="3"/>
        <v>28</v>
      </c>
      <c r="E8" s="1">
        <v>1.36</v>
      </c>
      <c r="F8" s="1">
        <f>0.88+0.12</f>
        <v>1</v>
      </c>
      <c r="G8" s="3">
        <v>3.05</v>
      </c>
      <c r="H8" s="3">
        <f t="shared" si="0"/>
        <v>1.9919582362289099</v>
      </c>
      <c r="J8" s="1" t="s">
        <v>99</v>
      </c>
      <c r="K8" s="2">
        <v>35348</v>
      </c>
      <c r="L8" s="1">
        <f t="shared" si="1"/>
        <v>22</v>
      </c>
      <c r="M8" s="1">
        <v>-0.51</v>
      </c>
      <c r="O8" s="1">
        <v>-0.13</v>
      </c>
      <c r="P8" s="3">
        <f t="shared" si="2"/>
        <v>0.32400038172529899</v>
      </c>
    </row>
    <row r="9" spans="2:16" x14ac:dyDescent="0.3">
      <c r="B9" s="1" t="s">
        <v>65</v>
      </c>
      <c r="C9" s="2">
        <v>30207</v>
      </c>
      <c r="D9" s="1">
        <f t="shared" si="3"/>
        <v>36</v>
      </c>
      <c r="E9" s="1">
        <v>2.48</v>
      </c>
      <c r="F9" s="1">
        <v>0.06</v>
      </c>
      <c r="G9" s="3">
        <v>1.51</v>
      </c>
      <c r="H9" s="3">
        <f t="shared" si="0"/>
        <v>0.76034915617061349</v>
      </c>
      <c r="J9" s="1" t="s">
        <v>92</v>
      </c>
      <c r="K9" s="2">
        <v>31993</v>
      </c>
      <c r="L9" s="1">
        <f t="shared" si="1"/>
        <v>31</v>
      </c>
      <c r="O9" s="1">
        <v>0.13</v>
      </c>
      <c r="P9" s="3">
        <f t="shared" si="2"/>
        <v>0.10144528753159922</v>
      </c>
    </row>
    <row r="10" spans="2:16" x14ac:dyDescent="0.3">
      <c r="B10" s="1" t="s">
        <v>66</v>
      </c>
      <c r="C10" s="2">
        <v>34337</v>
      </c>
      <c r="D10" s="1">
        <f t="shared" si="3"/>
        <v>25</v>
      </c>
      <c r="F10" s="1">
        <v>0.45</v>
      </c>
      <c r="G10" s="3">
        <v>1.31</v>
      </c>
      <c r="H10" s="3">
        <f t="shared" si="0"/>
        <v>1.0486378336564532</v>
      </c>
      <c r="J10" s="1" t="s">
        <v>87</v>
      </c>
      <c r="K10" s="2">
        <v>32840</v>
      </c>
      <c r="L10" s="1">
        <f t="shared" si="1"/>
        <v>29</v>
      </c>
      <c r="M10" s="1">
        <v>-7.0000000000000007E-2</v>
      </c>
      <c r="N10" s="1">
        <v>1.67</v>
      </c>
      <c r="O10" s="1">
        <v>2.41</v>
      </c>
      <c r="P10" s="3">
        <f t="shared" si="2"/>
        <v>1.6001685953403673</v>
      </c>
    </row>
    <row r="11" spans="2:16" x14ac:dyDescent="0.3">
      <c r="B11" s="1" t="s">
        <v>67</v>
      </c>
      <c r="C11" s="2">
        <v>30847</v>
      </c>
      <c r="D11" s="1">
        <f t="shared" si="3"/>
        <v>35</v>
      </c>
      <c r="E11" s="1">
        <v>0.32</v>
      </c>
      <c r="F11" s="1">
        <v>1.65</v>
      </c>
      <c r="G11" s="3">
        <v>1.27</v>
      </c>
      <c r="H11" s="3">
        <f t="shared" si="0"/>
        <v>0.89848933393534947</v>
      </c>
      <c r="J11" s="1" t="s">
        <v>98</v>
      </c>
      <c r="K11" s="2">
        <v>33659</v>
      </c>
      <c r="L11" s="1">
        <f t="shared" si="1"/>
        <v>27</v>
      </c>
      <c r="M11" s="1">
        <v>0.52</v>
      </c>
      <c r="O11" s="1">
        <v>-0.09</v>
      </c>
      <c r="P11" s="3">
        <f t="shared" si="2"/>
        <v>0.20947354713263666</v>
      </c>
    </row>
    <row r="12" spans="2:16" x14ac:dyDescent="0.3">
      <c r="B12" s="1" t="s">
        <v>68</v>
      </c>
      <c r="C12" s="2">
        <v>31845</v>
      </c>
      <c r="D12" s="1">
        <f t="shared" si="3"/>
        <v>32</v>
      </c>
      <c r="E12" s="1">
        <v>2.64</v>
      </c>
      <c r="F12" s="1">
        <v>0.86</v>
      </c>
      <c r="G12" s="3">
        <v>0.7</v>
      </c>
      <c r="H12" s="3">
        <f t="shared" si="0"/>
        <v>0.75412261885990417</v>
      </c>
      <c r="J12" s="1" t="s">
        <v>77</v>
      </c>
      <c r="K12" s="2">
        <v>30042</v>
      </c>
      <c r="L12" s="1">
        <f t="shared" si="1"/>
        <v>37</v>
      </c>
      <c r="M12" s="1">
        <v>0.32</v>
      </c>
      <c r="N12" s="1">
        <v>1.91</v>
      </c>
      <c r="O12" s="1">
        <v>0.26</v>
      </c>
      <c r="P12" s="3">
        <f t="shared" si="2"/>
        <v>0.36704289141008739</v>
      </c>
    </row>
    <row r="13" spans="2:16" x14ac:dyDescent="0.3">
      <c r="B13" s="1" t="s">
        <v>69</v>
      </c>
      <c r="C13" s="2">
        <v>34374</v>
      </c>
      <c r="D13" s="1">
        <f t="shared" si="3"/>
        <v>25</v>
      </c>
      <c r="E13" s="1">
        <v>-0.31</v>
      </c>
      <c r="F13" s="1">
        <v>0.63</v>
      </c>
      <c r="G13" s="3">
        <f>-1.09+0.67</f>
        <v>-0.42000000000000004</v>
      </c>
      <c r="H13" s="3">
        <f t="shared" si="0"/>
        <v>0.23607471460889196</v>
      </c>
      <c r="J13" s="1" t="s">
        <v>86</v>
      </c>
      <c r="K13" s="2">
        <v>33463</v>
      </c>
      <c r="L13" s="1">
        <f t="shared" si="1"/>
        <v>27</v>
      </c>
      <c r="M13" s="1">
        <v>0.69</v>
      </c>
      <c r="N13" s="1">
        <v>3.48</v>
      </c>
      <c r="O13" s="1">
        <v>3.38</v>
      </c>
      <c r="P13" s="3">
        <f t="shared" si="2"/>
        <v>2.5968136872377507</v>
      </c>
    </row>
    <row r="14" spans="2:16" x14ac:dyDescent="0.3">
      <c r="B14" s="1" t="s">
        <v>70</v>
      </c>
      <c r="C14" s="2">
        <v>33942</v>
      </c>
      <c r="D14" s="1">
        <f t="shared" si="3"/>
        <v>26</v>
      </c>
      <c r="E14" s="1">
        <v>0.51</v>
      </c>
      <c r="F14" s="1">
        <v>-0.24</v>
      </c>
      <c r="G14" s="3">
        <v>0.38</v>
      </c>
      <c r="H14" s="3">
        <f t="shared" si="0"/>
        <v>0.43256644202827488</v>
      </c>
      <c r="J14" s="1" t="s">
        <v>80</v>
      </c>
      <c r="K14" s="2">
        <v>30510</v>
      </c>
      <c r="L14" s="1">
        <f t="shared" si="1"/>
        <v>35</v>
      </c>
      <c r="M14" s="1">
        <v>1.94</v>
      </c>
      <c r="N14" s="1">
        <v>-0.1</v>
      </c>
      <c r="O14" s="1">
        <v>0.83</v>
      </c>
      <c r="P14" s="3">
        <f t="shared" si="2"/>
        <v>0.37624217289173817</v>
      </c>
    </row>
    <row r="15" spans="2:16" x14ac:dyDescent="0.3">
      <c r="B15" s="1" t="s">
        <v>71</v>
      </c>
      <c r="C15" s="2">
        <v>32088</v>
      </c>
      <c r="D15" s="1">
        <f t="shared" si="3"/>
        <v>31</v>
      </c>
      <c r="E15" s="1">
        <v>1.37</v>
      </c>
      <c r="F15" s="1">
        <v>-0.19</v>
      </c>
      <c r="G15" s="3">
        <v>0.24</v>
      </c>
      <c r="H15" s="3">
        <f t="shared" si="0"/>
        <v>0.22379954105349362</v>
      </c>
      <c r="J15" s="1" t="s">
        <v>103</v>
      </c>
      <c r="K15" s="2">
        <v>32100</v>
      </c>
      <c r="L15" s="1">
        <f t="shared" si="1"/>
        <v>31</v>
      </c>
      <c r="M15" s="1">
        <v>0.28000000000000003</v>
      </c>
      <c r="N15" s="1">
        <v>0.87</v>
      </c>
      <c r="O15" s="1">
        <v>-0.44</v>
      </c>
      <c r="P15" s="3">
        <f t="shared" si="2"/>
        <v>6.1187881414650119E-2</v>
      </c>
    </row>
    <row r="16" spans="2:16" x14ac:dyDescent="0.3">
      <c r="B16" s="1" t="s">
        <v>72</v>
      </c>
      <c r="C16" s="2">
        <v>31618</v>
      </c>
      <c r="D16" s="1">
        <f t="shared" si="3"/>
        <v>32</v>
      </c>
      <c r="E16" s="1">
        <v>1.79</v>
      </c>
      <c r="F16" s="1">
        <v>1.3</v>
      </c>
      <c r="G16" s="3">
        <v>0.17</v>
      </c>
      <c r="H16" s="3">
        <f t="shared" si="0"/>
        <v>0.53717226884819091</v>
      </c>
      <c r="J16" s="1" t="s">
        <v>95</v>
      </c>
      <c r="K16" s="2">
        <v>35242</v>
      </c>
      <c r="L16" s="1">
        <f t="shared" si="1"/>
        <v>23</v>
      </c>
      <c r="O16" s="1">
        <v>0.01</v>
      </c>
      <c r="P16" s="3">
        <f t="shared" si="2"/>
        <v>0.384344292361816</v>
      </c>
    </row>
    <row r="17" spans="2:16" x14ac:dyDescent="0.3">
      <c r="B17" s="1" t="s">
        <v>73</v>
      </c>
      <c r="C17" s="2">
        <v>30894</v>
      </c>
      <c r="D17" s="1">
        <f t="shared" si="3"/>
        <v>34</v>
      </c>
      <c r="E17" s="1">
        <v>0.2</v>
      </c>
      <c r="F17" s="1">
        <v>0.15</v>
      </c>
      <c r="G17" s="3">
        <v>0.1</v>
      </c>
      <c r="H17" s="3">
        <f t="shared" si="0"/>
        <v>1.1118816626266573E-2</v>
      </c>
      <c r="J17" s="1" t="s">
        <v>89</v>
      </c>
      <c r="K17" s="2">
        <v>32840</v>
      </c>
      <c r="L17" s="1">
        <f t="shared" si="1"/>
        <v>29</v>
      </c>
      <c r="N17" s="3">
        <f>ROUND(SUM('MILB &amp; MLB'!W174:W175),2)</f>
        <v>2.08</v>
      </c>
      <c r="O17" s="1">
        <v>1.88</v>
      </c>
      <c r="P17" s="3">
        <f t="shared" si="2"/>
        <v>1.4573687396802455</v>
      </c>
    </row>
    <row r="18" spans="2:16" x14ac:dyDescent="0.3">
      <c r="B18" s="1" t="s">
        <v>74</v>
      </c>
      <c r="C18" s="2">
        <v>32275</v>
      </c>
      <c r="D18" s="1">
        <f t="shared" si="3"/>
        <v>31</v>
      </c>
      <c r="E18" s="1">
        <v>0.41</v>
      </c>
      <c r="G18" s="3">
        <v>0.09</v>
      </c>
      <c r="H18" s="3">
        <f t="shared" si="0"/>
        <v>0.12052797222872969</v>
      </c>
      <c r="J18" s="1" t="s">
        <v>93</v>
      </c>
      <c r="K18" s="2">
        <v>33879</v>
      </c>
      <c r="L18" s="1">
        <f t="shared" ref="L18:L29" si="4">DATEDIF(K18,$C$1,"y")</f>
        <v>26</v>
      </c>
      <c r="M18" s="1">
        <v>0.34</v>
      </c>
      <c r="N18" s="1">
        <v>1.26</v>
      </c>
      <c r="O18" s="1">
        <v>0.11</v>
      </c>
      <c r="P18" s="3">
        <f t="shared" si="2"/>
        <v>0.61626746219279316</v>
      </c>
    </row>
    <row r="19" spans="2:16" x14ac:dyDescent="0.3">
      <c r="B19" s="1" t="s">
        <v>75</v>
      </c>
      <c r="C19" s="2">
        <v>32153</v>
      </c>
      <c r="D19" s="1">
        <f t="shared" si="3"/>
        <v>31</v>
      </c>
      <c r="E19" s="1">
        <v>0.62</v>
      </c>
      <c r="F19" s="1">
        <v>-0.14000000000000001</v>
      </c>
      <c r="G19" s="3">
        <v>0.06</v>
      </c>
      <c r="H19" s="3">
        <f t="shared" si="0"/>
        <v>8.9306335142173121E-2</v>
      </c>
      <c r="J19" s="1" t="s">
        <v>79</v>
      </c>
      <c r="K19" s="2">
        <v>30038</v>
      </c>
      <c r="L19" s="1">
        <f t="shared" si="4"/>
        <v>37</v>
      </c>
      <c r="M19" s="1">
        <v>0.12</v>
      </c>
      <c r="N19" s="1">
        <v>1.07</v>
      </c>
      <c r="O19" s="1">
        <v>1.68</v>
      </c>
      <c r="P19" s="3">
        <f t="shared" si="2"/>
        <v>0.80759563759556818</v>
      </c>
    </row>
    <row r="20" spans="2:16" x14ac:dyDescent="0.3">
      <c r="B20" s="1" t="s">
        <v>76</v>
      </c>
      <c r="C20" s="2">
        <v>35457</v>
      </c>
      <c r="D20" s="1">
        <f t="shared" si="3"/>
        <v>22</v>
      </c>
      <c r="G20" s="3">
        <v>0.03</v>
      </c>
      <c r="H20" s="3">
        <f t="shared" si="0"/>
        <v>0.45916265139830448</v>
      </c>
      <c r="J20" s="1" t="s">
        <v>78</v>
      </c>
      <c r="K20" s="2">
        <v>31184</v>
      </c>
      <c r="L20" s="1">
        <f t="shared" si="4"/>
        <v>34</v>
      </c>
      <c r="M20" s="1">
        <v>2.4</v>
      </c>
      <c r="N20" s="1">
        <v>0.21</v>
      </c>
      <c r="O20" s="1">
        <v>0.71</v>
      </c>
      <c r="P20" s="3">
        <f t="shared" si="2"/>
        <v>0.46933214971981968</v>
      </c>
    </row>
    <row r="21" spans="2:16" x14ac:dyDescent="0.3">
      <c r="B21" s="1" t="s">
        <v>82</v>
      </c>
      <c r="C21" s="2">
        <v>32510</v>
      </c>
      <c r="D21" s="1">
        <f t="shared" si="3"/>
        <v>30</v>
      </c>
      <c r="G21" s="3">
        <v>-0.03</v>
      </c>
      <c r="H21" s="3">
        <f t="shared" si="0"/>
        <v>7.4540546662491131E-2</v>
      </c>
      <c r="J21" s="1" t="s">
        <v>90</v>
      </c>
      <c r="K21" s="2">
        <v>34706</v>
      </c>
      <c r="L21" s="1">
        <f t="shared" si="4"/>
        <v>24</v>
      </c>
      <c r="O21" s="1">
        <v>0.56000000000000005</v>
      </c>
      <c r="P21" s="3">
        <f t="shared" si="2"/>
        <v>0.59280507456069298</v>
      </c>
    </row>
    <row r="22" spans="2:16" x14ac:dyDescent="0.3">
      <c r="B22" s="1" t="s">
        <v>83</v>
      </c>
      <c r="C22" s="2">
        <v>29788</v>
      </c>
      <c r="D22" s="1">
        <f t="shared" si="3"/>
        <v>37</v>
      </c>
      <c r="E22" s="1">
        <v>1.81</v>
      </c>
      <c r="F22" s="1">
        <v>0.78</v>
      </c>
      <c r="G22" s="3">
        <v>-0.13</v>
      </c>
      <c r="H22" s="3">
        <f t="shared" si="0"/>
        <v>4.741063409440064E-2</v>
      </c>
      <c r="J22" s="1" t="s">
        <v>104</v>
      </c>
      <c r="K22" s="2">
        <v>35978</v>
      </c>
      <c r="L22" s="1">
        <f t="shared" si="4"/>
        <v>20</v>
      </c>
      <c r="O22" s="1">
        <v>-0.62</v>
      </c>
      <c r="P22" s="3">
        <f t="shared" si="2"/>
        <v>0.22382105036089953</v>
      </c>
    </row>
    <row r="23" spans="2:16" x14ac:dyDescent="0.3">
      <c r="B23" s="1" t="s">
        <v>84</v>
      </c>
      <c r="C23" s="2">
        <v>33887</v>
      </c>
      <c r="D23" s="1">
        <f t="shared" si="3"/>
        <v>26</v>
      </c>
      <c r="E23" s="1">
        <v>-0.11</v>
      </c>
      <c r="F23" s="1">
        <v>0.02</v>
      </c>
      <c r="G23" s="3">
        <v>-0.9</v>
      </c>
      <c r="H23" s="3">
        <f t="shared" si="0"/>
        <v>-0.16945076538430262</v>
      </c>
      <c r="J23" s="1" t="s">
        <v>94</v>
      </c>
      <c r="K23" s="2">
        <v>30964</v>
      </c>
      <c r="L23" s="1">
        <f t="shared" si="4"/>
        <v>34</v>
      </c>
      <c r="M23" s="1">
        <f>-0.63-0.38</f>
        <v>-1.01</v>
      </c>
      <c r="N23" s="1">
        <v>0.55000000000000004</v>
      </c>
      <c r="O23" s="1">
        <v>0.01</v>
      </c>
      <c r="P23" s="3">
        <f t="shared" si="2"/>
        <v>-3.1226918790924877E-2</v>
      </c>
    </row>
    <row r="24" spans="2:16" x14ac:dyDescent="0.3">
      <c r="B24" s="1" t="s">
        <v>666</v>
      </c>
      <c r="C24" s="2">
        <v>32510</v>
      </c>
      <c r="D24" s="1">
        <f t="shared" si="3"/>
        <v>30</v>
      </c>
      <c r="G24" s="1">
        <v>-0.03</v>
      </c>
      <c r="H24" s="3">
        <f t="shared" si="0"/>
        <v>7.4540546662491131E-2</v>
      </c>
      <c r="J24" s="1" t="s">
        <v>96</v>
      </c>
      <c r="K24" s="2">
        <v>32463</v>
      </c>
      <c r="L24" s="1">
        <f t="shared" si="4"/>
        <v>30</v>
      </c>
      <c r="M24" s="1">
        <v>0.39</v>
      </c>
      <c r="N24" s="1">
        <v>-0.34</v>
      </c>
      <c r="O24" s="1">
        <v>-0.04</v>
      </c>
      <c r="P24" s="3">
        <f t="shared" si="2"/>
        <v>1.8314165885488388E-2</v>
      </c>
    </row>
    <row r="25" spans="2:16" x14ac:dyDescent="0.3">
      <c r="B25" s="1" t="s">
        <v>667</v>
      </c>
      <c r="C25" s="2">
        <v>35713</v>
      </c>
      <c r="D25" s="1">
        <f t="shared" si="3"/>
        <v>21</v>
      </c>
      <c r="E25" s="1">
        <v>-0.08</v>
      </c>
      <c r="H25" s="3">
        <f t="shared" si="0"/>
        <v>0.48282349317899981</v>
      </c>
      <c r="J25" s="1" t="s">
        <v>102</v>
      </c>
      <c r="K25" s="2">
        <v>30905</v>
      </c>
      <c r="L25" s="1">
        <f t="shared" si="4"/>
        <v>34</v>
      </c>
      <c r="M25" s="1">
        <v>0.05</v>
      </c>
      <c r="N25" s="1">
        <v>0.35</v>
      </c>
      <c r="O25" s="1">
        <f>-0.38-0.19</f>
        <v>-0.57000000000000006</v>
      </c>
      <c r="P25" s="3">
        <f t="shared" si="2"/>
        <v>-0.26061817628750289</v>
      </c>
    </row>
    <row r="26" spans="2:16" x14ac:dyDescent="0.3">
      <c r="B26" s="1" t="s">
        <v>668</v>
      </c>
      <c r="C26" s="2">
        <v>33310</v>
      </c>
      <c r="D26" s="1">
        <f t="shared" si="3"/>
        <v>28</v>
      </c>
      <c r="E26" s="1">
        <v>-0.42</v>
      </c>
      <c r="F26" s="1">
        <v>-0.11</v>
      </c>
      <c r="G26" s="1">
        <v>-0.16</v>
      </c>
      <c r="H26" s="3">
        <f t="shared" si="0"/>
        <v>4.1006195717671133E-2</v>
      </c>
      <c r="J26" s="1" t="s">
        <v>97</v>
      </c>
      <c r="K26" s="2">
        <v>36241</v>
      </c>
      <c r="L26" s="1">
        <f t="shared" si="4"/>
        <v>20</v>
      </c>
      <c r="O26" s="1">
        <v>-0.06</v>
      </c>
      <c r="P26" s="3">
        <f t="shared" si="2"/>
        <v>0.47903781366835047</v>
      </c>
    </row>
    <row r="27" spans="2:16" x14ac:dyDescent="0.3">
      <c r="B27" s="1" t="s">
        <v>669</v>
      </c>
      <c r="C27" s="2">
        <v>33648</v>
      </c>
      <c r="D27" s="1">
        <f t="shared" si="3"/>
        <v>27</v>
      </c>
      <c r="G27" s="1">
        <v>0.05</v>
      </c>
      <c r="H27" s="3">
        <f t="shared" si="0"/>
        <v>0.24639297643806735</v>
      </c>
      <c r="J27" s="1" t="s">
        <v>91</v>
      </c>
      <c r="K27" s="2">
        <v>30066</v>
      </c>
      <c r="L27" s="1">
        <f t="shared" si="4"/>
        <v>37</v>
      </c>
      <c r="M27" s="1">
        <v>1.67</v>
      </c>
      <c r="N27" s="1">
        <v>-0.69</v>
      </c>
      <c r="O27" s="1">
        <v>0.51</v>
      </c>
      <c r="P27" s="3">
        <f t="shared" si="2"/>
        <v>-8.9460902482108879E-3</v>
      </c>
    </row>
    <row r="28" spans="2:16" x14ac:dyDescent="0.3">
      <c r="B28" s="1" t="s">
        <v>670</v>
      </c>
      <c r="C28" s="2">
        <v>32519</v>
      </c>
      <c r="D28" s="1">
        <f t="shared" si="3"/>
        <v>30</v>
      </c>
      <c r="E28" s="1">
        <v>1.88</v>
      </c>
      <c r="F28" s="1">
        <v>1.47</v>
      </c>
      <c r="G28" s="1">
        <v>-0.54</v>
      </c>
      <c r="H28" s="3">
        <f t="shared" si="0"/>
        <v>0.33311974612294665</v>
      </c>
      <c r="J28" s="1" t="s">
        <v>100</v>
      </c>
      <c r="K28" s="2">
        <v>36322</v>
      </c>
      <c r="L28" s="1">
        <f t="shared" si="4"/>
        <v>20</v>
      </c>
      <c r="O28" s="1">
        <v>-0.16</v>
      </c>
      <c r="P28" s="3">
        <f t="shared" si="2"/>
        <v>0.43346339164916275</v>
      </c>
    </row>
    <row r="29" spans="2:16" x14ac:dyDescent="0.3">
      <c r="B29" s="1" t="s">
        <v>671</v>
      </c>
      <c r="C29" s="2">
        <v>32686</v>
      </c>
      <c r="D29" s="1">
        <f t="shared" si="3"/>
        <v>30</v>
      </c>
      <c r="E29" s="1">
        <v>0.88</v>
      </c>
      <c r="F29" s="1">
        <v>0.38</v>
      </c>
      <c r="G29" s="1">
        <v>-0.42</v>
      </c>
      <c r="H29" s="3">
        <f t="shared" si="0"/>
        <v>4.8922793155572936E-2</v>
      </c>
      <c r="J29" s="1" t="s">
        <v>528</v>
      </c>
      <c r="K29" s="2">
        <v>35418</v>
      </c>
      <c r="L29" s="1">
        <f t="shared" si="4"/>
        <v>22</v>
      </c>
      <c r="M29" s="1">
        <v>0.09</v>
      </c>
      <c r="P29" s="3">
        <f t="shared" si="2"/>
        <v>0.42882155236943065</v>
      </c>
    </row>
    <row r="30" spans="2:16" x14ac:dyDescent="0.3">
      <c r="J30" s="1" t="s">
        <v>529</v>
      </c>
      <c r="K30" s="2">
        <v>34517</v>
      </c>
      <c r="L30" s="1">
        <f>DATEDIF(K30,$C$1,"y")</f>
        <v>24</v>
      </c>
      <c r="M30" s="3">
        <f>ROUND('MILB &amp; MLB'!W184,2)</f>
        <v>2.2000000000000002</v>
      </c>
      <c r="N30" s="3">
        <f>ROUND('MILB &amp; MLB'!W185,2)</f>
        <v>3.17</v>
      </c>
      <c r="O30" s="3">
        <f>ROUND(SUM('MILB &amp; MLB'!W186:W187),2)</f>
        <v>3.88</v>
      </c>
      <c r="P30" s="3">
        <f t="shared" si="2"/>
        <v>2.9953366886722028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31"/>
  <sheetViews>
    <sheetView workbookViewId="0">
      <selection activeCell="P26" sqref="P26"/>
    </sheetView>
  </sheetViews>
  <sheetFormatPr defaultRowHeight="16.5" x14ac:dyDescent="0.3"/>
  <cols>
    <col min="3" max="3" width="11.125" bestFit="1" customWidth="1"/>
    <col min="11" max="11" width="11.125" bestFit="1" customWidth="1"/>
  </cols>
  <sheetData>
    <row r="1" spans="2:16" x14ac:dyDescent="0.3">
      <c r="B1" s="5" t="s">
        <v>35</v>
      </c>
      <c r="C1" s="2">
        <v>43647</v>
      </c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</row>
    <row r="2" spans="2:16" x14ac:dyDescent="0.3">
      <c r="B2" s="5"/>
      <c r="C2" s="2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</row>
    <row r="3" spans="2:16" x14ac:dyDescent="0.3">
      <c r="B3" s="5" t="s">
        <v>26</v>
      </c>
      <c r="C3" s="5" t="s">
        <v>25</v>
      </c>
      <c r="D3" s="5" t="s">
        <v>27</v>
      </c>
      <c r="E3" s="5">
        <v>2016</v>
      </c>
      <c r="F3" s="5">
        <v>2017</v>
      </c>
      <c r="G3" s="5">
        <v>2018</v>
      </c>
      <c r="H3" s="5">
        <v>2019</v>
      </c>
      <c r="I3" s="5"/>
      <c r="J3" s="5" t="s">
        <v>26</v>
      </c>
      <c r="K3" s="5" t="s">
        <v>25</v>
      </c>
      <c r="L3" s="5" t="s">
        <v>27</v>
      </c>
      <c r="M3" s="5">
        <v>2016</v>
      </c>
      <c r="N3" s="5">
        <v>2017</v>
      </c>
      <c r="O3" s="5">
        <v>2018</v>
      </c>
      <c r="P3" s="5">
        <v>2019</v>
      </c>
    </row>
    <row r="4" spans="2:16" x14ac:dyDescent="0.3">
      <c r="B4" s="5" t="s">
        <v>475</v>
      </c>
      <c r="C4" s="2">
        <v>32646</v>
      </c>
      <c r="D4" s="5">
        <f t="shared" ref="D4:D29" si="0">DATEDIF(C4,$C$1,"y")</f>
        <v>30</v>
      </c>
      <c r="E4" s="3">
        <f>'MILB &amp; MLB'!AM44+'MILB &amp; MLB'!AM45</f>
        <v>3.4502050492294387</v>
      </c>
      <c r="F4" s="3">
        <f>'MILB &amp; MLB'!AM46+'MILB &amp; MLB'!AM47</f>
        <v>2.4551489110178664</v>
      </c>
      <c r="G4" s="3">
        <v>4.82</v>
      </c>
      <c r="H4" s="3">
        <f t="shared" ref="H4:H29" si="1">(((G4*0.6)+(F4*0.3)+(E4*0.1))*0.9+0.05*(32-D4))*0.889505330101326</f>
        <v>3.2700071979953242</v>
      </c>
      <c r="I4" s="5"/>
      <c r="J4" s="5" t="s">
        <v>570</v>
      </c>
      <c r="K4" s="2">
        <v>32889</v>
      </c>
      <c r="L4" s="10">
        <f t="shared" ref="L4:L26" si="2">DATEDIF(K4,$C$1,"y")</f>
        <v>29</v>
      </c>
      <c r="M4" s="3">
        <f>ROUND(SUM('MILB &amp; MLB'!W236:W237),2)</f>
        <v>4.71</v>
      </c>
      <c r="N4" s="3">
        <f>ROUND(SUM('MILB &amp; MLB'!W238:W239),2)</f>
        <v>5.01</v>
      </c>
      <c r="O4" s="3">
        <f>ROUND(SUM('MILB &amp; MLB'!W240:W241),2)</f>
        <v>3.42</v>
      </c>
      <c r="P4" s="3">
        <f t="shared" ref="P4:P26" si="3">(((O4*0.6)+(N4*0.3)+(M4*0.1))*0.9+0.05*(32-L4))*0.843970778133105</f>
        <v>3.1846393342074579</v>
      </c>
    </row>
    <row r="5" spans="2:16" x14ac:dyDescent="0.3">
      <c r="B5" s="5" t="s">
        <v>188</v>
      </c>
      <c r="C5" s="2">
        <v>30491</v>
      </c>
      <c r="D5" s="10">
        <f t="shared" si="0"/>
        <v>36</v>
      </c>
      <c r="E5" s="3">
        <v>3.42</v>
      </c>
      <c r="F5" s="3">
        <v>3</v>
      </c>
      <c r="G5" s="3">
        <v>1.58</v>
      </c>
      <c r="H5" s="3">
        <f t="shared" si="1"/>
        <v>1.5753139396094484</v>
      </c>
      <c r="I5" s="5"/>
      <c r="J5" s="5" t="s">
        <v>569</v>
      </c>
      <c r="K5" s="2">
        <v>32567</v>
      </c>
      <c r="L5" s="10">
        <f t="shared" si="2"/>
        <v>30</v>
      </c>
      <c r="M5" s="3">
        <f>ROUND(SUM('MILB &amp; MLB'!W219:W220),2)</f>
        <v>4.67</v>
      </c>
      <c r="N5" s="3">
        <f>ROUND(SUM('MILB &amp; MLB'!W221:W222),2)</f>
        <v>3.29</v>
      </c>
      <c r="O5" s="3">
        <f>ROUND(SUM('MILB &amp; MLB'!W223:W225),2)</f>
        <v>1.33</v>
      </c>
      <c r="P5" s="3">
        <f t="shared" si="3"/>
        <v>1.7949570509334878</v>
      </c>
    </row>
    <row r="6" spans="2:16" x14ac:dyDescent="0.3">
      <c r="B6" s="5" t="s">
        <v>190</v>
      </c>
      <c r="C6" s="2">
        <v>30226</v>
      </c>
      <c r="D6" s="10">
        <f t="shared" si="0"/>
        <v>36</v>
      </c>
      <c r="E6" s="3">
        <v>4.32</v>
      </c>
      <c r="F6" s="3">
        <v>2.88</v>
      </c>
      <c r="G6" s="3">
        <v>1.27</v>
      </c>
      <c r="H6" s="3">
        <f t="shared" si="1"/>
        <v>1.4696407063934107</v>
      </c>
      <c r="I6" s="5"/>
      <c r="J6" s="5" t="s">
        <v>209</v>
      </c>
      <c r="K6" s="2">
        <v>31199</v>
      </c>
      <c r="L6" s="10">
        <f t="shared" si="2"/>
        <v>34</v>
      </c>
      <c r="M6" s="10">
        <v>3.26</v>
      </c>
      <c r="N6" s="10">
        <v>2.88</v>
      </c>
      <c r="O6" s="10">
        <v>2.0099999999999998</v>
      </c>
      <c r="P6" s="3">
        <f t="shared" si="3"/>
        <v>1.7355415081529171</v>
      </c>
    </row>
    <row r="7" spans="2:16" x14ac:dyDescent="0.3">
      <c r="B7" s="5" t="s">
        <v>186</v>
      </c>
      <c r="C7" s="2">
        <v>31285</v>
      </c>
      <c r="D7" s="10">
        <f t="shared" si="0"/>
        <v>33</v>
      </c>
      <c r="E7" s="3">
        <v>4.3099999999999996</v>
      </c>
      <c r="F7" s="3">
        <v>0.32</v>
      </c>
      <c r="G7" s="3">
        <v>1.84</v>
      </c>
      <c r="H7" s="3">
        <f t="shared" si="1"/>
        <v>1.2612296075506704</v>
      </c>
      <c r="I7" s="5"/>
      <c r="J7" s="5" t="s">
        <v>208</v>
      </c>
      <c r="K7" s="2">
        <v>34586</v>
      </c>
      <c r="L7" s="10">
        <f t="shared" si="2"/>
        <v>24</v>
      </c>
      <c r="M7" s="10"/>
      <c r="N7" s="10">
        <v>0.5</v>
      </c>
      <c r="O7" s="10">
        <v>2.44</v>
      </c>
      <c r="P7" s="3">
        <f t="shared" si="3"/>
        <v>1.56354026356939</v>
      </c>
    </row>
    <row r="8" spans="2:16" x14ac:dyDescent="0.3">
      <c r="B8" s="5" t="s">
        <v>189</v>
      </c>
      <c r="C8" s="2">
        <v>30876</v>
      </c>
      <c r="D8" s="10">
        <f t="shared" si="0"/>
        <v>34</v>
      </c>
      <c r="E8" s="3">
        <v>0.79</v>
      </c>
      <c r="F8" s="3">
        <v>1.82</v>
      </c>
      <c r="G8" s="3">
        <v>1.53</v>
      </c>
      <c r="H8" s="3">
        <f t="shared" si="1"/>
        <v>1.1463055189015787</v>
      </c>
      <c r="I8" s="5"/>
      <c r="J8" s="5" t="s">
        <v>207</v>
      </c>
      <c r="K8" s="2">
        <v>33057</v>
      </c>
      <c r="L8" s="10">
        <f t="shared" si="2"/>
        <v>28</v>
      </c>
      <c r="M8" s="10">
        <v>2.38</v>
      </c>
      <c r="N8" s="10">
        <v>-0.31</v>
      </c>
      <c r="O8" s="10">
        <v>2.62</v>
      </c>
      <c r="P8" s="3">
        <f t="shared" si="3"/>
        <v>1.4729821990757082</v>
      </c>
    </row>
    <row r="9" spans="2:16" x14ac:dyDescent="0.3">
      <c r="B9" s="5" t="s">
        <v>192</v>
      </c>
      <c r="C9" s="2">
        <v>34390</v>
      </c>
      <c r="D9" s="10">
        <f t="shared" si="0"/>
        <v>25</v>
      </c>
      <c r="E9" s="3">
        <v>-0.6</v>
      </c>
      <c r="F9" s="3">
        <v>1.88</v>
      </c>
      <c r="G9" s="3">
        <v>0.81</v>
      </c>
      <c r="H9" s="3">
        <f t="shared" si="1"/>
        <v>1.1038761146557454</v>
      </c>
      <c r="I9" s="5"/>
      <c r="J9" s="5" t="s">
        <v>206</v>
      </c>
      <c r="K9" s="2">
        <v>30758</v>
      </c>
      <c r="L9" s="10">
        <f t="shared" si="2"/>
        <v>35</v>
      </c>
      <c r="M9" s="10">
        <v>0.4</v>
      </c>
      <c r="N9" s="10">
        <v>-0.04</v>
      </c>
      <c r="O9" s="10">
        <v>2.93</v>
      </c>
      <c r="P9" s="3">
        <f t="shared" si="3"/>
        <v>1.2300030120511873</v>
      </c>
    </row>
    <row r="10" spans="2:16" x14ac:dyDescent="0.3">
      <c r="B10" s="5" t="s">
        <v>195</v>
      </c>
      <c r="C10" s="2">
        <v>30100</v>
      </c>
      <c r="D10" s="10">
        <f t="shared" si="0"/>
        <v>37</v>
      </c>
      <c r="E10" s="3">
        <v>5.2</v>
      </c>
      <c r="F10" s="3">
        <v>2.46</v>
      </c>
      <c r="G10" s="3">
        <v>0.44</v>
      </c>
      <c r="H10" s="3">
        <f t="shared" si="1"/>
        <v>0.996068068647465</v>
      </c>
      <c r="I10" s="5"/>
      <c r="J10" s="5" t="s">
        <v>211</v>
      </c>
      <c r="K10" s="2">
        <v>34172</v>
      </c>
      <c r="L10" s="10">
        <f t="shared" si="2"/>
        <v>25</v>
      </c>
      <c r="M10" s="10">
        <v>-0.26</v>
      </c>
      <c r="N10" s="10">
        <v>1.08</v>
      </c>
      <c r="O10" s="10">
        <v>1.03</v>
      </c>
      <c r="P10" s="3">
        <f t="shared" si="3"/>
        <v>0.9911592818395184</v>
      </c>
    </row>
    <row r="11" spans="2:16" x14ac:dyDescent="0.3">
      <c r="B11" s="5" t="s">
        <v>187</v>
      </c>
      <c r="C11" s="2">
        <v>33827</v>
      </c>
      <c r="D11" s="10">
        <f t="shared" si="0"/>
        <v>26</v>
      </c>
      <c r="E11" s="3">
        <v>-0.94</v>
      </c>
      <c r="F11" s="3">
        <v>-0.44</v>
      </c>
      <c r="G11" s="3">
        <v>1.75</v>
      </c>
      <c r="H11" s="3">
        <f t="shared" si="1"/>
        <v>0.92650875183354131</v>
      </c>
      <c r="I11" s="5"/>
      <c r="J11" s="5" t="s">
        <v>212</v>
      </c>
      <c r="K11" s="2">
        <v>35830</v>
      </c>
      <c r="L11" s="10">
        <f t="shared" si="2"/>
        <v>21</v>
      </c>
      <c r="M11" s="10"/>
      <c r="N11" s="10"/>
      <c r="O11" s="10">
        <v>0.73</v>
      </c>
      <c r="P11" s="3">
        <f t="shared" si="3"/>
        <v>0.79687720871327772</v>
      </c>
    </row>
    <row r="12" spans="2:16" x14ac:dyDescent="0.3">
      <c r="B12" s="5" t="s">
        <v>198</v>
      </c>
      <c r="C12" s="2">
        <v>36542</v>
      </c>
      <c r="D12" s="10">
        <f t="shared" si="0"/>
        <v>19</v>
      </c>
      <c r="E12" s="3"/>
      <c r="F12" s="3"/>
      <c r="G12" s="3">
        <v>-0.02</v>
      </c>
      <c r="H12" s="3">
        <f t="shared" si="1"/>
        <v>0.56857180700076759</v>
      </c>
      <c r="I12" s="5"/>
      <c r="J12" s="5" t="s">
        <v>210</v>
      </c>
      <c r="K12" s="2">
        <v>32951</v>
      </c>
      <c r="L12" s="10">
        <f t="shared" si="2"/>
        <v>29</v>
      </c>
      <c r="M12" s="10">
        <v>2.41</v>
      </c>
      <c r="N12" s="10">
        <v>-0.94</v>
      </c>
      <c r="O12" s="10">
        <v>1.1499999999999999</v>
      </c>
      <c r="P12" s="3">
        <f t="shared" si="3"/>
        <v>0.61955894822751245</v>
      </c>
    </row>
    <row r="13" spans="2:16" x14ac:dyDescent="0.3">
      <c r="B13" s="5" t="s">
        <v>193</v>
      </c>
      <c r="C13" s="2">
        <v>34434</v>
      </c>
      <c r="D13" s="10">
        <f t="shared" si="0"/>
        <v>25</v>
      </c>
      <c r="E13" s="3">
        <v>-0.06</v>
      </c>
      <c r="F13" s="3">
        <v>0</v>
      </c>
      <c r="G13" s="3">
        <v>0.49</v>
      </c>
      <c r="H13" s="3">
        <f t="shared" si="1"/>
        <v>0.54188664709772782</v>
      </c>
      <c r="I13" s="5"/>
      <c r="J13" s="5" t="s">
        <v>219</v>
      </c>
      <c r="K13" s="2">
        <v>36538</v>
      </c>
      <c r="L13" s="10">
        <f t="shared" si="2"/>
        <v>19</v>
      </c>
      <c r="M13" s="10"/>
      <c r="N13" s="10"/>
      <c r="O13" s="10">
        <v>0.02</v>
      </c>
      <c r="P13" s="3">
        <f t="shared" si="3"/>
        <v>0.55769589019035581</v>
      </c>
    </row>
    <row r="14" spans="2:16" x14ac:dyDescent="0.3">
      <c r="B14" s="5" t="s">
        <v>191</v>
      </c>
      <c r="C14" s="2">
        <v>32747</v>
      </c>
      <c r="D14" s="10">
        <f t="shared" si="0"/>
        <v>29</v>
      </c>
      <c r="E14" s="3">
        <v>-0.08</v>
      </c>
      <c r="F14" s="3">
        <f>-0.26+0.11</f>
        <v>-0.15000000000000002</v>
      </c>
      <c r="G14" s="3">
        <v>0.84</v>
      </c>
      <c r="H14" s="3">
        <f t="shared" si="1"/>
        <v>0.49447601300332722</v>
      </c>
      <c r="I14" s="5"/>
      <c r="J14" s="5" t="s">
        <v>224</v>
      </c>
      <c r="K14" s="2">
        <v>36392</v>
      </c>
      <c r="L14" s="10">
        <f t="shared" si="2"/>
        <v>19</v>
      </c>
      <c r="M14" s="10"/>
      <c r="N14" s="10"/>
      <c r="O14" s="10">
        <v>-0.2</v>
      </c>
      <c r="P14" s="3">
        <f t="shared" si="3"/>
        <v>0.45743216174814294</v>
      </c>
    </row>
    <row r="15" spans="2:16" x14ac:dyDescent="0.3">
      <c r="B15" s="5" t="s">
        <v>196</v>
      </c>
      <c r="C15" s="2">
        <v>32630</v>
      </c>
      <c r="D15" s="10">
        <f t="shared" si="0"/>
        <v>30</v>
      </c>
      <c r="E15" s="3">
        <v>0.27</v>
      </c>
      <c r="F15" s="3">
        <v>0.23</v>
      </c>
      <c r="G15" s="3">
        <v>0.35</v>
      </c>
      <c r="H15" s="3">
        <f t="shared" si="1"/>
        <v>0.33392030092003788</v>
      </c>
      <c r="I15" s="5"/>
      <c r="J15" s="5" t="s">
        <v>214</v>
      </c>
      <c r="K15" s="2">
        <v>34975</v>
      </c>
      <c r="L15" s="10">
        <f t="shared" si="2"/>
        <v>23</v>
      </c>
      <c r="M15" s="10">
        <v>-0.04</v>
      </c>
      <c r="N15" s="10">
        <v>-0.49</v>
      </c>
      <c r="O15" s="10">
        <v>0.36</v>
      </c>
      <c r="P15" s="3">
        <f t="shared" si="3"/>
        <v>0.42915914068068389</v>
      </c>
    </row>
    <row r="16" spans="2:16" x14ac:dyDescent="0.3">
      <c r="B16" s="5" t="s">
        <v>677</v>
      </c>
      <c r="C16" s="2">
        <v>34385</v>
      </c>
      <c r="D16" s="10">
        <f t="shared" si="0"/>
        <v>25</v>
      </c>
      <c r="E16" s="3">
        <v>-0.08</v>
      </c>
      <c r="F16" s="3"/>
      <c r="G16" s="3"/>
      <c r="H16" s="3">
        <f t="shared" si="1"/>
        <v>0.30492242715873463</v>
      </c>
      <c r="I16" s="5"/>
      <c r="J16" s="5" t="s">
        <v>217</v>
      </c>
      <c r="K16" s="2">
        <v>30891</v>
      </c>
      <c r="L16" s="10">
        <f t="shared" si="2"/>
        <v>34</v>
      </c>
      <c r="M16" s="10">
        <v>0.24</v>
      </c>
      <c r="N16" s="10">
        <v>1.68</v>
      </c>
      <c r="O16" s="10">
        <v>0.18</v>
      </c>
      <c r="P16" s="3">
        <f t="shared" si="3"/>
        <v>0.39869179559007883</v>
      </c>
    </row>
    <row r="17" spans="2:16" x14ac:dyDescent="0.3">
      <c r="B17" s="5" t="s">
        <v>200</v>
      </c>
      <c r="C17" s="2">
        <v>31276</v>
      </c>
      <c r="D17" s="10">
        <f t="shared" si="0"/>
        <v>33</v>
      </c>
      <c r="E17" s="3">
        <v>0.24</v>
      </c>
      <c r="F17" s="3">
        <v>1.81</v>
      </c>
      <c r="G17" s="3">
        <v>-0.26</v>
      </c>
      <c r="H17" s="3">
        <f t="shared" si="1"/>
        <v>0.28455275509941425</v>
      </c>
      <c r="I17" s="5"/>
      <c r="J17" s="5" t="s">
        <v>218</v>
      </c>
      <c r="K17" s="2">
        <v>34488</v>
      </c>
      <c r="L17" s="10">
        <f t="shared" si="2"/>
        <v>25</v>
      </c>
      <c r="M17" s="10"/>
      <c r="N17" s="10"/>
      <c r="O17" s="10">
        <v>0.17</v>
      </c>
      <c r="P17" s="3">
        <f t="shared" si="3"/>
        <v>0.37286628977920577</v>
      </c>
    </row>
    <row r="18" spans="2:16" x14ac:dyDescent="0.3">
      <c r="B18" s="5" t="s">
        <v>201</v>
      </c>
      <c r="C18" s="2">
        <v>35270</v>
      </c>
      <c r="D18" s="10">
        <f t="shared" si="0"/>
        <v>22</v>
      </c>
      <c r="E18" s="3">
        <v>0.03</v>
      </c>
      <c r="F18" s="3">
        <v>-0.57999999999999996</v>
      </c>
      <c r="G18" s="3">
        <v>-0.06</v>
      </c>
      <c r="H18" s="3">
        <f t="shared" si="1"/>
        <v>0.27903782205278593</v>
      </c>
      <c r="I18" s="5"/>
      <c r="J18" s="5" t="s">
        <v>215</v>
      </c>
      <c r="K18" s="2">
        <v>33614</v>
      </c>
      <c r="L18" s="10">
        <f t="shared" si="2"/>
        <v>27</v>
      </c>
      <c r="M18" s="10"/>
      <c r="N18" s="10">
        <v>0.3</v>
      </c>
      <c r="O18" s="10">
        <v>0.2</v>
      </c>
      <c r="P18" s="3">
        <f t="shared" si="3"/>
        <v>0.37050317160043306</v>
      </c>
    </row>
    <row r="19" spans="2:16" x14ac:dyDescent="0.3">
      <c r="B19" s="5" t="s">
        <v>202</v>
      </c>
      <c r="C19" s="2">
        <v>34242</v>
      </c>
      <c r="D19" s="10">
        <f t="shared" si="0"/>
        <v>25</v>
      </c>
      <c r="E19" s="3"/>
      <c r="F19" s="3"/>
      <c r="G19" s="3">
        <v>-0.1</v>
      </c>
      <c r="H19" s="3">
        <f t="shared" si="1"/>
        <v>0.26329357770999257</v>
      </c>
      <c r="I19" s="5"/>
      <c r="J19" s="5" t="s">
        <v>222</v>
      </c>
      <c r="K19" s="2">
        <v>33297</v>
      </c>
      <c r="L19" s="10">
        <f t="shared" si="2"/>
        <v>28</v>
      </c>
      <c r="M19" s="10">
        <v>0.03</v>
      </c>
      <c r="N19" s="10">
        <v>0.6</v>
      </c>
      <c r="O19" s="10">
        <v>-0.13</v>
      </c>
      <c r="P19" s="3">
        <f t="shared" si="3"/>
        <v>0.24854939416019939</v>
      </c>
    </row>
    <row r="20" spans="2:16" x14ac:dyDescent="0.3">
      <c r="B20" s="5" t="s">
        <v>203</v>
      </c>
      <c r="C20" s="2">
        <v>35591</v>
      </c>
      <c r="D20" s="10">
        <f t="shared" si="0"/>
        <v>22</v>
      </c>
      <c r="E20" s="3"/>
      <c r="F20" s="3">
        <v>-0.52</v>
      </c>
      <c r="G20" s="3">
        <v>-0.15</v>
      </c>
      <c r="H20" s="3">
        <f t="shared" si="1"/>
        <v>0.2478161849662294</v>
      </c>
      <c r="I20" s="5"/>
      <c r="J20" s="5" t="s">
        <v>213</v>
      </c>
      <c r="K20" s="2">
        <v>31005</v>
      </c>
      <c r="L20" s="10">
        <f t="shared" si="2"/>
        <v>34</v>
      </c>
      <c r="M20" s="10">
        <v>-0.5</v>
      </c>
      <c r="N20" s="10">
        <v>0.49</v>
      </c>
      <c r="O20" s="10">
        <v>0.5</v>
      </c>
      <c r="P20" s="3">
        <f t="shared" si="3"/>
        <v>0.21715368121364789</v>
      </c>
    </row>
    <row r="21" spans="2:16" x14ac:dyDescent="0.3">
      <c r="B21" s="5" t="s">
        <v>194</v>
      </c>
      <c r="C21" s="2">
        <v>31385</v>
      </c>
      <c r="D21" s="10">
        <f t="shared" si="0"/>
        <v>33</v>
      </c>
      <c r="E21" s="3">
        <v>-0.12</v>
      </c>
      <c r="F21" s="3">
        <v>0.15</v>
      </c>
      <c r="G21" s="3">
        <v>0.46</v>
      </c>
      <c r="H21" s="3">
        <f t="shared" si="1"/>
        <v>0.2028961657961125</v>
      </c>
      <c r="I21" s="5"/>
      <c r="J21" s="5" t="s">
        <v>676</v>
      </c>
      <c r="K21" s="2">
        <v>34597</v>
      </c>
      <c r="L21" s="10">
        <f t="shared" si="2"/>
        <v>24</v>
      </c>
      <c r="M21" s="10"/>
      <c r="N21" s="10">
        <v>-0.59</v>
      </c>
      <c r="O21" s="10"/>
      <c r="P21" s="3">
        <f t="shared" si="3"/>
        <v>0.20314376629663838</v>
      </c>
    </row>
    <row r="22" spans="2:16" x14ac:dyDescent="0.3">
      <c r="B22" s="5" t="s">
        <v>197</v>
      </c>
      <c r="C22" s="2">
        <v>33247</v>
      </c>
      <c r="D22" s="10">
        <f t="shared" si="0"/>
        <v>28</v>
      </c>
      <c r="E22" s="3">
        <v>0.09</v>
      </c>
      <c r="F22" s="3">
        <v>-0.31</v>
      </c>
      <c r="G22" s="3">
        <v>0.1</v>
      </c>
      <c r="H22" s="3">
        <f t="shared" si="1"/>
        <v>0.15868775089007656</v>
      </c>
      <c r="I22" s="5"/>
      <c r="J22" s="5" t="s">
        <v>220</v>
      </c>
      <c r="K22" s="2">
        <v>32705</v>
      </c>
      <c r="L22" s="10">
        <f t="shared" si="2"/>
        <v>29</v>
      </c>
      <c r="M22" s="10"/>
      <c r="N22" s="10"/>
      <c r="O22" s="10">
        <v>0.16</v>
      </c>
      <c r="P22" s="3">
        <f t="shared" si="3"/>
        <v>0.19951469195066604</v>
      </c>
    </row>
    <row r="23" spans="2:16" x14ac:dyDescent="0.3">
      <c r="B23" s="5" t="s">
        <v>664</v>
      </c>
      <c r="C23" s="2">
        <v>33247</v>
      </c>
      <c r="D23" s="10">
        <f t="shared" si="0"/>
        <v>28</v>
      </c>
      <c r="E23" s="3">
        <v>0.09</v>
      </c>
      <c r="F23" s="3">
        <v>-0.31</v>
      </c>
      <c r="G23" s="3">
        <v>0.1</v>
      </c>
      <c r="H23" s="3">
        <f t="shared" si="1"/>
        <v>0.15868775089007656</v>
      </c>
      <c r="I23" s="5"/>
      <c r="J23" s="5" t="s">
        <v>675</v>
      </c>
      <c r="K23" s="2">
        <v>32737</v>
      </c>
      <c r="L23" s="10">
        <f t="shared" si="2"/>
        <v>29</v>
      </c>
      <c r="M23" s="10">
        <v>0.19</v>
      </c>
      <c r="N23" s="10"/>
      <c r="O23" s="10"/>
      <c r="P23" s="3">
        <f t="shared" si="3"/>
        <v>0.14102751702604185</v>
      </c>
    </row>
    <row r="24" spans="2:16" x14ac:dyDescent="0.3">
      <c r="B24" s="5" t="s">
        <v>665</v>
      </c>
      <c r="C24" s="2">
        <v>33375</v>
      </c>
      <c r="D24" s="10">
        <f t="shared" si="0"/>
        <v>28</v>
      </c>
      <c r="E24" s="3"/>
      <c r="F24" s="3"/>
      <c r="G24" s="3">
        <v>-0.05</v>
      </c>
      <c r="H24" s="3">
        <f t="shared" si="1"/>
        <v>0.15388442210752942</v>
      </c>
      <c r="I24" s="5"/>
      <c r="J24" s="5" t="s">
        <v>223</v>
      </c>
      <c r="K24" s="2">
        <v>33710</v>
      </c>
      <c r="L24" s="5">
        <f t="shared" si="2"/>
        <v>27</v>
      </c>
      <c r="M24" s="10"/>
      <c r="N24" s="10">
        <v>-0.05</v>
      </c>
      <c r="O24" s="10">
        <v>-0.13</v>
      </c>
      <c r="P24" s="3">
        <f t="shared" si="3"/>
        <v>0.14035234040353536</v>
      </c>
    </row>
    <row r="25" spans="2:16" x14ac:dyDescent="0.3">
      <c r="B25" s="5" t="s">
        <v>205</v>
      </c>
      <c r="C25" s="2">
        <v>33818</v>
      </c>
      <c r="D25" s="10">
        <f t="shared" si="0"/>
        <v>26</v>
      </c>
      <c r="E25" s="3">
        <v>-0.28999999999999998</v>
      </c>
      <c r="F25" s="3">
        <v>-0.05</v>
      </c>
      <c r="G25" s="3">
        <v>-0.18</v>
      </c>
      <c r="H25" s="3">
        <f t="shared" si="1"/>
        <v>0.14516726987253645</v>
      </c>
      <c r="I25" s="5"/>
      <c r="J25" s="5" t="s">
        <v>221</v>
      </c>
      <c r="K25" s="2">
        <v>34905</v>
      </c>
      <c r="L25" s="5">
        <f t="shared" si="2"/>
        <v>23</v>
      </c>
      <c r="M25" s="5">
        <v>-0.83</v>
      </c>
      <c r="N25" s="5">
        <v>-0.7</v>
      </c>
      <c r="O25" s="5">
        <v>-0.12</v>
      </c>
      <c r="P25" s="3">
        <f t="shared" si="3"/>
        <v>0.10254244954317225</v>
      </c>
    </row>
    <row r="26" spans="2:16" x14ac:dyDescent="0.3">
      <c r="B26" s="5" t="s">
        <v>199</v>
      </c>
      <c r="C26" s="2">
        <v>32272</v>
      </c>
      <c r="D26" s="10">
        <f t="shared" si="0"/>
        <v>31</v>
      </c>
      <c r="E26" s="3">
        <v>0.25</v>
      </c>
      <c r="F26" s="3">
        <v>0.9</v>
      </c>
      <c r="G26" s="3">
        <v>-0.41</v>
      </c>
      <c r="H26" s="3">
        <f t="shared" si="1"/>
        <v>8.3702451562534821E-2</v>
      </c>
      <c r="I26" s="5"/>
      <c r="J26" s="5" t="s">
        <v>216</v>
      </c>
      <c r="K26" s="2">
        <v>31131</v>
      </c>
      <c r="L26" s="5">
        <f t="shared" si="2"/>
        <v>34</v>
      </c>
      <c r="M26" s="5">
        <v>1.21</v>
      </c>
      <c r="N26" s="5">
        <v>-0.21</v>
      </c>
      <c r="O26" s="5">
        <v>0.18</v>
      </c>
      <c r="P26" s="3">
        <f t="shared" si="3"/>
        <v>4.1692156439775363E-2</v>
      </c>
    </row>
    <row r="27" spans="2:16" x14ac:dyDescent="0.3">
      <c r="B27" s="5" t="s">
        <v>678</v>
      </c>
      <c r="C27" s="2">
        <v>32696</v>
      </c>
      <c r="D27" s="10">
        <f t="shared" si="0"/>
        <v>29</v>
      </c>
      <c r="E27" s="3">
        <v>-0.09</v>
      </c>
      <c r="F27" s="3">
        <v>0.72</v>
      </c>
      <c r="G27" s="3">
        <v>-0.56999999999999995</v>
      </c>
      <c r="H27" s="3">
        <f t="shared" si="1"/>
        <v>2.5350901907887826E-2</v>
      </c>
      <c r="I27" s="5"/>
      <c r="J27" s="5"/>
      <c r="K27" s="2"/>
      <c r="L27" s="5"/>
      <c r="M27" s="5"/>
      <c r="N27" s="5"/>
      <c r="O27" s="5"/>
      <c r="P27" s="3"/>
    </row>
    <row r="28" spans="2:16" x14ac:dyDescent="0.3">
      <c r="B28" s="5" t="s">
        <v>204</v>
      </c>
      <c r="C28" s="2">
        <v>32564</v>
      </c>
      <c r="D28" s="10">
        <f t="shared" si="0"/>
        <v>30</v>
      </c>
      <c r="E28" s="3">
        <v>-0.25</v>
      </c>
      <c r="F28" s="3"/>
      <c r="G28" s="3">
        <v>-0.15</v>
      </c>
      <c r="H28" s="3">
        <f t="shared" si="1"/>
        <v>-3.1132686553546314E-3</v>
      </c>
      <c r="I28" s="5"/>
      <c r="J28" s="5"/>
      <c r="K28" s="2"/>
      <c r="L28" s="5"/>
      <c r="M28" s="5"/>
      <c r="N28" s="5"/>
      <c r="O28" s="5"/>
      <c r="P28" s="3"/>
    </row>
    <row r="29" spans="2:16" x14ac:dyDescent="0.3">
      <c r="B29" s="5" t="s">
        <v>663</v>
      </c>
      <c r="C29" s="2">
        <v>31864</v>
      </c>
      <c r="D29" s="10">
        <f t="shared" si="0"/>
        <v>32</v>
      </c>
      <c r="E29" s="3"/>
      <c r="F29" s="3">
        <v>-0.34</v>
      </c>
      <c r="G29" s="3"/>
      <c r="H29" s="3">
        <f t="shared" si="1"/>
        <v>-8.1656589303301733E-2</v>
      </c>
      <c r="I29" s="5"/>
      <c r="J29" s="5"/>
      <c r="K29" s="2"/>
      <c r="L29" s="5"/>
      <c r="M29" s="5"/>
      <c r="N29" s="5"/>
      <c r="O29" s="5"/>
      <c r="P29" s="3"/>
    </row>
    <row r="30" spans="2:16" x14ac:dyDescent="0.3">
      <c r="B30" s="5"/>
      <c r="C30" s="5"/>
      <c r="D30" s="10"/>
      <c r="E30" s="3"/>
      <c r="F30" s="3"/>
      <c r="G30" s="3"/>
      <c r="H30" s="3"/>
      <c r="I30" s="5"/>
      <c r="J30" s="5"/>
      <c r="K30" s="2"/>
      <c r="L30" s="5"/>
      <c r="M30" s="5"/>
      <c r="N30" s="5"/>
      <c r="O30" s="5"/>
      <c r="P30" s="3"/>
    </row>
    <row r="31" spans="2:16" x14ac:dyDescent="0.3">
      <c r="D31" s="10"/>
      <c r="E31" s="3"/>
      <c r="F31" s="3"/>
      <c r="G31" s="3"/>
      <c r="H31" s="3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P26"/>
  <sheetViews>
    <sheetView workbookViewId="0">
      <selection activeCell="P26" sqref="P26"/>
    </sheetView>
  </sheetViews>
  <sheetFormatPr defaultColWidth="9" defaultRowHeight="16.5" x14ac:dyDescent="0.3"/>
  <cols>
    <col min="1" max="2" width="9" style="5"/>
    <col min="3" max="3" width="11.125" style="5" bestFit="1" customWidth="1"/>
    <col min="4" max="10" width="9" style="5"/>
    <col min="11" max="11" width="11.125" style="5" bestFit="1" customWidth="1"/>
    <col min="12" max="16384" width="9" style="5"/>
  </cols>
  <sheetData>
    <row r="1" spans="2:16" x14ac:dyDescent="0.3">
      <c r="B1" s="5" t="s">
        <v>35</v>
      </c>
      <c r="C1" s="2">
        <v>43647</v>
      </c>
    </row>
    <row r="2" spans="2:16" x14ac:dyDescent="0.3">
      <c r="C2" s="2"/>
    </row>
    <row r="3" spans="2:16" x14ac:dyDescent="0.3">
      <c r="B3" s="5" t="s">
        <v>26</v>
      </c>
      <c r="C3" s="5" t="s">
        <v>25</v>
      </c>
      <c r="D3" s="5" t="s">
        <v>27</v>
      </c>
      <c r="E3" s="5">
        <v>2016</v>
      </c>
      <c r="F3" s="5">
        <v>2017</v>
      </c>
      <c r="G3" s="5">
        <v>2018</v>
      </c>
      <c r="H3" s="5">
        <v>2019</v>
      </c>
      <c r="J3" s="5" t="s">
        <v>26</v>
      </c>
      <c r="K3" s="5" t="s">
        <v>25</v>
      </c>
      <c r="L3" s="5" t="s">
        <v>27</v>
      </c>
      <c r="M3" s="5">
        <v>2016</v>
      </c>
      <c r="N3" s="5">
        <v>2017</v>
      </c>
      <c r="O3" s="5">
        <v>2018</v>
      </c>
      <c r="P3" s="5">
        <v>2019</v>
      </c>
    </row>
    <row r="4" spans="2:16" x14ac:dyDescent="0.3">
      <c r="B4" s="5" t="s">
        <v>110</v>
      </c>
      <c r="C4" s="2">
        <v>31603</v>
      </c>
      <c r="D4" s="5">
        <f>DATEDIF(C4,$C$1,"y")</f>
        <v>32</v>
      </c>
      <c r="E4" s="3">
        <f>ROUND(SUM('MILB &amp; MLB'!AM147:AM148),2)</f>
        <v>2.35</v>
      </c>
      <c r="F4" s="3">
        <f>'MILB &amp; MLB'!AM149</f>
        <v>0.54635133847755613</v>
      </c>
      <c r="G4" s="3">
        <v>6.62</v>
      </c>
      <c r="H4" s="3">
        <f t="shared" ref="H4:H22" si="0">(((G4*0.6)+(F4*0.3)+(E4*0.1))*0.9+0.05*(32-D4))*0.889505330101326</f>
        <v>3.4991492868372722</v>
      </c>
      <c r="J4" s="5" t="s">
        <v>125</v>
      </c>
      <c r="K4" s="2">
        <v>32183</v>
      </c>
      <c r="L4" s="5">
        <f>DATEDIF(K4,$C$1,"y")</f>
        <v>31</v>
      </c>
      <c r="M4" s="3">
        <f>ROUND('MILB &amp; MLB'!W247,2)</f>
        <v>0.83</v>
      </c>
      <c r="N4" s="5">
        <f>2.74</f>
        <v>2.74</v>
      </c>
      <c r="O4" s="5">
        <v>5.78</v>
      </c>
      <c r="P4" s="3">
        <f t="shared" ref="P4:P26" si="1">(((O4*0.6)+(N4*0.3)+(M4*0.1))*0.9+0.05*(32-L4))*0.843970778133105</f>
        <v>3.3638143304051162</v>
      </c>
    </row>
    <row r="5" spans="2:16" x14ac:dyDescent="0.3">
      <c r="B5" s="5" t="s">
        <v>111</v>
      </c>
      <c r="C5" s="2">
        <v>34989</v>
      </c>
      <c r="D5" s="5">
        <f>DATEDIF(C5,$C$1,"y")</f>
        <v>23</v>
      </c>
      <c r="E5" s="5">
        <v>3.84</v>
      </c>
      <c r="F5" s="5">
        <v>5.31</v>
      </c>
      <c r="G5" s="5">
        <v>4.4000000000000004</v>
      </c>
      <c r="H5" s="3">
        <f t="shared" si="0"/>
        <v>4.0964388967156378</v>
      </c>
      <c r="J5" s="5" t="s">
        <v>126</v>
      </c>
      <c r="K5" s="2">
        <v>35437</v>
      </c>
      <c r="L5" s="5">
        <f t="shared" ref="L5:L26" si="2">DATEDIF(K5,$C$1,"y")</f>
        <v>22</v>
      </c>
      <c r="M5" s="5">
        <v>-0.32</v>
      </c>
      <c r="N5" s="5">
        <v>3.39</v>
      </c>
      <c r="O5" s="5">
        <v>3.66</v>
      </c>
      <c r="P5" s="3">
        <f t="shared" si="1"/>
        <v>2.8381893297838188</v>
      </c>
    </row>
    <row r="6" spans="2:16" x14ac:dyDescent="0.3">
      <c r="B6" s="5" t="s">
        <v>112</v>
      </c>
      <c r="C6" s="2">
        <v>36027</v>
      </c>
      <c r="D6" s="5">
        <f t="shared" ref="D6:D22" si="3">DATEDIF(C6,$C$1,"y")</f>
        <v>20</v>
      </c>
      <c r="F6" s="5">
        <v>3.29</v>
      </c>
      <c r="G6" s="5">
        <v>4.05</v>
      </c>
      <c r="H6" s="3">
        <f t="shared" si="0"/>
        <v>3.2691989397214036</v>
      </c>
      <c r="J6" s="5" t="s">
        <v>127</v>
      </c>
      <c r="K6" s="2">
        <v>34145</v>
      </c>
      <c r="L6" s="5">
        <f t="shared" si="2"/>
        <v>26</v>
      </c>
      <c r="N6" s="5">
        <v>1.74</v>
      </c>
      <c r="O6" s="5">
        <v>2.83</v>
      </c>
      <c r="P6" s="3">
        <f t="shared" si="1"/>
        <v>1.9394448481498752</v>
      </c>
    </row>
    <row r="7" spans="2:16" x14ac:dyDescent="0.3">
      <c r="B7" s="5" t="s">
        <v>113</v>
      </c>
      <c r="C7" s="2">
        <v>34972</v>
      </c>
      <c r="D7" s="5">
        <f t="shared" si="3"/>
        <v>23</v>
      </c>
      <c r="E7" s="5">
        <v>0.76</v>
      </c>
      <c r="F7" s="5">
        <v>0.05</v>
      </c>
      <c r="G7" s="5">
        <v>2.13</v>
      </c>
      <c r="H7" s="3">
        <f t="shared" si="0"/>
        <v>1.4962369157634403</v>
      </c>
      <c r="J7" s="5" t="s">
        <v>128</v>
      </c>
      <c r="K7" s="2">
        <v>33839</v>
      </c>
      <c r="L7" s="5">
        <f t="shared" si="2"/>
        <v>26</v>
      </c>
      <c r="O7" s="5">
        <v>1.01</v>
      </c>
      <c r="P7" s="3">
        <f t="shared" si="1"/>
        <v>0.71349289583372699</v>
      </c>
    </row>
    <row r="8" spans="2:16" x14ac:dyDescent="0.3">
      <c r="B8" s="5" t="s">
        <v>114</v>
      </c>
      <c r="C8" s="2">
        <v>35306</v>
      </c>
      <c r="D8" s="5">
        <f t="shared" si="3"/>
        <v>22</v>
      </c>
      <c r="F8" s="5">
        <v>0.02</v>
      </c>
      <c r="G8" s="5">
        <v>1.78</v>
      </c>
      <c r="H8" s="3">
        <f t="shared" si="0"/>
        <v>1.3045485171266049</v>
      </c>
      <c r="J8" s="5" t="s">
        <v>129</v>
      </c>
      <c r="K8" s="2">
        <v>32144</v>
      </c>
      <c r="L8" s="5">
        <f t="shared" si="2"/>
        <v>31</v>
      </c>
      <c r="M8" s="5">
        <v>1.42</v>
      </c>
      <c r="N8" s="5">
        <v>1.85</v>
      </c>
      <c r="O8" s="5">
        <v>0.97</v>
      </c>
      <c r="P8" s="3">
        <f t="shared" si="1"/>
        <v>1.0136933016156724</v>
      </c>
    </row>
    <row r="9" spans="2:16" x14ac:dyDescent="0.3">
      <c r="B9" s="5" t="s">
        <v>115</v>
      </c>
      <c r="C9" s="2">
        <v>36187</v>
      </c>
      <c r="D9" s="5">
        <f t="shared" si="3"/>
        <v>20</v>
      </c>
      <c r="F9" s="5">
        <v>-0.1</v>
      </c>
      <c r="G9" s="5">
        <v>1.3</v>
      </c>
      <c r="H9" s="3">
        <f t="shared" si="0"/>
        <v>1.1341192958791908</v>
      </c>
      <c r="J9" s="5" t="s">
        <v>130</v>
      </c>
      <c r="K9" s="2">
        <v>31532</v>
      </c>
      <c r="L9" s="5">
        <f t="shared" si="2"/>
        <v>33</v>
      </c>
      <c r="M9" s="5">
        <v>1.06</v>
      </c>
      <c r="N9" s="5">
        <v>0.72</v>
      </c>
      <c r="O9" s="5">
        <v>0.9</v>
      </c>
      <c r="P9" s="3">
        <f t="shared" si="1"/>
        <v>0.61255399076900752</v>
      </c>
    </row>
    <row r="10" spans="2:16" x14ac:dyDescent="0.3">
      <c r="B10" s="5" t="s">
        <v>116</v>
      </c>
      <c r="C10" s="2">
        <v>32048</v>
      </c>
      <c r="D10" s="5">
        <f t="shared" si="3"/>
        <v>31</v>
      </c>
      <c r="E10" s="3">
        <f>ROUND(SUM('MILB &amp; MLB'!AM57:AM58),2)</f>
        <v>0.73</v>
      </c>
      <c r="F10" s="3">
        <f>ROUND(SUM('MILB &amp; MLB'!AM59),2)</f>
        <v>2.17</v>
      </c>
      <c r="G10" s="3">
        <f>ROUND(SUM('MILB &amp; MLB'!AM60:AM61),2)+1.15</f>
        <v>4.4399999999999995</v>
      </c>
      <c r="H10" s="3">
        <f t="shared" si="0"/>
        <v>2.7567549190500289</v>
      </c>
      <c r="J10" s="5" t="s">
        <v>131</v>
      </c>
      <c r="K10" s="2">
        <v>36199</v>
      </c>
      <c r="L10" s="5">
        <f t="shared" si="2"/>
        <v>20</v>
      </c>
      <c r="O10" s="5">
        <v>0.55000000000000004</v>
      </c>
      <c r="P10" s="3">
        <f t="shared" si="1"/>
        <v>0.75704178798539523</v>
      </c>
    </row>
    <row r="11" spans="2:16" x14ac:dyDescent="0.3">
      <c r="B11" s="5" t="s">
        <v>117</v>
      </c>
      <c r="C11" s="2">
        <v>29412</v>
      </c>
      <c r="D11" s="5">
        <f t="shared" si="3"/>
        <v>38</v>
      </c>
      <c r="E11" s="5">
        <v>1.8</v>
      </c>
      <c r="F11" s="5">
        <v>-0.08</v>
      </c>
      <c r="G11" s="5">
        <v>1.05</v>
      </c>
      <c r="H11" s="3">
        <f t="shared" si="0"/>
        <v>0.36238447148328023</v>
      </c>
      <c r="J11" s="5" t="s">
        <v>132</v>
      </c>
      <c r="K11" s="2">
        <v>33799</v>
      </c>
      <c r="L11" s="5">
        <f t="shared" si="2"/>
        <v>26</v>
      </c>
      <c r="M11" s="5">
        <v>-0.15</v>
      </c>
      <c r="N11" s="5">
        <v>0.48</v>
      </c>
      <c r="O11" s="5">
        <v>0.35</v>
      </c>
      <c r="P11" s="3">
        <f t="shared" si="1"/>
        <v>0.51068671784834174</v>
      </c>
    </row>
    <row r="12" spans="2:16" x14ac:dyDescent="0.3">
      <c r="B12" s="5" t="s">
        <v>118</v>
      </c>
      <c r="C12" s="2">
        <v>33995</v>
      </c>
      <c r="D12" s="5">
        <f t="shared" si="3"/>
        <v>26</v>
      </c>
      <c r="F12" s="5">
        <v>-0.14000000000000001</v>
      </c>
      <c r="G12" s="5">
        <v>0.61</v>
      </c>
      <c r="H12" s="3">
        <f t="shared" si="0"/>
        <v>0.52623135328794457</v>
      </c>
      <c r="J12" s="5" t="s">
        <v>133</v>
      </c>
      <c r="K12" s="2">
        <v>33665</v>
      </c>
      <c r="L12" s="5">
        <f t="shared" si="2"/>
        <v>27</v>
      </c>
      <c r="O12" s="5">
        <v>0.35</v>
      </c>
      <c r="P12" s="3">
        <f t="shared" si="1"/>
        <v>0.37050317160043306</v>
      </c>
    </row>
    <row r="13" spans="2:16" x14ac:dyDescent="0.3">
      <c r="B13" s="5" t="s">
        <v>119</v>
      </c>
      <c r="C13" s="2">
        <v>32742</v>
      </c>
      <c r="D13" s="5">
        <f t="shared" si="3"/>
        <v>29</v>
      </c>
      <c r="E13" s="5">
        <v>4.45</v>
      </c>
      <c r="F13" s="5">
        <v>3.8</v>
      </c>
      <c r="G13" s="5">
        <v>0.54</v>
      </c>
      <c r="H13" s="3">
        <f t="shared" si="0"/>
        <v>1.6616849071622872</v>
      </c>
      <c r="J13" s="5" t="s">
        <v>134</v>
      </c>
      <c r="K13" s="2">
        <v>34581</v>
      </c>
      <c r="L13" s="5">
        <f t="shared" si="2"/>
        <v>24</v>
      </c>
      <c r="N13" s="5">
        <v>0.61</v>
      </c>
      <c r="O13" s="5">
        <v>0.28000000000000003</v>
      </c>
      <c r="P13" s="3">
        <f t="shared" si="1"/>
        <v>0.60419868006548982</v>
      </c>
    </row>
    <row r="14" spans="2:16" x14ac:dyDescent="0.3">
      <c r="B14" s="5" t="s">
        <v>120</v>
      </c>
      <c r="C14" s="2">
        <v>33007</v>
      </c>
      <c r="D14" s="5">
        <f t="shared" si="3"/>
        <v>29</v>
      </c>
      <c r="E14" s="5">
        <v>-0.08</v>
      </c>
      <c r="F14" s="5">
        <v>0.82</v>
      </c>
      <c r="G14" s="5">
        <v>0.21</v>
      </c>
      <c r="H14" s="3">
        <f t="shared" si="0"/>
        <v>0.42482774565639336</v>
      </c>
      <c r="J14" s="5" t="s">
        <v>135</v>
      </c>
      <c r="K14" s="2">
        <v>33181</v>
      </c>
      <c r="L14" s="5">
        <f t="shared" si="2"/>
        <v>28</v>
      </c>
      <c r="O14" s="5">
        <v>0.22</v>
      </c>
      <c r="P14" s="3">
        <f t="shared" si="1"/>
        <v>0.26905788406883391</v>
      </c>
    </row>
    <row r="15" spans="2:16" x14ac:dyDescent="0.3">
      <c r="B15" s="5" t="s">
        <v>680</v>
      </c>
      <c r="C15" s="2">
        <v>32918</v>
      </c>
      <c r="D15" s="5">
        <f t="shared" si="3"/>
        <v>29</v>
      </c>
      <c r="E15" s="5">
        <v>-0.18</v>
      </c>
      <c r="F15" s="5">
        <v>0.05</v>
      </c>
      <c r="G15" s="5">
        <v>-0.09</v>
      </c>
      <c r="H15" s="3">
        <f t="shared" si="0"/>
        <v>8.7794176081000902E-2</v>
      </c>
      <c r="J15" s="5" t="s">
        <v>136</v>
      </c>
      <c r="K15" s="2">
        <v>31137</v>
      </c>
      <c r="L15" s="5">
        <f t="shared" si="2"/>
        <v>34</v>
      </c>
      <c r="M15" s="5">
        <v>1.0900000000000001</v>
      </c>
      <c r="N15" s="5">
        <v>1.03</v>
      </c>
      <c r="O15" s="5">
        <v>0.13</v>
      </c>
      <c r="P15" s="3">
        <f t="shared" si="1"/>
        <v>0.2923514775453076</v>
      </c>
    </row>
    <row r="16" spans="2:16" x14ac:dyDescent="0.3">
      <c r="B16" s="5" t="s">
        <v>121</v>
      </c>
      <c r="C16" s="2">
        <v>35745</v>
      </c>
      <c r="D16" s="5">
        <f t="shared" si="3"/>
        <v>21</v>
      </c>
      <c r="E16" s="5">
        <v>-0.13</v>
      </c>
      <c r="F16" s="5">
        <v>-0.61</v>
      </c>
      <c r="G16" s="5">
        <v>-0.17</v>
      </c>
      <c r="H16" s="3">
        <f t="shared" si="0"/>
        <v>0.25066260202255369</v>
      </c>
      <c r="J16" s="5" t="s">
        <v>137</v>
      </c>
      <c r="K16" s="2">
        <v>33551</v>
      </c>
      <c r="L16" s="5">
        <f t="shared" si="2"/>
        <v>27</v>
      </c>
      <c r="O16" s="5">
        <v>0.04</v>
      </c>
      <c r="P16" s="3">
        <f t="shared" si="1"/>
        <v>0.22922246334095131</v>
      </c>
    </row>
    <row r="17" spans="2:16" x14ac:dyDescent="0.3">
      <c r="B17" s="5" t="s">
        <v>122</v>
      </c>
      <c r="C17" s="2">
        <v>36235</v>
      </c>
      <c r="D17" s="5">
        <f t="shared" si="3"/>
        <v>20</v>
      </c>
      <c r="G17" s="5">
        <v>-0.18</v>
      </c>
      <c r="H17" s="3">
        <f t="shared" si="0"/>
        <v>0.44724327997494684</v>
      </c>
      <c r="J17" s="5" t="s">
        <v>138</v>
      </c>
      <c r="K17" s="2">
        <v>34450</v>
      </c>
      <c r="L17" s="5">
        <f t="shared" si="2"/>
        <v>25</v>
      </c>
      <c r="N17" s="5">
        <f>0.01+0.86</f>
        <v>0.87</v>
      </c>
      <c r="O17" s="5">
        <v>-0.08</v>
      </c>
      <c r="P17" s="3">
        <f t="shared" si="1"/>
        <v>0.45717897051470302</v>
      </c>
    </row>
    <row r="18" spans="2:16" x14ac:dyDescent="0.3">
      <c r="B18" s="5" t="s">
        <v>123</v>
      </c>
      <c r="C18" s="2">
        <v>32613</v>
      </c>
      <c r="D18" s="5">
        <f t="shared" si="3"/>
        <v>30</v>
      </c>
      <c r="E18" s="5">
        <v>1.02</v>
      </c>
      <c r="F18" s="5">
        <v>-0.26</v>
      </c>
      <c r="G18" s="5">
        <v>-0.18</v>
      </c>
      <c r="H18" s="3">
        <f t="shared" si="0"/>
        <v>2.170393005447236E-2</v>
      </c>
      <c r="J18" s="5" t="s">
        <v>139</v>
      </c>
      <c r="K18" s="2">
        <v>32783</v>
      </c>
      <c r="L18" s="5">
        <f t="shared" si="2"/>
        <v>29</v>
      </c>
      <c r="O18" s="5">
        <v>-0.09</v>
      </c>
      <c r="P18" s="3">
        <f t="shared" si="1"/>
        <v>8.5578636902696861E-2</v>
      </c>
    </row>
    <row r="19" spans="2:16" x14ac:dyDescent="0.3">
      <c r="B19" s="5" t="s">
        <v>480</v>
      </c>
      <c r="C19" s="2">
        <v>32048</v>
      </c>
      <c r="D19" s="5">
        <f t="shared" si="3"/>
        <v>31</v>
      </c>
      <c r="E19" s="3">
        <f>ROUND(SUM('MILB &amp; MLB'!AM57:AM58),2)</f>
        <v>0.73</v>
      </c>
      <c r="F19" s="3">
        <f>ROUND(SUM('MILB &amp; MLB'!AM59),2)</f>
        <v>2.17</v>
      </c>
      <c r="G19" s="4">
        <f>1.15+ROUND(SUM('MILB &amp; MLB'!AM60:AM61),2)</f>
        <v>4.4399999999999995</v>
      </c>
      <c r="H19" s="3">
        <f t="shared" si="0"/>
        <v>2.7567549190500289</v>
      </c>
      <c r="J19" s="5" t="s">
        <v>140</v>
      </c>
      <c r="K19" s="2">
        <v>35678</v>
      </c>
      <c r="L19" s="5">
        <f t="shared" si="2"/>
        <v>21</v>
      </c>
      <c r="O19" s="5">
        <v>-0.12</v>
      </c>
      <c r="P19" s="3">
        <f t="shared" si="1"/>
        <v>0.40949462155018257</v>
      </c>
    </row>
    <row r="20" spans="2:16" x14ac:dyDescent="0.3">
      <c r="B20" s="5" t="s">
        <v>655</v>
      </c>
      <c r="C20" s="2">
        <v>31647</v>
      </c>
      <c r="D20" s="5">
        <f t="shared" si="3"/>
        <v>32</v>
      </c>
      <c r="E20" s="5">
        <v>0.62</v>
      </c>
      <c r="F20" s="5">
        <v>-0.49</v>
      </c>
      <c r="G20" s="5">
        <v>-0.31</v>
      </c>
      <c r="H20" s="3">
        <f t="shared" si="0"/>
        <v>-0.21695035001171339</v>
      </c>
      <c r="J20" s="5" t="s">
        <v>141</v>
      </c>
      <c r="K20" s="2">
        <v>33521</v>
      </c>
      <c r="L20" s="5">
        <f t="shared" si="2"/>
        <v>27</v>
      </c>
      <c r="N20" s="5">
        <v>0.13</v>
      </c>
      <c r="O20" s="5">
        <v>-0.17</v>
      </c>
      <c r="P20" s="3">
        <f t="shared" si="1"/>
        <v>0.16313955141312919</v>
      </c>
    </row>
    <row r="21" spans="2:16" x14ac:dyDescent="0.3">
      <c r="B21" s="5" t="s">
        <v>681</v>
      </c>
      <c r="C21" s="2">
        <v>31470</v>
      </c>
      <c r="D21" s="5">
        <f t="shared" si="3"/>
        <v>33</v>
      </c>
      <c r="E21" s="5">
        <v>1.18</v>
      </c>
      <c r="F21" s="5">
        <v>-0.19</v>
      </c>
      <c r="G21" s="5">
        <v>1.57</v>
      </c>
      <c r="H21" s="3">
        <f t="shared" si="0"/>
        <v>0.75848119497740085</v>
      </c>
      <c r="J21" s="5" t="s">
        <v>142</v>
      </c>
      <c r="K21" s="2">
        <v>34826</v>
      </c>
      <c r="L21" s="5">
        <f t="shared" si="2"/>
        <v>24</v>
      </c>
      <c r="M21" s="5">
        <v>0.69</v>
      </c>
      <c r="N21" s="5">
        <v>0.98</v>
      </c>
      <c r="O21" s="5">
        <v>-0.32</v>
      </c>
      <c r="P21" s="3">
        <f t="shared" si="1"/>
        <v>0.46747541400792686</v>
      </c>
    </row>
    <row r="22" spans="2:16" x14ac:dyDescent="0.3">
      <c r="B22" s="5" t="s">
        <v>682</v>
      </c>
      <c r="C22" s="2">
        <v>34101</v>
      </c>
      <c r="D22" s="5">
        <f t="shared" si="3"/>
        <v>26</v>
      </c>
      <c r="G22" s="5">
        <v>0.03</v>
      </c>
      <c r="H22" s="3">
        <f t="shared" si="0"/>
        <v>0.2812615853780393</v>
      </c>
      <c r="J22" s="5" t="s">
        <v>143</v>
      </c>
      <c r="K22" s="2">
        <v>36402</v>
      </c>
      <c r="L22" s="5">
        <f t="shared" si="2"/>
        <v>19</v>
      </c>
      <c r="O22" s="5">
        <v>-0.33</v>
      </c>
      <c r="P22" s="3">
        <f t="shared" si="1"/>
        <v>0.39818541312319894</v>
      </c>
    </row>
    <row r="23" spans="2:16" x14ac:dyDescent="0.3">
      <c r="H23" s="3"/>
      <c r="J23" s="5" t="s">
        <v>144</v>
      </c>
      <c r="K23" s="2">
        <v>33482</v>
      </c>
      <c r="L23" s="5">
        <f t="shared" si="2"/>
        <v>27</v>
      </c>
      <c r="O23" s="5">
        <v>-0.34</v>
      </c>
      <c r="P23" s="3">
        <f t="shared" si="1"/>
        <v>5.6039659668038158E-2</v>
      </c>
    </row>
    <row r="24" spans="2:16" x14ac:dyDescent="0.3">
      <c r="H24" s="3"/>
      <c r="J24" s="5" t="s">
        <v>145</v>
      </c>
      <c r="K24" s="2">
        <v>32830</v>
      </c>
      <c r="L24" s="5">
        <f t="shared" si="2"/>
        <v>29</v>
      </c>
      <c r="M24" s="5">
        <v>5.08</v>
      </c>
      <c r="N24" s="5">
        <v>2.34</v>
      </c>
      <c r="O24" s="5">
        <v>-0.36</v>
      </c>
      <c r="P24" s="3">
        <f t="shared" si="1"/>
        <v>0.88161187483784142</v>
      </c>
    </row>
    <row r="25" spans="2:16" x14ac:dyDescent="0.3">
      <c r="H25" s="3"/>
      <c r="J25" s="5" t="s">
        <v>577</v>
      </c>
      <c r="K25" s="2">
        <v>32718</v>
      </c>
      <c r="L25" s="5">
        <f t="shared" si="2"/>
        <v>29</v>
      </c>
      <c r="M25" s="3">
        <f>ROUND(SUM('MILB &amp; MLB'!W258:W260),2)</f>
        <v>1.59</v>
      </c>
      <c r="N25" s="3">
        <f>ROUND(SUM('MILB &amp; MLB'!W261:W262),2)</f>
        <v>5.38</v>
      </c>
      <c r="O25" s="3">
        <f>ROUND('MILB &amp; MLB'!W263,2)</f>
        <v>2.4300000000000002</v>
      </c>
      <c r="P25" s="3">
        <f t="shared" si="1"/>
        <v>2.5807782424532215</v>
      </c>
    </row>
    <row r="26" spans="2:16" x14ac:dyDescent="0.3">
      <c r="H26" s="3"/>
      <c r="J26" s="5" t="s">
        <v>679</v>
      </c>
      <c r="K26" s="2">
        <v>32726</v>
      </c>
      <c r="L26" s="5">
        <f t="shared" si="2"/>
        <v>29</v>
      </c>
      <c r="N26" s="5">
        <v>0.04</v>
      </c>
      <c r="P26" s="3">
        <f t="shared" si="1"/>
        <v>0.13571050112380328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P36"/>
  <sheetViews>
    <sheetView workbookViewId="0">
      <selection activeCell="P25" sqref="P25"/>
    </sheetView>
  </sheetViews>
  <sheetFormatPr defaultColWidth="9" defaultRowHeight="16.5" x14ac:dyDescent="0.3"/>
  <cols>
    <col min="1" max="1" width="9" style="10"/>
    <col min="2" max="2" width="10.375" style="10" bestFit="1" customWidth="1"/>
    <col min="3" max="3" width="11.125" style="10" bestFit="1" customWidth="1"/>
    <col min="4" max="10" width="9" style="10"/>
    <col min="11" max="11" width="11.125" style="10" customWidth="1"/>
    <col min="12" max="16384" width="9" style="10"/>
  </cols>
  <sheetData>
    <row r="1" spans="2:16" x14ac:dyDescent="0.3">
      <c r="B1" s="10" t="s">
        <v>35</v>
      </c>
      <c r="C1" s="2">
        <v>43647</v>
      </c>
    </row>
    <row r="2" spans="2:16" x14ac:dyDescent="0.3">
      <c r="C2" s="2"/>
    </row>
    <row r="3" spans="2:16" x14ac:dyDescent="0.3">
      <c r="B3" s="10" t="s">
        <v>26</v>
      </c>
      <c r="C3" s="10" t="s">
        <v>25</v>
      </c>
      <c r="D3" s="10" t="s">
        <v>27</v>
      </c>
      <c r="E3" s="10">
        <v>2016</v>
      </c>
      <c r="F3" s="10">
        <v>2017</v>
      </c>
      <c r="G3" s="10">
        <v>2018</v>
      </c>
      <c r="H3" s="10">
        <v>2019</v>
      </c>
      <c r="J3" s="10" t="s">
        <v>26</v>
      </c>
      <c r="K3" s="10" t="s">
        <v>25</v>
      </c>
      <c r="L3" s="10" t="s">
        <v>27</v>
      </c>
      <c r="M3" s="10">
        <v>2016</v>
      </c>
      <c r="N3" s="10">
        <v>2017</v>
      </c>
      <c r="O3" s="10">
        <v>2018</v>
      </c>
      <c r="P3" s="10">
        <v>2019</v>
      </c>
    </row>
    <row r="4" spans="2:16" x14ac:dyDescent="0.3">
      <c r="B4" s="10" t="s">
        <v>225</v>
      </c>
      <c r="C4" s="2">
        <v>33056</v>
      </c>
      <c r="D4" s="10">
        <f>DATEDIF(C4,$C$1,"y")</f>
        <v>28</v>
      </c>
      <c r="E4" s="3">
        <v>-0.12</v>
      </c>
      <c r="F4" s="3">
        <v>4.2300000000000004</v>
      </c>
      <c r="G4" s="3">
        <v>4.38</v>
      </c>
      <c r="H4" s="3">
        <f t="shared" ref="H4:H31" si="0">(((G4*0.6)+(F4*0.3)+(E4*0.1))*0.9+0.05*(32-D4))*0.889505330101326</f>
        <v>3.2880564527195517</v>
      </c>
      <c r="J4" s="10" t="s">
        <v>236</v>
      </c>
      <c r="K4" s="2">
        <v>32203</v>
      </c>
      <c r="L4" s="10">
        <f>DATEDIF(K4,$C$1,"y")</f>
        <v>31</v>
      </c>
      <c r="M4" s="10">
        <v>5.69</v>
      </c>
      <c r="N4" s="10">
        <v>4.5599999999999996</v>
      </c>
      <c r="O4" s="10">
        <v>5.21</v>
      </c>
      <c r="P4" s="3">
        <f t="shared" ref="P4:P25" si="1">(((O4*0.6)+(N4*0.3)+(M4*0.1))*0.9+0.05*(32-L4))*0.843970778133105</f>
        <v>3.8879201836257744</v>
      </c>
    </row>
    <row r="5" spans="2:16" x14ac:dyDescent="0.3">
      <c r="B5" s="10" t="s">
        <v>226</v>
      </c>
      <c r="C5" s="2">
        <v>30666</v>
      </c>
      <c r="D5" s="10">
        <f t="shared" ref="D5:D31" si="2">DATEDIF(C5,$C$1,"y")</f>
        <v>35</v>
      </c>
      <c r="E5" s="10">
        <v>7.96</v>
      </c>
      <c r="F5" s="10">
        <v>6.67</v>
      </c>
      <c r="G5" s="10">
        <v>4.37</v>
      </c>
      <c r="H5" s="3">
        <f t="shared" si="0"/>
        <v>4.2047806459219776</v>
      </c>
      <c r="J5" s="10" t="s">
        <v>237</v>
      </c>
      <c r="K5" s="2">
        <v>34060</v>
      </c>
      <c r="L5" s="10">
        <f>DATEDIF(K5,$C$1,"y")</f>
        <v>26</v>
      </c>
      <c r="M5" s="10">
        <v>0.65</v>
      </c>
      <c r="N5" s="10">
        <v>1.89</v>
      </c>
      <c r="O5" s="10">
        <v>2.37</v>
      </c>
      <c r="P5" s="3">
        <f t="shared" si="1"/>
        <v>1.8133556138967895</v>
      </c>
    </row>
    <row r="6" spans="2:16" x14ac:dyDescent="0.3">
      <c r="B6" s="10" t="s">
        <v>227</v>
      </c>
      <c r="C6" s="2">
        <v>29915</v>
      </c>
      <c r="D6" s="10">
        <f t="shared" si="2"/>
        <v>37</v>
      </c>
      <c r="E6" s="10">
        <v>4.63</v>
      </c>
      <c r="F6" s="10">
        <v>2.59</v>
      </c>
      <c r="G6" s="10">
        <v>2.62</v>
      </c>
      <c r="H6" s="3">
        <f t="shared" si="0"/>
        <v>2.0287837568951046</v>
      </c>
      <c r="J6" s="10" t="s">
        <v>238</v>
      </c>
      <c r="K6" s="2">
        <v>33519</v>
      </c>
      <c r="L6" s="10">
        <f t="shared" ref="L6:L25" si="3">DATEDIF(K6,$C$1,"y")</f>
        <v>27</v>
      </c>
      <c r="M6" s="10">
        <v>0.17</v>
      </c>
      <c r="N6" s="10">
        <v>0.65</v>
      </c>
      <c r="O6" s="10">
        <v>1.47</v>
      </c>
      <c r="P6" s="3">
        <f t="shared" si="1"/>
        <v>1.0419663226831313</v>
      </c>
    </row>
    <row r="7" spans="2:16" x14ac:dyDescent="0.3">
      <c r="B7" s="10" t="s">
        <v>228</v>
      </c>
      <c r="C7" s="2">
        <v>31186</v>
      </c>
      <c r="D7" s="10">
        <f t="shared" si="2"/>
        <v>34</v>
      </c>
      <c r="E7" s="10">
        <v>3.69</v>
      </c>
      <c r="F7" s="10">
        <v>3.46</v>
      </c>
      <c r="G7" s="10">
        <v>2.46</v>
      </c>
      <c r="H7" s="3">
        <f t="shared" si="0"/>
        <v>2.219048947003778</v>
      </c>
      <c r="J7" s="10" t="s">
        <v>239</v>
      </c>
      <c r="K7" s="2">
        <v>33793</v>
      </c>
      <c r="L7" s="10">
        <f t="shared" si="3"/>
        <v>26</v>
      </c>
      <c r="O7" s="10">
        <v>0.96</v>
      </c>
      <c r="P7" s="3">
        <f t="shared" si="1"/>
        <v>0.69070568482413308</v>
      </c>
    </row>
    <row r="8" spans="2:16" x14ac:dyDescent="0.3">
      <c r="B8" s="10" t="s">
        <v>229</v>
      </c>
      <c r="C8" s="2">
        <v>32137</v>
      </c>
      <c r="D8" s="10">
        <f t="shared" si="2"/>
        <v>31</v>
      </c>
      <c r="E8" s="10">
        <v>-0.12</v>
      </c>
      <c r="F8" s="10">
        <v>3.09</v>
      </c>
      <c r="G8" s="10">
        <v>2.41</v>
      </c>
      <c r="H8" s="3">
        <f t="shared" si="0"/>
        <v>1.9345851424373737</v>
      </c>
      <c r="J8" s="10" t="s">
        <v>240</v>
      </c>
      <c r="K8" s="2">
        <v>35856</v>
      </c>
      <c r="L8" s="10">
        <f t="shared" si="3"/>
        <v>21</v>
      </c>
      <c r="O8" s="10">
        <v>0.84</v>
      </c>
      <c r="P8" s="3">
        <f t="shared" si="1"/>
        <v>0.84700907293438421</v>
      </c>
    </row>
    <row r="9" spans="2:16" x14ac:dyDescent="0.3">
      <c r="B9" s="10" t="s">
        <v>230</v>
      </c>
      <c r="C9" s="2">
        <v>29670</v>
      </c>
      <c r="D9" s="10">
        <f t="shared" si="2"/>
        <v>38</v>
      </c>
      <c r="E9" s="10">
        <v>4.2699999999999996</v>
      </c>
      <c r="F9" s="10">
        <v>2.34</v>
      </c>
      <c r="G9" s="10">
        <v>2.33</v>
      </c>
      <c r="H9" s="3">
        <f t="shared" si="0"/>
        <v>1.7561503732190478</v>
      </c>
      <c r="J9" s="10" t="s">
        <v>241</v>
      </c>
      <c r="K9" s="2">
        <v>33442</v>
      </c>
      <c r="L9" s="10">
        <f t="shared" si="3"/>
        <v>27</v>
      </c>
      <c r="O9" s="10">
        <v>0.77</v>
      </c>
      <c r="P9" s="3">
        <f t="shared" si="1"/>
        <v>0.56191574408102118</v>
      </c>
    </row>
    <row r="10" spans="2:16" x14ac:dyDescent="0.3">
      <c r="B10" s="10" t="s">
        <v>231</v>
      </c>
      <c r="C10" s="2">
        <v>32860</v>
      </c>
      <c r="D10" s="10">
        <f t="shared" si="2"/>
        <v>29</v>
      </c>
      <c r="E10" s="10">
        <v>0.28000000000000003</v>
      </c>
      <c r="F10" s="10">
        <v>5.05</v>
      </c>
      <c r="G10" s="10">
        <v>1.53</v>
      </c>
      <c r="H10" s="3">
        <f t="shared" si="0"/>
        <v>2.103591155156626</v>
      </c>
      <c r="J10" s="10" t="s">
        <v>242</v>
      </c>
      <c r="K10" s="2">
        <v>33972</v>
      </c>
      <c r="L10" s="10">
        <f t="shared" si="3"/>
        <v>26</v>
      </c>
      <c r="M10" s="10">
        <v>0.33</v>
      </c>
      <c r="N10" s="10">
        <v>-0.28000000000000003</v>
      </c>
      <c r="O10" s="10">
        <v>0.48</v>
      </c>
      <c r="P10" s="3">
        <f t="shared" si="1"/>
        <v>0.43321020041572278</v>
      </c>
    </row>
    <row r="11" spans="2:16" x14ac:dyDescent="0.3">
      <c r="B11" s="10" t="s">
        <v>232</v>
      </c>
      <c r="C11" s="2">
        <v>32687</v>
      </c>
      <c r="D11" s="10">
        <f t="shared" si="2"/>
        <v>30</v>
      </c>
      <c r="E11" s="10">
        <v>-1.17</v>
      </c>
      <c r="F11" s="10">
        <v>-0.02</v>
      </c>
      <c r="G11" s="10">
        <v>0.94</v>
      </c>
      <c r="H11" s="3">
        <f t="shared" si="0"/>
        <v>0.44199519852734892</v>
      </c>
      <c r="J11" s="10" t="s">
        <v>243</v>
      </c>
      <c r="K11" s="2">
        <v>34075</v>
      </c>
      <c r="L11" s="10">
        <f t="shared" si="3"/>
        <v>26</v>
      </c>
      <c r="N11" s="10">
        <v>2.73</v>
      </c>
      <c r="O11" s="10">
        <v>0.41</v>
      </c>
      <c r="P11" s="3">
        <f t="shared" si="1"/>
        <v>1.0621372242805127</v>
      </c>
    </row>
    <row r="12" spans="2:16" x14ac:dyDescent="0.3">
      <c r="B12" s="10" t="s">
        <v>233</v>
      </c>
      <c r="C12" s="2">
        <v>32102</v>
      </c>
      <c r="D12" s="10">
        <f t="shared" si="2"/>
        <v>31</v>
      </c>
      <c r="E12" s="10">
        <v>-0.11</v>
      </c>
      <c r="F12" s="10">
        <v>-0.04</v>
      </c>
      <c r="G12" s="10">
        <v>0.24</v>
      </c>
      <c r="H12" s="3">
        <f t="shared" si="0"/>
        <v>0.14134239695310069</v>
      </c>
      <c r="J12" s="10" t="s">
        <v>244</v>
      </c>
      <c r="K12" s="2">
        <v>33781</v>
      </c>
      <c r="L12" s="10">
        <f t="shared" si="3"/>
        <v>27</v>
      </c>
      <c r="M12" s="10">
        <v>0.15</v>
      </c>
      <c r="O12" s="10">
        <v>0.14000000000000001</v>
      </c>
      <c r="P12" s="3">
        <f t="shared" si="1"/>
        <v>0.28619049086493592</v>
      </c>
    </row>
    <row r="13" spans="2:16" x14ac:dyDescent="0.3">
      <c r="B13" s="10" t="s">
        <v>234</v>
      </c>
      <c r="C13" s="2">
        <v>32587</v>
      </c>
      <c r="D13" s="10">
        <f t="shared" si="2"/>
        <v>30</v>
      </c>
      <c r="E13" s="10">
        <v>-0.4</v>
      </c>
      <c r="F13" s="10">
        <v>-0.13</v>
      </c>
      <c r="G13" s="10">
        <v>0.08</v>
      </c>
      <c r="H13" s="3">
        <f t="shared" si="0"/>
        <v>6.41333343003056E-2</v>
      </c>
      <c r="J13" s="10" t="s">
        <v>245</v>
      </c>
      <c r="K13" s="2">
        <v>35173</v>
      </c>
      <c r="L13" s="10">
        <f t="shared" si="3"/>
        <v>23</v>
      </c>
      <c r="M13" s="10">
        <v>-0.16</v>
      </c>
      <c r="O13" s="10">
        <v>0.05</v>
      </c>
      <c r="P13" s="3">
        <f t="shared" si="1"/>
        <v>0.39042088196437436</v>
      </c>
    </row>
    <row r="14" spans="2:16" x14ac:dyDescent="0.3">
      <c r="B14" s="10" t="s">
        <v>235</v>
      </c>
      <c r="C14" s="2">
        <v>33445</v>
      </c>
      <c r="D14" s="10">
        <f t="shared" si="2"/>
        <v>27</v>
      </c>
      <c r="G14" s="10">
        <v>7.0000000000000007E-2</v>
      </c>
      <c r="H14" s="3">
        <f t="shared" si="0"/>
        <v>0.25599963400316161</v>
      </c>
      <c r="J14" s="10" t="s">
        <v>246</v>
      </c>
      <c r="K14" s="2">
        <v>31617</v>
      </c>
      <c r="L14" s="10">
        <f t="shared" si="3"/>
        <v>32</v>
      </c>
      <c r="M14" s="10">
        <v>0.88</v>
      </c>
      <c r="O14" s="10">
        <v>0.03</v>
      </c>
      <c r="P14" s="3">
        <f t="shared" si="1"/>
        <v>8.0514812233898225E-2</v>
      </c>
    </row>
    <row r="15" spans="2:16" x14ac:dyDescent="0.3">
      <c r="B15" s="10" t="s">
        <v>488</v>
      </c>
      <c r="C15" s="2">
        <v>32003</v>
      </c>
      <c r="D15" s="10">
        <f t="shared" si="2"/>
        <v>31</v>
      </c>
      <c r="E15" s="3">
        <f>ROUND(SUM('MILB &amp; MLB'!AM72:AM73),2)</f>
        <v>3.08</v>
      </c>
      <c r="F15" s="3">
        <f>ROUND(SUM('MILB &amp; MLB'!AM74:AM75),2)</f>
        <v>2.68</v>
      </c>
      <c r="G15" s="3">
        <f>ROUND(SUM('MILB &amp; MLB'!AM76:AM77),2)</f>
        <v>0.88</v>
      </c>
      <c r="H15" s="3">
        <f t="shared" si="0"/>
        <v>1.3573851337346237</v>
      </c>
      <c r="J15" s="10" t="s">
        <v>247</v>
      </c>
      <c r="K15" s="2">
        <v>32022</v>
      </c>
      <c r="L15" s="10">
        <f t="shared" si="3"/>
        <v>31</v>
      </c>
      <c r="N15" s="10">
        <v>-0.11</v>
      </c>
      <c r="O15" s="10">
        <v>0.02</v>
      </c>
      <c r="P15" s="3">
        <f t="shared" si="1"/>
        <v>2.6247491199939566E-2</v>
      </c>
    </row>
    <row r="16" spans="2:16" x14ac:dyDescent="0.3">
      <c r="B16" s="10" t="s">
        <v>683</v>
      </c>
      <c r="C16" s="2">
        <v>35820</v>
      </c>
      <c r="D16" s="10">
        <f t="shared" si="2"/>
        <v>21</v>
      </c>
      <c r="G16" s="10">
        <v>-0.23</v>
      </c>
      <c r="H16" s="3">
        <f t="shared" si="0"/>
        <v>0.37875136955714461</v>
      </c>
      <c r="J16" s="10" t="s">
        <v>248</v>
      </c>
      <c r="K16" s="2">
        <v>32563</v>
      </c>
      <c r="L16" s="10">
        <f t="shared" si="3"/>
        <v>30</v>
      </c>
      <c r="O16" s="10">
        <v>0</v>
      </c>
      <c r="P16" s="3">
        <f t="shared" si="1"/>
        <v>8.4397077813310503E-2</v>
      </c>
    </row>
    <row r="17" spans="2:16" x14ac:dyDescent="0.3">
      <c r="B17" s="10" t="s">
        <v>684</v>
      </c>
      <c r="C17" s="2">
        <v>34506</v>
      </c>
      <c r="D17" s="10">
        <f t="shared" si="2"/>
        <v>25</v>
      </c>
      <c r="E17" s="10">
        <v>-0.26</v>
      </c>
      <c r="F17" s="10">
        <v>-0.14000000000000001</v>
      </c>
      <c r="G17" s="10">
        <v>0.49</v>
      </c>
      <c r="H17" s="3">
        <f t="shared" si="0"/>
        <v>0.49225224967807385</v>
      </c>
      <c r="J17" s="10" t="s">
        <v>249</v>
      </c>
      <c r="K17" s="2">
        <v>36409</v>
      </c>
      <c r="L17" s="10">
        <f t="shared" si="3"/>
        <v>19</v>
      </c>
      <c r="O17" s="10">
        <v>-0.13</v>
      </c>
      <c r="P17" s="3">
        <f t="shared" si="1"/>
        <v>0.48933425716157425</v>
      </c>
    </row>
    <row r="18" spans="2:16" x14ac:dyDescent="0.3">
      <c r="B18" s="10" t="s">
        <v>685</v>
      </c>
      <c r="C18" s="2">
        <v>31396</v>
      </c>
      <c r="D18" s="10">
        <f t="shared" si="2"/>
        <v>33</v>
      </c>
      <c r="E18" s="10">
        <v>1.63</v>
      </c>
      <c r="F18" s="10">
        <v>-0.78</v>
      </c>
      <c r="G18" s="10">
        <v>-0.14000000000000001</v>
      </c>
      <c r="H18" s="3">
        <f t="shared" si="0"/>
        <v>-0.16856126005420127</v>
      </c>
      <c r="J18" s="10" t="s">
        <v>250</v>
      </c>
      <c r="K18" s="2">
        <v>33876</v>
      </c>
      <c r="L18" s="10">
        <f t="shared" si="3"/>
        <v>26</v>
      </c>
      <c r="M18" s="10">
        <v>1.52</v>
      </c>
      <c r="N18" s="10">
        <v>0.02</v>
      </c>
      <c r="O18" s="10">
        <v>-0.23</v>
      </c>
      <c r="P18" s="3">
        <f t="shared" si="1"/>
        <v>0.26838270744632742</v>
      </c>
    </row>
    <row r="19" spans="2:16" x14ac:dyDescent="0.3">
      <c r="B19" s="10" t="s">
        <v>686</v>
      </c>
      <c r="C19" s="2">
        <v>35612</v>
      </c>
      <c r="D19" s="10">
        <f t="shared" si="2"/>
        <v>22</v>
      </c>
      <c r="G19" s="10">
        <v>0.16</v>
      </c>
      <c r="H19" s="3">
        <f t="shared" si="0"/>
        <v>0.52160592557141761</v>
      </c>
      <c r="J19" s="10" t="s">
        <v>251</v>
      </c>
      <c r="K19" s="2">
        <v>31996</v>
      </c>
      <c r="L19" s="10">
        <f t="shared" si="3"/>
        <v>31</v>
      </c>
      <c r="M19" s="10">
        <v>2.99</v>
      </c>
      <c r="N19" s="10">
        <f>0.7-0.18</f>
        <v>0.52</v>
      </c>
      <c r="O19" s="10">
        <v>-0.23</v>
      </c>
      <c r="P19" s="3">
        <f t="shared" si="1"/>
        <v>0.28298340190803012</v>
      </c>
    </row>
    <row r="20" spans="2:16" x14ac:dyDescent="0.3">
      <c r="B20" s="10" t="s">
        <v>687</v>
      </c>
      <c r="C20" s="2">
        <v>34855</v>
      </c>
      <c r="D20" s="10">
        <f t="shared" si="2"/>
        <v>24</v>
      </c>
      <c r="E20" s="10">
        <v>-0.33</v>
      </c>
      <c r="H20" s="3">
        <f t="shared" si="0"/>
        <v>0.32938382373652103</v>
      </c>
      <c r="J20" s="10" t="s">
        <v>252</v>
      </c>
      <c r="K20" s="2">
        <v>34009</v>
      </c>
      <c r="L20" s="10">
        <f t="shared" si="3"/>
        <v>26</v>
      </c>
      <c r="N20" s="10">
        <v>0.43</v>
      </c>
      <c r="O20" s="10">
        <v>-0.36</v>
      </c>
      <c r="P20" s="3">
        <f t="shared" si="1"/>
        <v>0.18710832151210943</v>
      </c>
    </row>
    <row r="21" spans="2:16" x14ac:dyDescent="0.3">
      <c r="B21" s="10" t="s">
        <v>688</v>
      </c>
      <c r="C21" s="2">
        <v>30762</v>
      </c>
      <c r="D21" s="10">
        <f t="shared" si="2"/>
        <v>35</v>
      </c>
      <c r="E21" s="10">
        <v>2.66</v>
      </c>
      <c r="F21" s="10">
        <v>0.68</v>
      </c>
      <c r="G21" s="10">
        <v>-0.14000000000000001</v>
      </c>
      <c r="H21" s="3">
        <f t="shared" si="0"/>
        <v>0.17558835216200178</v>
      </c>
      <c r="J21" s="10" t="s">
        <v>253</v>
      </c>
      <c r="K21" s="2">
        <v>35090</v>
      </c>
      <c r="L21" s="10">
        <f t="shared" si="3"/>
        <v>23</v>
      </c>
      <c r="M21" s="10">
        <v>0.08</v>
      </c>
      <c r="O21" s="10">
        <v>-0.43</v>
      </c>
      <c r="P21" s="3">
        <f t="shared" si="1"/>
        <v>0.18989342507994861</v>
      </c>
    </row>
    <row r="22" spans="2:16" x14ac:dyDescent="0.3">
      <c r="B22" s="10" t="s">
        <v>689</v>
      </c>
      <c r="C22" s="2">
        <v>32611</v>
      </c>
      <c r="D22" s="10">
        <f t="shared" si="2"/>
        <v>30</v>
      </c>
      <c r="E22" s="10">
        <v>0.24</v>
      </c>
      <c r="F22" s="10">
        <v>0.04</v>
      </c>
      <c r="G22" s="10">
        <v>0.28999999999999998</v>
      </c>
      <c r="H22" s="3">
        <f t="shared" si="0"/>
        <v>0.25706704039928324</v>
      </c>
      <c r="J22" s="10" t="s">
        <v>584</v>
      </c>
      <c r="K22" s="2">
        <v>33379</v>
      </c>
      <c r="L22" s="10">
        <f t="shared" si="3"/>
        <v>28</v>
      </c>
      <c r="M22" s="3">
        <f>ROUND(SUM('MILB &amp; MLB'!W276:W277),2)</f>
        <v>3.97</v>
      </c>
      <c r="N22" s="3">
        <f>ROUND(SUM('MILB &amp; MLB'!W278:W279),2)</f>
        <v>1.94</v>
      </c>
      <c r="O22" s="3">
        <f>ROUND(SUM('MILB &amp; MLB'!W280:W282),2)</f>
        <v>3.74</v>
      </c>
      <c r="P22" s="3">
        <f t="shared" si="1"/>
        <v>2.6169001917573187</v>
      </c>
    </row>
    <row r="23" spans="2:16" x14ac:dyDescent="0.3">
      <c r="B23" s="10" t="s">
        <v>690</v>
      </c>
      <c r="C23" s="2">
        <v>32564</v>
      </c>
      <c r="D23" s="10">
        <f t="shared" si="2"/>
        <v>30</v>
      </c>
      <c r="E23" s="10">
        <v>-0.35</v>
      </c>
      <c r="H23" s="3">
        <f t="shared" si="0"/>
        <v>6.093111511194084E-2</v>
      </c>
      <c r="J23" s="10" t="s">
        <v>585</v>
      </c>
      <c r="K23" s="2">
        <v>32894</v>
      </c>
      <c r="L23" s="10">
        <f t="shared" si="3"/>
        <v>29</v>
      </c>
      <c r="M23" s="3">
        <f>ROUND(SUM('MILB &amp; MLB'!W292),2)</f>
        <v>0.01</v>
      </c>
      <c r="N23" s="3">
        <f>ROUND('MILB &amp; MLB'!W294,2)</f>
        <v>6.69</v>
      </c>
      <c r="O23" s="3">
        <f>ROUND('MILB &amp; MLB'!W295,2)</f>
        <v>2.4</v>
      </c>
      <c r="P23" s="3">
        <f t="shared" si="1"/>
        <v>2.7456057354226169</v>
      </c>
    </row>
    <row r="24" spans="2:16" x14ac:dyDescent="0.3">
      <c r="B24" s="10" t="s">
        <v>691</v>
      </c>
      <c r="C24" s="2">
        <v>33301</v>
      </c>
      <c r="D24" s="10">
        <f t="shared" si="2"/>
        <v>28</v>
      </c>
      <c r="G24" s="10">
        <f>-0.25-0.04</f>
        <v>-0.28999999999999998</v>
      </c>
      <c r="H24" s="3">
        <f t="shared" si="0"/>
        <v>3.8604531326397573E-2</v>
      </c>
      <c r="J24" s="10" t="s">
        <v>699</v>
      </c>
      <c r="K24" s="2">
        <v>32772</v>
      </c>
      <c r="L24" s="10">
        <f t="shared" si="3"/>
        <v>29</v>
      </c>
      <c r="N24" s="10">
        <v>-0.12</v>
      </c>
      <c r="P24" s="3">
        <f t="shared" si="1"/>
        <v>9.9250963508453166E-2</v>
      </c>
    </row>
    <row r="25" spans="2:16" x14ac:dyDescent="0.3">
      <c r="B25" s="10" t="s">
        <v>692</v>
      </c>
      <c r="C25" s="2">
        <v>35512</v>
      </c>
      <c r="D25" s="10">
        <f t="shared" si="2"/>
        <v>22</v>
      </c>
      <c r="E25" s="10">
        <v>0.23</v>
      </c>
      <c r="F25" s="10">
        <v>0.59</v>
      </c>
      <c r="G25" s="10">
        <v>-0.1</v>
      </c>
      <c r="H25" s="3">
        <f t="shared" si="0"/>
        <v>0.55683033664343007</v>
      </c>
      <c r="J25" s="10" t="s">
        <v>700</v>
      </c>
      <c r="K25" s="2">
        <v>33826</v>
      </c>
      <c r="L25" s="10">
        <f t="shared" si="3"/>
        <v>26</v>
      </c>
      <c r="M25" s="10">
        <v>-0.14000000000000001</v>
      </c>
      <c r="P25" s="3">
        <f t="shared" si="1"/>
        <v>0.24255720163545441</v>
      </c>
    </row>
    <row r="26" spans="2:16" x14ac:dyDescent="0.3">
      <c r="B26" s="10" t="s">
        <v>693</v>
      </c>
      <c r="C26" s="2">
        <v>32661</v>
      </c>
      <c r="D26" s="10">
        <f t="shared" si="2"/>
        <v>30</v>
      </c>
      <c r="E26" s="10">
        <v>0.43</v>
      </c>
      <c r="F26" s="10">
        <v>-0.02</v>
      </c>
      <c r="G26" s="10">
        <v>-0.36</v>
      </c>
      <c r="H26" s="3">
        <f t="shared" si="0"/>
        <v>-5.434877566919101E-2</v>
      </c>
    </row>
    <row r="27" spans="2:16" x14ac:dyDescent="0.3">
      <c r="B27" s="10" t="s">
        <v>694</v>
      </c>
      <c r="C27" s="2">
        <v>31898</v>
      </c>
      <c r="D27" s="10">
        <f t="shared" si="2"/>
        <v>32</v>
      </c>
      <c r="E27" s="10">
        <v>-0.14000000000000001</v>
      </c>
      <c r="F27" s="10">
        <v>0</v>
      </c>
      <c r="G27" s="10">
        <v>-0.13</v>
      </c>
      <c r="H27" s="3">
        <f t="shared" si="0"/>
        <v>-7.3651041332389797E-2</v>
      </c>
    </row>
    <row r="28" spans="2:16" x14ac:dyDescent="0.3">
      <c r="B28" s="10" t="s">
        <v>695</v>
      </c>
      <c r="C28" s="2">
        <v>35105</v>
      </c>
      <c r="D28" s="10">
        <f t="shared" si="2"/>
        <v>23</v>
      </c>
      <c r="E28" s="10">
        <v>0.16</v>
      </c>
      <c r="H28" s="3">
        <f t="shared" si="0"/>
        <v>0.41308627529905584</v>
      </c>
    </row>
    <row r="29" spans="2:16" x14ac:dyDescent="0.3">
      <c r="B29" s="10" t="s">
        <v>696</v>
      </c>
      <c r="C29" s="2">
        <v>34234</v>
      </c>
      <c r="D29" s="10">
        <f t="shared" si="2"/>
        <v>25</v>
      </c>
      <c r="E29" s="10">
        <v>-0.14000000000000001</v>
      </c>
      <c r="F29" s="10">
        <v>-0.12</v>
      </c>
      <c r="G29" s="10">
        <v>-0.49</v>
      </c>
      <c r="H29" s="3">
        <f t="shared" si="0"/>
        <v>3.5936015336093613E-2</v>
      </c>
    </row>
    <row r="30" spans="2:16" x14ac:dyDescent="0.3">
      <c r="B30" s="10" t="s">
        <v>697</v>
      </c>
      <c r="C30" s="2">
        <v>33013</v>
      </c>
      <c r="D30" s="10">
        <f t="shared" si="2"/>
        <v>29</v>
      </c>
      <c r="E30" s="10">
        <v>1.17</v>
      </c>
      <c r="F30" s="10">
        <v>0.25</v>
      </c>
      <c r="G30" s="10">
        <v>-0.22</v>
      </c>
      <c r="H30" s="3">
        <f t="shared" si="0"/>
        <v>0.18145908734067054</v>
      </c>
    </row>
    <row r="31" spans="2:16" x14ac:dyDescent="0.3">
      <c r="B31" s="10" t="s">
        <v>698</v>
      </c>
      <c r="C31" s="2">
        <v>33419</v>
      </c>
      <c r="D31" s="10">
        <f t="shared" si="2"/>
        <v>28</v>
      </c>
      <c r="F31" s="10">
        <v>-0.1</v>
      </c>
      <c r="G31" s="10">
        <v>-0.05</v>
      </c>
      <c r="H31" s="3">
        <f t="shared" si="0"/>
        <v>0.12986777819479361</v>
      </c>
    </row>
    <row r="32" spans="2:16" x14ac:dyDescent="0.3">
      <c r="H32" s="3"/>
    </row>
    <row r="33" spans="8:8" x14ac:dyDescent="0.3">
      <c r="H33" s="3"/>
    </row>
    <row r="34" spans="8:8" x14ac:dyDescent="0.3">
      <c r="H34" s="3"/>
    </row>
    <row r="35" spans="8:8" x14ac:dyDescent="0.3">
      <c r="H35" s="3"/>
    </row>
    <row r="36" spans="8:8" x14ac:dyDescent="0.3">
      <c r="H36" s="3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P30"/>
  <sheetViews>
    <sheetView workbookViewId="0">
      <selection activeCell="P24" sqref="P24"/>
    </sheetView>
  </sheetViews>
  <sheetFormatPr defaultColWidth="9" defaultRowHeight="16.5" x14ac:dyDescent="0.3"/>
  <cols>
    <col min="1" max="2" width="9" style="10"/>
    <col min="3" max="3" width="11.125" style="10" bestFit="1" customWidth="1"/>
    <col min="4" max="10" width="9" style="10"/>
    <col min="11" max="11" width="11.125" style="10" bestFit="1" customWidth="1"/>
    <col min="12" max="16384" width="9" style="10"/>
  </cols>
  <sheetData>
    <row r="1" spans="2:16" x14ac:dyDescent="0.3">
      <c r="B1" s="10" t="s">
        <v>35</v>
      </c>
      <c r="C1" s="2">
        <v>43647</v>
      </c>
    </row>
    <row r="2" spans="2:16" x14ac:dyDescent="0.3">
      <c r="C2" s="2"/>
    </row>
    <row r="3" spans="2:16" x14ac:dyDescent="0.3">
      <c r="B3" s="10" t="s">
        <v>26</v>
      </c>
      <c r="C3" s="10" t="s">
        <v>25</v>
      </c>
      <c r="D3" s="10" t="s">
        <v>27</v>
      </c>
      <c r="E3" s="10">
        <v>2016</v>
      </c>
      <c r="F3" s="10">
        <v>2017</v>
      </c>
      <c r="G3" s="10">
        <v>2018</v>
      </c>
      <c r="H3" s="10">
        <v>2019</v>
      </c>
      <c r="J3" s="10" t="s">
        <v>26</v>
      </c>
      <c r="K3" s="10" t="s">
        <v>25</v>
      </c>
      <c r="L3" s="10" t="s">
        <v>27</v>
      </c>
      <c r="M3" s="10">
        <v>2016</v>
      </c>
      <c r="N3" s="10">
        <v>2017</v>
      </c>
      <c r="O3" s="10">
        <v>2018</v>
      </c>
      <c r="P3" s="10">
        <v>2019</v>
      </c>
    </row>
    <row r="4" spans="2:16" x14ac:dyDescent="0.3">
      <c r="B4" s="10" t="s">
        <v>254</v>
      </c>
      <c r="C4" s="2">
        <v>34012</v>
      </c>
      <c r="D4" s="10">
        <f>DATEDIF(C4,$C$1,"y")</f>
        <v>26</v>
      </c>
      <c r="E4" s="3">
        <v>4.1900000000000004</v>
      </c>
      <c r="F4" s="3">
        <v>5.26</v>
      </c>
      <c r="G4" s="3">
        <v>3.91</v>
      </c>
      <c r="H4" s="3">
        <f t="shared" ref="H4:H27" si="0">(((G4*0.6)+(F4*0.3)+(E4*0.1))*0.9+0.05*(32-D4))*0.889505330101326</f>
        <v>3.743661082797451</v>
      </c>
      <c r="J4" s="10" t="s">
        <v>270</v>
      </c>
      <c r="K4" s="2">
        <v>35494</v>
      </c>
      <c r="L4" s="10">
        <f>DATEDIF(K4,$C$1,"y")</f>
        <v>22</v>
      </c>
      <c r="M4" s="10">
        <v>-0.36</v>
      </c>
      <c r="N4" s="10">
        <v>-0.6</v>
      </c>
      <c r="O4" s="10">
        <v>2.98</v>
      </c>
      <c r="P4" s="3">
        <f t="shared" ref="P4:P24" si="1">(((O4*0.6)+(N4*0.3)+(M4*0.1))*0.9+0.05*(32-L4))*0.843970778133105</f>
        <v>1.6160352459692695</v>
      </c>
    </row>
    <row r="5" spans="2:16" x14ac:dyDescent="0.3">
      <c r="B5" s="10" t="s">
        <v>255</v>
      </c>
      <c r="C5" s="2">
        <v>32928</v>
      </c>
      <c r="D5" s="10">
        <f t="shared" ref="D5:D27" si="2">DATEDIF(C5,$C$1,"y")</f>
        <v>29</v>
      </c>
      <c r="E5" s="10">
        <v>3.19</v>
      </c>
      <c r="F5" s="10">
        <v>3.13</v>
      </c>
      <c r="G5" s="10">
        <v>3.5</v>
      </c>
      <c r="H5" s="3">
        <f t="shared" si="0"/>
        <v>2.8216888081474267</v>
      </c>
      <c r="J5" s="10" t="s">
        <v>271</v>
      </c>
      <c r="K5" s="2">
        <v>31971</v>
      </c>
      <c r="L5" s="10">
        <f t="shared" ref="L5:L24" si="3">DATEDIF(K5,$C$1,"y")</f>
        <v>31</v>
      </c>
      <c r="M5" s="10">
        <v>0.75</v>
      </c>
      <c r="N5" s="10">
        <v>2.14</v>
      </c>
      <c r="O5" s="10">
        <v>2.34</v>
      </c>
      <c r="P5" s="3">
        <f t="shared" si="1"/>
        <v>1.6532543572849394</v>
      </c>
    </row>
    <row r="6" spans="2:16" x14ac:dyDescent="0.3">
      <c r="B6" s="10" t="s">
        <v>256</v>
      </c>
      <c r="C6" s="2">
        <v>31706</v>
      </c>
      <c r="D6" s="10">
        <f t="shared" si="2"/>
        <v>32</v>
      </c>
      <c r="E6" s="10">
        <v>0.31</v>
      </c>
      <c r="F6" s="10">
        <v>1.1000000000000001</v>
      </c>
      <c r="G6" s="10">
        <v>3.32</v>
      </c>
      <c r="H6" s="3">
        <f t="shared" si="0"/>
        <v>1.883705437555578</v>
      </c>
      <c r="J6" s="10" t="s">
        <v>272</v>
      </c>
      <c r="K6" s="2">
        <v>32241</v>
      </c>
      <c r="L6" s="10">
        <f t="shared" si="3"/>
        <v>31</v>
      </c>
      <c r="M6" s="10">
        <v>0.99</v>
      </c>
      <c r="N6" s="10">
        <v>1.3</v>
      </c>
      <c r="O6" s="10">
        <v>1.49</v>
      </c>
      <c r="P6" s="3">
        <f t="shared" si="1"/>
        <v>1.0926889664489312</v>
      </c>
    </row>
    <row r="7" spans="2:16" x14ac:dyDescent="0.3">
      <c r="B7" s="10" t="s">
        <v>257</v>
      </c>
      <c r="C7" s="2">
        <v>31277</v>
      </c>
      <c r="D7" s="10">
        <f t="shared" si="2"/>
        <v>33</v>
      </c>
      <c r="E7" s="10">
        <v>5.0199999999999996</v>
      </c>
      <c r="F7" s="10">
        <v>3.38</v>
      </c>
      <c r="G7" s="10">
        <v>1.99</v>
      </c>
      <c r="H7" s="3">
        <f t="shared" si="0"/>
        <v>2.1250282336120683</v>
      </c>
      <c r="J7" s="10" t="s">
        <v>273</v>
      </c>
      <c r="K7" s="2">
        <v>36425</v>
      </c>
      <c r="L7" s="10">
        <f t="shared" si="3"/>
        <v>19</v>
      </c>
      <c r="O7" s="10">
        <v>1.42</v>
      </c>
      <c r="P7" s="3"/>
    </row>
    <row r="8" spans="2:16" x14ac:dyDescent="0.3">
      <c r="B8" s="10" t="s">
        <v>258</v>
      </c>
      <c r="C8" s="2">
        <v>32456</v>
      </c>
      <c r="D8" s="10">
        <f t="shared" si="2"/>
        <v>30</v>
      </c>
      <c r="E8" s="10">
        <v>0.7</v>
      </c>
      <c r="F8" s="10">
        <v>0.28000000000000003</v>
      </c>
      <c r="G8" s="10">
        <v>1.69</v>
      </c>
      <c r="H8" s="3">
        <f t="shared" si="0"/>
        <v>1.0239985360126467</v>
      </c>
      <c r="J8" s="10" t="s">
        <v>274</v>
      </c>
      <c r="K8" s="2">
        <v>31068</v>
      </c>
      <c r="L8" s="10">
        <f t="shared" si="3"/>
        <v>34</v>
      </c>
      <c r="M8" s="10">
        <v>0.76</v>
      </c>
      <c r="N8" s="10">
        <v>0.2</v>
      </c>
      <c r="O8" s="10">
        <v>1.39</v>
      </c>
      <c r="P8" s="3">
        <f t="shared" si="1"/>
        <v>0.65238941149689011</v>
      </c>
    </row>
    <row r="9" spans="2:16" x14ac:dyDescent="0.3">
      <c r="B9" s="10" t="s">
        <v>259</v>
      </c>
      <c r="C9" s="2">
        <v>32955</v>
      </c>
      <c r="D9" s="10">
        <f t="shared" si="2"/>
        <v>29</v>
      </c>
      <c r="E9" s="10">
        <v>-0.2</v>
      </c>
      <c r="F9" s="10">
        <v>0.02</v>
      </c>
      <c r="G9" s="10">
        <v>1.04</v>
      </c>
      <c r="H9" s="3">
        <f t="shared" si="0"/>
        <v>0.62176422574082701</v>
      </c>
      <c r="J9" s="10" t="s">
        <v>275</v>
      </c>
      <c r="K9" s="2">
        <v>29289</v>
      </c>
      <c r="L9" s="10">
        <f t="shared" si="3"/>
        <v>39</v>
      </c>
      <c r="M9" s="10">
        <v>1.2</v>
      </c>
      <c r="N9" s="10">
        <v>0.9</v>
      </c>
      <c r="O9" s="10">
        <v>1.06</v>
      </c>
      <c r="P9" s="3">
        <f t="shared" si="1"/>
        <v>0.48393284418152233</v>
      </c>
    </row>
    <row r="10" spans="2:16" x14ac:dyDescent="0.3">
      <c r="B10" s="10" t="s">
        <v>260</v>
      </c>
      <c r="C10" s="2">
        <v>28883</v>
      </c>
      <c r="D10" s="10">
        <f t="shared" si="2"/>
        <v>40</v>
      </c>
      <c r="E10" s="10">
        <v>1.48</v>
      </c>
      <c r="F10" s="10">
        <v>-0.01</v>
      </c>
      <c r="G10" s="10">
        <v>0.6</v>
      </c>
      <c r="H10" s="3">
        <f t="shared" si="0"/>
        <v>4.8478040490522262E-2</v>
      </c>
      <c r="J10" s="10" t="s">
        <v>276</v>
      </c>
      <c r="K10" s="2">
        <v>34721</v>
      </c>
      <c r="L10" s="10">
        <f t="shared" si="3"/>
        <v>24</v>
      </c>
      <c r="O10" s="10">
        <v>0.78</v>
      </c>
      <c r="P10" s="3">
        <f t="shared" si="1"/>
        <v>0.69306880300290574</v>
      </c>
    </row>
    <row r="11" spans="2:16" x14ac:dyDescent="0.3">
      <c r="B11" s="10" t="s">
        <v>261</v>
      </c>
      <c r="C11" s="2">
        <v>32273</v>
      </c>
      <c r="D11" s="10">
        <f t="shared" si="2"/>
        <v>31</v>
      </c>
      <c r="E11" s="10">
        <v>-0.03</v>
      </c>
      <c r="F11" s="10">
        <v>0.11</v>
      </c>
      <c r="G11" s="10">
        <v>0.33</v>
      </c>
      <c r="H11" s="3">
        <f t="shared" si="0"/>
        <v>0.22700176024185845</v>
      </c>
      <c r="J11" s="10" t="s">
        <v>277</v>
      </c>
      <c r="K11" s="2">
        <v>32498</v>
      </c>
      <c r="L11" s="10">
        <f t="shared" si="3"/>
        <v>30</v>
      </c>
      <c r="M11" s="10">
        <v>-0.13</v>
      </c>
      <c r="N11" s="10">
        <v>0.11</v>
      </c>
      <c r="O11" s="10">
        <v>0.64</v>
      </c>
      <c r="P11" s="3">
        <f t="shared" si="1"/>
        <v>0.39126485274250744</v>
      </c>
    </row>
    <row r="12" spans="2:16" x14ac:dyDescent="0.3">
      <c r="B12" s="10" t="s">
        <v>262</v>
      </c>
      <c r="C12" s="2">
        <v>34269</v>
      </c>
      <c r="D12" s="10">
        <f t="shared" si="2"/>
        <v>25</v>
      </c>
      <c r="F12" s="10">
        <v>1.04</v>
      </c>
      <c r="G12" s="10">
        <v>0.28000000000000003</v>
      </c>
      <c r="H12" s="3">
        <f t="shared" si="0"/>
        <v>0.69559316813923699</v>
      </c>
      <c r="J12" s="10" t="s">
        <v>278</v>
      </c>
      <c r="K12" s="2">
        <v>33794</v>
      </c>
      <c r="L12" s="10">
        <f t="shared" si="3"/>
        <v>26</v>
      </c>
      <c r="M12" s="10">
        <v>0.08</v>
      </c>
      <c r="N12" s="10">
        <v>0.25</v>
      </c>
      <c r="O12" s="10">
        <v>0.56000000000000005</v>
      </c>
      <c r="P12" s="3">
        <f t="shared" si="1"/>
        <v>0.57145261387392543</v>
      </c>
    </row>
    <row r="13" spans="2:16" x14ac:dyDescent="0.3">
      <c r="B13" s="10" t="s">
        <v>263</v>
      </c>
      <c r="C13" s="2">
        <v>34850</v>
      </c>
      <c r="D13" s="10">
        <f t="shared" si="2"/>
        <v>24</v>
      </c>
      <c r="G13" s="10">
        <v>-0.24</v>
      </c>
      <c r="H13" s="3">
        <f t="shared" si="0"/>
        <v>0.24052224125939858</v>
      </c>
      <c r="J13" s="10" t="s">
        <v>279</v>
      </c>
      <c r="K13" s="2">
        <v>33225</v>
      </c>
      <c r="L13" s="10">
        <f t="shared" si="3"/>
        <v>28</v>
      </c>
      <c r="M13" s="10">
        <v>-0.37</v>
      </c>
      <c r="N13" s="10">
        <v>-0.61</v>
      </c>
      <c r="O13" s="10">
        <v>0.49</v>
      </c>
      <c r="P13" s="3">
        <f t="shared" si="1"/>
        <v>0.22500260945028577</v>
      </c>
    </row>
    <row r="14" spans="2:16" x14ac:dyDescent="0.3">
      <c r="B14" s="10" t="s">
        <v>264</v>
      </c>
      <c r="C14" s="2">
        <v>32561</v>
      </c>
      <c r="D14" s="10">
        <f t="shared" si="2"/>
        <v>30</v>
      </c>
      <c r="G14" s="10">
        <v>-0.32</v>
      </c>
      <c r="H14" s="3">
        <f t="shared" si="0"/>
        <v>-6.4755988031376541E-2</v>
      </c>
      <c r="J14" s="10" t="s">
        <v>280</v>
      </c>
      <c r="K14" s="2">
        <v>35520</v>
      </c>
      <c r="L14" s="10">
        <f t="shared" si="3"/>
        <v>22</v>
      </c>
      <c r="N14" s="10">
        <v>0.11</v>
      </c>
      <c r="O14" s="10">
        <v>0.04</v>
      </c>
      <c r="P14" s="3">
        <f t="shared" si="1"/>
        <v>0.46528108998478079</v>
      </c>
    </row>
    <row r="15" spans="2:16" x14ac:dyDescent="0.3">
      <c r="B15" s="10" t="s">
        <v>265</v>
      </c>
      <c r="C15" s="2">
        <v>34458</v>
      </c>
      <c r="D15" s="10">
        <f t="shared" si="2"/>
        <v>25</v>
      </c>
      <c r="G15" s="10">
        <v>0.05</v>
      </c>
      <c r="H15" s="3">
        <f t="shared" si="0"/>
        <v>0.33534350944819996</v>
      </c>
      <c r="J15" s="10" t="s">
        <v>281</v>
      </c>
      <c r="K15" s="2">
        <v>31896</v>
      </c>
      <c r="L15" s="10">
        <f t="shared" si="3"/>
        <v>32</v>
      </c>
      <c r="M15" s="10">
        <v>0.13</v>
      </c>
      <c r="N15" s="10">
        <v>-0.24</v>
      </c>
      <c r="O15" s="10">
        <v>-0.05</v>
      </c>
      <c r="P15" s="3">
        <f t="shared" si="1"/>
        <v>-6.7602059328461708E-2</v>
      </c>
    </row>
    <row r="16" spans="2:16" x14ac:dyDescent="0.3">
      <c r="B16" s="10" t="s">
        <v>266</v>
      </c>
      <c r="C16" s="2">
        <v>33480</v>
      </c>
      <c r="D16" s="10">
        <f t="shared" si="2"/>
        <v>27</v>
      </c>
      <c r="E16" s="10">
        <v>-1.36</v>
      </c>
      <c r="G16" s="10">
        <v>0.01</v>
      </c>
      <c r="H16" s="3">
        <f t="shared" si="0"/>
        <v>0.11830420890347637</v>
      </c>
      <c r="J16" s="10" t="s">
        <v>282</v>
      </c>
      <c r="K16" s="2">
        <v>36368</v>
      </c>
      <c r="L16" s="10">
        <f t="shared" si="3"/>
        <v>19</v>
      </c>
      <c r="O16" s="10">
        <v>-0.06</v>
      </c>
      <c r="P16" s="3">
        <f t="shared" si="1"/>
        <v>0.52123635257500567</v>
      </c>
    </row>
    <row r="17" spans="2:16" x14ac:dyDescent="0.3">
      <c r="B17" s="10" t="s">
        <v>267</v>
      </c>
      <c r="C17" s="2">
        <v>33299</v>
      </c>
      <c r="D17" s="10">
        <f t="shared" si="2"/>
        <v>28</v>
      </c>
      <c r="F17" s="10">
        <v>-0.17</v>
      </c>
      <c r="G17" s="10">
        <v>-0.04</v>
      </c>
      <c r="H17" s="3">
        <f t="shared" si="0"/>
        <v>0.11785945623842571</v>
      </c>
      <c r="J17" s="10" t="s">
        <v>283</v>
      </c>
      <c r="K17" s="2">
        <v>33562</v>
      </c>
      <c r="L17" s="10">
        <f t="shared" si="3"/>
        <v>27</v>
      </c>
      <c r="M17" s="10">
        <v>0.04</v>
      </c>
      <c r="N17" s="10">
        <v>0.3</v>
      </c>
      <c r="O17" s="10">
        <v>-0.08</v>
      </c>
      <c r="P17" s="3">
        <f t="shared" si="1"/>
        <v>0.24593308474798678</v>
      </c>
    </row>
    <row r="18" spans="2:16" x14ac:dyDescent="0.3">
      <c r="B18" s="10" t="s">
        <v>268</v>
      </c>
      <c r="C18" s="2">
        <v>33533</v>
      </c>
      <c r="D18" s="10">
        <f t="shared" si="2"/>
        <v>27</v>
      </c>
      <c r="G18" s="10">
        <v>-0.02</v>
      </c>
      <c r="H18" s="3">
        <f t="shared" si="0"/>
        <v>0.21276967496023719</v>
      </c>
      <c r="J18" s="10" t="s">
        <v>284</v>
      </c>
      <c r="K18" s="2">
        <v>36064</v>
      </c>
      <c r="L18" s="10">
        <f t="shared" si="3"/>
        <v>20</v>
      </c>
      <c r="O18" s="10">
        <v>-0.13</v>
      </c>
      <c r="P18" s="3">
        <f t="shared" si="1"/>
        <v>0.44713571825491905</v>
      </c>
    </row>
    <row r="19" spans="2:16" x14ac:dyDescent="0.3">
      <c r="B19" s="10" t="s">
        <v>269</v>
      </c>
      <c r="C19" s="2">
        <v>33688</v>
      </c>
      <c r="D19" s="10">
        <f t="shared" si="2"/>
        <v>27</v>
      </c>
      <c r="F19" s="10">
        <v>-0.03</v>
      </c>
      <c r="G19" s="10">
        <v>-0.14000000000000001</v>
      </c>
      <c r="H19" s="3">
        <f t="shared" si="0"/>
        <v>0.14792473639585052</v>
      </c>
      <c r="J19" s="10" t="s">
        <v>285</v>
      </c>
      <c r="K19" s="2">
        <v>35867</v>
      </c>
      <c r="L19" s="10">
        <f t="shared" si="3"/>
        <v>21</v>
      </c>
      <c r="N19" s="10">
        <v>-0.13</v>
      </c>
      <c r="O19" s="10">
        <v>-0.18</v>
      </c>
      <c r="P19" s="3">
        <f t="shared" si="1"/>
        <v>0.35252659402619801</v>
      </c>
    </row>
    <row r="20" spans="2:16" x14ac:dyDescent="0.3">
      <c r="B20" s="10" t="s">
        <v>489</v>
      </c>
      <c r="C20" s="2">
        <v>31621</v>
      </c>
      <c r="D20" s="10">
        <f t="shared" si="2"/>
        <v>32</v>
      </c>
      <c r="E20" s="3">
        <f>ROUND(SUM('MILB &amp; MLB'!AM84:AM85),2)</f>
        <v>2.7</v>
      </c>
      <c r="F20" s="10">
        <v>4.59</v>
      </c>
      <c r="G20" s="10">
        <v>5.48</v>
      </c>
      <c r="H20" s="3">
        <f t="shared" si="0"/>
        <v>3.9507379236450402</v>
      </c>
      <c r="J20" s="10" t="s">
        <v>286</v>
      </c>
      <c r="K20" s="2">
        <v>29867</v>
      </c>
      <c r="L20" s="10">
        <f t="shared" si="3"/>
        <v>37</v>
      </c>
      <c r="M20" s="10">
        <v>4.13</v>
      </c>
      <c r="N20" s="10">
        <v>3.73</v>
      </c>
      <c r="O20" s="10">
        <v>-0.52</v>
      </c>
      <c r="P20" s="3">
        <f t="shared" si="1"/>
        <v>0.71568721985687311</v>
      </c>
    </row>
    <row r="21" spans="2:16" x14ac:dyDescent="0.3">
      <c r="B21" s="10" t="s">
        <v>619</v>
      </c>
      <c r="C21" s="2">
        <v>33078</v>
      </c>
      <c r="D21" s="10">
        <f t="shared" si="2"/>
        <v>28</v>
      </c>
      <c r="E21" s="10">
        <v>0.46</v>
      </c>
      <c r="F21" s="10">
        <v>1.53</v>
      </c>
      <c r="G21" s="10">
        <v>-0.12</v>
      </c>
      <c r="H21" s="3">
        <f t="shared" si="0"/>
        <v>0.52454129316075182</v>
      </c>
      <c r="J21" s="10" t="s">
        <v>599</v>
      </c>
      <c r="K21" s="2">
        <v>33435</v>
      </c>
      <c r="L21" s="10">
        <f t="shared" si="3"/>
        <v>27</v>
      </c>
      <c r="M21" s="3">
        <f>ROUND(SUM('MILB &amp; MLB'!W338:W339),2)</f>
        <v>7.37</v>
      </c>
      <c r="N21" s="3">
        <f>ROUND(SUM('MILB &amp; MLB'!W340:W341),2)</f>
        <v>3.08</v>
      </c>
      <c r="O21" s="3">
        <f>ROUND(SUM('MILB &amp; MLB'!W342:W343),2)</f>
        <v>5.05</v>
      </c>
      <c r="P21" s="3">
        <f t="shared" si="1"/>
        <v>3.7741529227334318</v>
      </c>
    </row>
    <row r="22" spans="2:16" x14ac:dyDescent="0.3">
      <c r="B22" s="10" t="s">
        <v>703</v>
      </c>
      <c r="C22" s="2">
        <v>30651</v>
      </c>
      <c r="D22" s="10">
        <f t="shared" si="2"/>
        <v>35</v>
      </c>
      <c r="E22" s="10">
        <v>2.17</v>
      </c>
      <c r="F22" s="10">
        <v>1.25</v>
      </c>
      <c r="G22" s="10">
        <v>-0.82</v>
      </c>
      <c r="H22" s="3">
        <f t="shared" si="0"/>
        <v>-5.3370319806079536E-2</v>
      </c>
      <c r="J22" s="10" t="s">
        <v>607</v>
      </c>
      <c r="K22" s="2">
        <v>32682</v>
      </c>
      <c r="L22" s="10">
        <f t="shared" si="3"/>
        <v>30</v>
      </c>
      <c r="M22" s="3">
        <f>ROUND(SUM('MILB &amp; MLB'!W357:W358),2)</f>
        <v>2.88</v>
      </c>
      <c r="N22" s="3">
        <f>ROUND(SUM('MILB &amp; MLB'!W359:W360),2)</f>
        <v>8.31</v>
      </c>
      <c r="O22" s="3">
        <f>ROUND(SUM('MILB &amp; MLB'!W361:W365),2)</f>
        <v>3.57</v>
      </c>
      <c r="P22" s="3">
        <f t="shared" si="1"/>
        <v>3.8237784044876584</v>
      </c>
    </row>
    <row r="23" spans="2:16" x14ac:dyDescent="0.3">
      <c r="B23" s="10" t="s">
        <v>704</v>
      </c>
      <c r="C23" s="2">
        <v>33063</v>
      </c>
      <c r="D23" s="10">
        <f t="shared" si="2"/>
        <v>28</v>
      </c>
      <c r="G23" s="10">
        <v>-0.18</v>
      </c>
      <c r="H23" s="3">
        <f t="shared" si="0"/>
        <v>9.1441147934416336E-2</v>
      </c>
      <c r="J23" s="10" t="s">
        <v>701</v>
      </c>
      <c r="K23" s="2">
        <v>34953</v>
      </c>
      <c r="L23" s="10">
        <f t="shared" si="3"/>
        <v>23</v>
      </c>
      <c r="N23" s="10">
        <v>-7.0000000000000007E-2</v>
      </c>
      <c r="P23" s="3">
        <f t="shared" si="1"/>
        <v>0.36383580245318159</v>
      </c>
    </row>
    <row r="24" spans="2:16" x14ac:dyDescent="0.3">
      <c r="B24" s="10" t="s">
        <v>705</v>
      </c>
      <c r="C24" s="2">
        <v>35075</v>
      </c>
      <c r="D24" s="10">
        <f t="shared" si="2"/>
        <v>23</v>
      </c>
      <c r="E24" s="10">
        <v>0.02</v>
      </c>
      <c r="H24" s="3">
        <f t="shared" si="0"/>
        <v>0.40187850813977916</v>
      </c>
      <c r="J24" s="10" t="s">
        <v>702</v>
      </c>
      <c r="K24" s="2">
        <v>32468</v>
      </c>
      <c r="L24" s="10">
        <f t="shared" si="3"/>
        <v>30</v>
      </c>
      <c r="M24" s="10">
        <v>0.83</v>
      </c>
      <c r="N24" s="10">
        <v>-1.32</v>
      </c>
      <c r="O24" s="10">
        <v>-0.43</v>
      </c>
      <c r="P24" s="3">
        <f t="shared" si="1"/>
        <v>-0.34931950506929216</v>
      </c>
    </row>
    <row r="25" spans="2:16" x14ac:dyDescent="0.3">
      <c r="B25" s="10" t="s">
        <v>706</v>
      </c>
      <c r="C25" s="2">
        <v>33584</v>
      </c>
      <c r="D25" s="10">
        <f t="shared" si="2"/>
        <v>27</v>
      </c>
      <c r="E25" s="10">
        <v>-0.55000000000000004</v>
      </c>
      <c r="H25" s="3">
        <f t="shared" si="0"/>
        <v>0.17834581868531585</v>
      </c>
      <c r="P25" s="3"/>
    </row>
    <row r="26" spans="2:16" x14ac:dyDescent="0.3">
      <c r="B26" s="10" t="s">
        <v>707</v>
      </c>
      <c r="C26" s="2">
        <v>34055</v>
      </c>
      <c r="D26" s="10">
        <f t="shared" si="2"/>
        <v>26</v>
      </c>
      <c r="F26" s="10">
        <v>-0.03</v>
      </c>
      <c r="H26" s="3">
        <f t="shared" si="0"/>
        <v>0.25964660585657712</v>
      </c>
      <c r="P26" s="3"/>
    </row>
    <row r="27" spans="2:16" x14ac:dyDescent="0.3">
      <c r="B27" s="10" t="s">
        <v>708</v>
      </c>
      <c r="C27" s="2">
        <v>35670</v>
      </c>
      <c r="D27" s="10">
        <f t="shared" si="2"/>
        <v>21</v>
      </c>
      <c r="E27" s="10">
        <v>0.03</v>
      </c>
      <c r="H27" s="3">
        <f t="shared" si="0"/>
        <v>0.49162959594700295</v>
      </c>
      <c r="P27" s="3"/>
    </row>
    <row r="28" spans="2:16" x14ac:dyDescent="0.3">
      <c r="H28" s="3"/>
      <c r="P28" s="3"/>
    </row>
    <row r="29" spans="2:16" x14ac:dyDescent="0.3">
      <c r="H29" s="3"/>
      <c r="P29" s="3"/>
    </row>
    <row r="30" spans="2:16" x14ac:dyDescent="0.3">
      <c r="H30" s="3"/>
      <c r="P30" s="3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P30"/>
  <sheetViews>
    <sheetView workbookViewId="0">
      <selection activeCell="P27" sqref="P27"/>
    </sheetView>
  </sheetViews>
  <sheetFormatPr defaultColWidth="9" defaultRowHeight="16.5" x14ac:dyDescent="0.3"/>
  <cols>
    <col min="1" max="2" width="9" style="10"/>
    <col min="3" max="3" width="11.125" style="10" bestFit="1" customWidth="1"/>
    <col min="4" max="10" width="9" style="10"/>
    <col min="11" max="11" width="11.125" style="10" bestFit="1" customWidth="1"/>
    <col min="12" max="16384" width="9" style="10"/>
  </cols>
  <sheetData>
    <row r="1" spans="2:16" x14ac:dyDescent="0.3">
      <c r="B1" s="10" t="s">
        <v>35</v>
      </c>
      <c r="C1" s="2">
        <v>43647</v>
      </c>
    </row>
    <row r="2" spans="2:16" x14ac:dyDescent="0.3">
      <c r="C2" s="2"/>
    </row>
    <row r="3" spans="2:16" x14ac:dyDescent="0.3">
      <c r="B3" s="10" t="s">
        <v>26</v>
      </c>
      <c r="C3" s="10" t="s">
        <v>25</v>
      </c>
      <c r="D3" s="10" t="s">
        <v>27</v>
      </c>
      <c r="E3" s="10">
        <v>2016</v>
      </c>
      <c r="F3" s="10">
        <v>2017</v>
      </c>
      <c r="G3" s="10">
        <v>2018</v>
      </c>
      <c r="H3" s="10">
        <v>2019</v>
      </c>
      <c r="J3" s="10" t="s">
        <v>26</v>
      </c>
      <c r="K3" s="10" t="s">
        <v>25</v>
      </c>
      <c r="L3" s="10" t="s">
        <v>27</v>
      </c>
      <c r="M3" s="10">
        <v>2016</v>
      </c>
      <c r="N3" s="10">
        <v>2017</v>
      </c>
      <c r="O3" s="10">
        <v>2018</v>
      </c>
      <c r="P3" s="10">
        <v>2019</v>
      </c>
    </row>
    <row r="4" spans="2:16" x14ac:dyDescent="0.3">
      <c r="B4" s="10" t="s">
        <v>287</v>
      </c>
      <c r="C4" s="2">
        <v>32220</v>
      </c>
      <c r="D4" s="10">
        <f>DATEDIF(C4,$C$1,"y")</f>
        <v>31</v>
      </c>
      <c r="E4" s="3">
        <v>5.15</v>
      </c>
      <c r="F4" s="3">
        <v>5.95</v>
      </c>
      <c r="G4" s="3">
        <v>5.12</v>
      </c>
      <c r="H4" s="3">
        <f t="shared" ref="H4:H26" si="0">(((G4*0.6)+(F4*0.3)+(E4*0.1))*0.9+0.05*(32-D4))*0.889505330101326</f>
        <v>4.3450556364789579</v>
      </c>
      <c r="J4" s="10" t="s">
        <v>308</v>
      </c>
      <c r="K4" s="2">
        <v>30014</v>
      </c>
      <c r="L4" s="10">
        <f>DATEDIF(K4,$C$1,"y")</f>
        <v>37</v>
      </c>
      <c r="M4" s="10">
        <v>1.42</v>
      </c>
      <c r="N4" s="10">
        <v>4.12</v>
      </c>
      <c r="O4" s="10">
        <v>2.2400000000000002</v>
      </c>
      <c r="P4" s="3">
        <f t="shared" ref="P4:P27" si="1">(((O4*0.6)+(N4*0.3)+(M4*0.1))*0.9+0.05*(32-L4))*0.843970778133105</f>
        <v>1.8565669177372044</v>
      </c>
    </row>
    <row r="5" spans="2:16" x14ac:dyDescent="0.3">
      <c r="B5" s="10" t="s">
        <v>288</v>
      </c>
      <c r="C5" s="2">
        <v>31468</v>
      </c>
      <c r="D5" s="10">
        <f t="shared" ref="D5:D26" si="2">DATEDIF(C5,$C$1,"y")</f>
        <v>33</v>
      </c>
      <c r="E5" s="10">
        <v>-0.16</v>
      </c>
      <c r="F5" s="10">
        <v>3.36</v>
      </c>
      <c r="G5" s="10">
        <v>4.8</v>
      </c>
      <c r="H5" s="3">
        <f t="shared" si="0"/>
        <v>3.0552729078320349</v>
      </c>
      <c r="J5" s="10" t="s">
        <v>309</v>
      </c>
      <c r="K5" s="2">
        <v>33036</v>
      </c>
      <c r="L5" s="10">
        <f t="shared" ref="L5:L27" si="3">DATEDIF(K5,$C$1,"y")</f>
        <v>29</v>
      </c>
      <c r="O5" s="10">
        <v>2.2000000000000002</v>
      </c>
      <c r="P5" s="3">
        <f t="shared" si="1"/>
        <v>1.1292329011420945</v>
      </c>
    </row>
    <row r="6" spans="2:16" x14ac:dyDescent="0.3">
      <c r="B6" s="10" t="s">
        <v>289</v>
      </c>
      <c r="C6" s="2">
        <v>30123</v>
      </c>
      <c r="D6" s="10">
        <f t="shared" si="2"/>
        <v>37</v>
      </c>
      <c r="E6" s="3">
        <f>ROUND(SUM('MILB &amp; MLB'!AM166:AM167),2)</f>
        <v>4.71</v>
      </c>
      <c r="F6" s="10">
        <v>3.74</v>
      </c>
      <c r="G6" s="10">
        <v>3.84</v>
      </c>
      <c r="H6" s="3">
        <f t="shared" si="0"/>
        <v>2.8973857117390498</v>
      </c>
      <c r="J6" s="10" t="s">
        <v>310</v>
      </c>
      <c r="K6" s="2">
        <v>31245</v>
      </c>
      <c r="L6" s="10">
        <f t="shared" si="3"/>
        <v>33</v>
      </c>
      <c r="M6" s="10">
        <v>0.04</v>
      </c>
      <c r="O6" s="10">
        <v>1.64</v>
      </c>
      <c r="P6" s="3">
        <f t="shared" si="1"/>
        <v>0.7082602770093015</v>
      </c>
    </row>
    <row r="7" spans="2:16" x14ac:dyDescent="0.3">
      <c r="B7" s="10" t="s">
        <v>290</v>
      </c>
      <c r="C7" s="2">
        <v>31846</v>
      </c>
      <c r="D7" s="10">
        <f t="shared" si="2"/>
        <v>32</v>
      </c>
      <c r="E7" s="10">
        <v>4.04</v>
      </c>
      <c r="F7" s="10">
        <v>2.95</v>
      </c>
      <c r="G7" s="10">
        <v>2.81</v>
      </c>
      <c r="H7" s="3">
        <f t="shared" si="0"/>
        <v>2.3816505213463004</v>
      </c>
      <c r="J7" s="10" t="s">
        <v>311</v>
      </c>
      <c r="K7" s="2">
        <v>32587</v>
      </c>
      <c r="L7" s="10">
        <f t="shared" si="3"/>
        <v>30</v>
      </c>
      <c r="N7" s="10">
        <v>0.22</v>
      </c>
      <c r="O7" s="10">
        <v>1.19</v>
      </c>
      <c r="P7" s="3">
        <f t="shared" si="1"/>
        <v>0.6768645640627502</v>
      </c>
    </row>
    <row r="8" spans="2:16" x14ac:dyDescent="0.3">
      <c r="B8" s="10" t="s">
        <v>291</v>
      </c>
      <c r="C8" s="2">
        <v>30598</v>
      </c>
      <c r="D8" s="10">
        <f t="shared" si="2"/>
        <v>35</v>
      </c>
      <c r="E8" s="10">
        <v>1.48</v>
      </c>
      <c r="F8" s="10">
        <v>-0.14000000000000001</v>
      </c>
      <c r="G8" s="10">
        <v>1.72</v>
      </c>
      <c r="H8" s="3">
        <f t="shared" si="0"/>
        <v>0.77760555957457922</v>
      </c>
      <c r="J8" s="10" t="s">
        <v>312</v>
      </c>
      <c r="K8" s="2">
        <v>30582</v>
      </c>
      <c r="L8" s="10">
        <f t="shared" si="3"/>
        <v>35</v>
      </c>
      <c r="M8" s="10">
        <v>0.1</v>
      </c>
      <c r="N8" s="10">
        <v>0</v>
      </c>
      <c r="O8" s="10">
        <v>0.62</v>
      </c>
      <c r="P8" s="3">
        <f t="shared" si="1"/>
        <v>0.16356153680219571</v>
      </c>
    </row>
    <row r="9" spans="2:16" x14ac:dyDescent="0.3">
      <c r="B9" s="10" t="s">
        <v>292</v>
      </c>
      <c r="C9" s="2">
        <v>32588</v>
      </c>
      <c r="D9" s="10">
        <f t="shared" si="2"/>
        <v>30</v>
      </c>
      <c r="E9" s="10">
        <v>1.07</v>
      </c>
      <c r="F9" s="10">
        <v>-0.23</v>
      </c>
      <c r="G9" s="10">
        <v>1.35</v>
      </c>
      <c r="H9" s="3">
        <f t="shared" si="0"/>
        <v>0.76782100094346473</v>
      </c>
      <c r="J9" s="10" t="s">
        <v>313</v>
      </c>
      <c r="K9" s="2">
        <v>32082</v>
      </c>
      <c r="L9" s="10">
        <f t="shared" si="3"/>
        <v>31</v>
      </c>
      <c r="M9" s="10">
        <v>-0.3</v>
      </c>
      <c r="N9" s="10">
        <f>0.64+0.43</f>
        <v>1.07</v>
      </c>
      <c r="O9" s="10">
        <v>0.48</v>
      </c>
      <c r="P9" s="3">
        <f t="shared" si="1"/>
        <v>0.48199171139181629</v>
      </c>
    </row>
    <row r="10" spans="2:16" x14ac:dyDescent="0.3">
      <c r="B10" s="10" t="s">
        <v>293</v>
      </c>
      <c r="C10" s="2">
        <v>33901</v>
      </c>
      <c r="D10" s="10">
        <f t="shared" si="2"/>
        <v>26</v>
      </c>
      <c r="G10" s="10">
        <v>1.1200000000000001</v>
      </c>
      <c r="H10" s="3">
        <f t="shared" si="0"/>
        <v>0.80482442267567988</v>
      </c>
      <c r="J10" s="10" t="s">
        <v>314</v>
      </c>
      <c r="K10" s="2">
        <v>32175</v>
      </c>
      <c r="L10" s="10">
        <f t="shared" si="3"/>
        <v>31</v>
      </c>
      <c r="O10" s="10">
        <v>0.47</v>
      </c>
      <c r="P10" s="3">
        <f t="shared" si="1"/>
        <v>0.25639832239683724</v>
      </c>
    </row>
    <row r="11" spans="2:16" x14ac:dyDescent="0.3">
      <c r="B11" s="10" t="s">
        <v>294</v>
      </c>
      <c r="C11" s="2">
        <v>31976</v>
      </c>
      <c r="D11" s="10">
        <f t="shared" si="2"/>
        <v>31</v>
      </c>
      <c r="E11" s="10">
        <v>0.54</v>
      </c>
      <c r="F11" s="10">
        <v>0.53</v>
      </c>
      <c r="G11" s="10">
        <v>0.77</v>
      </c>
      <c r="H11" s="3">
        <f t="shared" si="0"/>
        <v>0.58484975454162191</v>
      </c>
      <c r="J11" s="10" t="s">
        <v>315</v>
      </c>
      <c r="K11" s="2">
        <v>36217</v>
      </c>
      <c r="L11" s="10">
        <f t="shared" si="3"/>
        <v>20</v>
      </c>
      <c r="O11" s="10">
        <v>0.39</v>
      </c>
      <c r="P11" s="3">
        <f t="shared" si="1"/>
        <v>0.68412271275469494</v>
      </c>
    </row>
    <row r="12" spans="2:16" x14ac:dyDescent="0.3">
      <c r="B12" s="10" t="s">
        <v>295</v>
      </c>
      <c r="C12" s="2">
        <v>34943</v>
      </c>
      <c r="D12" s="10">
        <f t="shared" si="2"/>
        <v>23</v>
      </c>
      <c r="E12" s="10">
        <v>-0.18</v>
      </c>
      <c r="G12" s="10">
        <v>0.44</v>
      </c>
      <c r="H12" s="3">
        <f t="shared" si="0"/>
        <v>0.59721387863003028</v>
      </c>
      <c r="J12" s="10" t="s">
        <v>316</v>
      </c>
      <c r="K12" s="2">
        <v>29401</v>
      </c>
      <c r="L12" s="10">
        <f t="shared" si="3"/>
        <v>39</v>
      </c>
      <c r="M12" s="10">
        <v>-0.77</v>
      </c>
      <c r="N12" s="10">
        <v>2.77</v>
      </c>
      <c r="O12" s="10">
        <v>0.35</v>
      </c>
      <c r="P12" s="3">
        <f t="shared" si="1"/>
        <v>0.43683927476169515</v>
      </c>
    </row>
    <row r="13" spans="2:16" x14ac:dyDescent="0.3">
      <c r="B13" s="10" t="s">
        <v>296</v>
      </c>
      <c r="C13" s="2">
        <v>30235</v>
      </c>
      <c r="D13" s="10">
        <f t="shared" si="2"/>
        <v>36</v>
      </c>
      <c r="E13" s="10">
        <v>-0.1</v>
      </c>
      <c r="F13" s="10">
        <v>1.68</v>
      </c>
      <c r="G13" s="10">
        <v>0.44</v>
      </c>
      <c r="H13" s="3">
        <f t="shared" si="0"/>
        <v>0.42891947017485943</v>
      </c>
      <c r="J13" s="10" t="s">
        <v>317</v>
      </c>
      <c r="K13" s="2">
        <v>35019</v>
      </c>
      <c r="L13" s="10">
        <f t="shared" si="3"/>
        <v>23</v>
      </c>
      <c r="O13" s="10">
        <v>0.16</v>
      </c>
      <c r="P13" s="3">
        <f t="shared" si="1"/>
        <v>0.45270592539059751</v>
      </c>
    </row>
    <row r="14" spans="2:16" x14ac:dyDescent="0.3">
      <c r="B14" s="10" t="s">
        <v>297</v>
      </c>
      <c r="C14" s="2">
        <v>30502</v>
      </c>
      <c r="D14" s="10">
        <f t="shared" si="2"/>
        <v>35</v>
      </c>
      <c r="E14" s="10">
        <v>1.07</v>
      </c>
      <c r="F14" s="10">
        <v>-0.4</v>
      </c>
      <c r="G14" s="10">
        <v>0.36</v>
      </c>
      <c r="H14" s="3">
        <f t="shared" si="0"/>
        <v>2.9086824294313366E-2</v>
      </c>
      <c r="J14" s="10" t="s">
        <v>318</v>
      </c>
      <c r="K14" s="2">
        <v>31953</v>
      </c>
      <c r="L14" s="10">
        <f t="shared" si="3"/>
        <v>32</v>
      </c>
      <c r="M14" s="10">
        <v>0.63</v>
      </c>
      <c r="N14" s="10">
        <v>1.1200000000000001</v>
      </c>
      <c r="O14" s="10">
        <v>0.14000000000000001</v>
      </c>
      <c r="P14" s="3">
        <f t="shared" si="1"/>
        <v>0.36687409725446074</v>
      </c>
    </row>
    <row r="15" spans="2:16" x14ac:dyDescent="0.3">
      <c r="B15" s="10" t="s">
        <v>298</v>
      </c>
      <c r="C15" s="2">
        <v>33584</v>
      </c>
      <c r="D15" s="10">
        <f t="shared" si="2"/>
        <v>27</v>
      </c>
      <c r="E15" s="10">
        <v>-0.24</v>
      </c>
      <c r="F15" s="10">
        <v>-0.03</v>
      </c>
      <c r="G15" s="10">
        <v>0.35</v>
      </c>
      <c r="H15" s="3">
        <f t="shared" si="0"/>
        <v>0.36407453161047276</v>
      </c>
      <c r="J15" s="10" t="s">
        <v>319</v>
      </c>
      <c r="K15" s="2">
        <v>34134</v>
      </c>
      <c r="L15" s="10">
        <f t="shared" si="3"/>
        <v>26</v>
      </c>
      <c r="M15" s="10">
        <v>-0.13</v>
      </c>
      <c r="N15" s="10">
        <v>0.85</v>
      </c>
      <c r="O15" s="10">
        <v>0.02</v>
      </c>
      <c r="P15" s="3">
        <f t="shared" si="1"/>
        <v>0.44612295332115931</v>
      </c>
    </row>
    <row r="16" spans="2:16" x14ac:dyDescent="0.3">
      <c r="B16" s="10" t="s">
        <v>299</v>
      </c>
      <c r="C16" s="2">
        <v>32927</v>
      </c>
      <c r="D16" s="10">
        <f t="shared" si="2"/>
        <v>29</v>
      </c>
      <c r="G16" s="10">
        <v>0.06</v>
      </c>
      <c r="H16" s="3">
        <f t="shared" si="0"/>
        <v>0.16224577221048186</v>
      </c>
      <c r="J16" s="10" t="s">
        <v>320</v>
      </c>
      <c r="K16" s="2">
        <v>33507</v>
      </c>
      <c r="L16" s="10">
        <f t="shared" si="3"/>
        <v>27</v>
      </c>
      <c r="M16" s="10">
        <v>-0.53</v>
      </c>
      <c r="N16" s="10">
        <v>0</v>
      </c>
      <c r="O16" s="10">
        <v>-0.04</v>
      </c>
      <c r="P16" s="3">
        <f t="shared" si="1"/>
        <v>0.15250551960865205</v>
      </c>
    </row>
    <row r="17" spans="2:16" x14ac:dyDescent="0.3">
      <c r="B17" s="10" t="s">
        <v>300</v>
      </c>
      <c r="C17" s="2">
        <v>33928</v>
      </c>
      <c r="D17" s="10">
        <f t="shared" si="2"/>
        <v>26</v>
      </c>
      <c r="G17" s="10">
        <v>-0.02</v>
      </c>
      <c r="H17" s="3">
        <f t="shared" si="0"/>
        <v>0.25724494146530358</v>
      </c>
      <c r="J17" s="10" t="s">
        <v>321</v>
      </c>
      <c r="K17" s="2">
        <v>32219</v>
      </c>
      <c r="L17" s="10">
        <f t="shared" si="3"/>
        <v>31</v>
      </c>
      <c r="O17" s="10">
        <v>-7.0000000000000007E-2</v>
      </c>
      <c r="P17" s="3">
        <f t="shared" si="1"/>
        <v>1.0296443493223882E-2</v>
      </c>
    </row>
    <row r="18" spans="2:16" x14ac:dyDescent="0.3">
      <c r="B18" s="10" t="s">
        <v>301</v>
      </c>
      <c r="C18" s="2">
        <v>33658</v>
      </c>
      <c r="D18" s="10">
        <f t="shared" si="2"/>
        <v>27</v>
      </c>
      <c r="G18" s="10">
        <v>-0.14000000000000001</v>
      </c>
      <c r="H18" s="3">
        <f t="shared" si="0"/>
        <v>0.15512972956967125</v>
      </c>
      <c r="J18" s="10" t="s">
        <v>322</v>
      </c>
      <c r="K18" s="2">
        <v>32704</v>
      </c>
      <c r="L18" s="10">
        <f t="shared" si="3"/>
        <v>29</v>
      </c>
      <c r="M18" s="10">
        <v>0.56000000000000005</v>
      </c>
      <c r="O18" s="10">
        <v>-0.09</v>
      </c>
      <c r="P18" s="3">
        <f t="shared" si="1"/>
        <v>0.12811476412060535</v>
      </c>
    </row>
    <row r="19" spans="2:16" x14ac:dyDescent="0.3">
      <c r="B19" s="10" t="s">
        <v>302</v>
      </c>
      <c r="C19" s="2">
        <v>32554</v>
      </c>
      <c r="D19" s="10">
        <f t="shared" si="2"/>
        <v>30</v>
      </c>
      <c r="E19" s="10">
        <v>-0.28999999999999998</v>
      </c>
      <c r="F19" s="10">
        <v>0.86</v>
      </c>
      <c r="G19" s="10">
        <v>-0.18</v>
      </c>
      <c r="H19" s="3">
        <f t="shared" si="0"/>
        <v>0.18581766345816703</v>
      </c>
      <c r="J19" s="10" t="s">
        <v>323</v>
      </c>
      <c r="K19" s="2">
        <v>30889</v>
      </c>
      <c r="L19" s="10">
        <f t="shared" si="3"/>
        <v>34</v>
      </c>
      <c r="O19" s="10">
        <v>-0.1</v>
      </c>
      <c r="P19" s="3">
        <f t="shared" si="1"/>
        <v>-0.12997149983249817</v>
      </c>
    </row>
    <row r="20" spans="2:16" x14ac:dyDescent="0.3">
      <c r="B20" s="10" t="s">
        <v>303</v>
      </c>
      <c r="C20" s="2">
        <v>31950</v>
      </c>
      <c r="D20" s="10">
        <f t="shared" si="2"/>
        <v>32</v>
      </c>
      <c r="E20" s="10">
        <v>2.34</v>
      </c>
      <c r="F20" s="10">
        <v>0.31</v>
      </c>
      <c r="G20" s="10">
        <v>-0.31</v>
      </c>
      <c r="H20" s="3">
        <f t="shared" si="0"/>
        <v>0.11287822638985825</v>
      </c>
      <c r="J20" s="10" t="s">
        <v>324</v>
      </c>
      <c r="K20" s="2">
        <v>30355</v>
      </c>
      <c r="L20" s="10">
        <f t="shared" si="3"/>
        <v>36</v>
      </c>
      <c r="M20" s="10">
        <v>0.01</v>
      </c>
      <c r="N20" s="10">
        <v>0.82</v>
      </c>
      <c r="O20" s="10">
        <v>-0.14000000000000001</v>
      </c>
      <c r="P20" s="3">
        <f t="shared" si="1"/>
        <v>-4.4983642474494503E-2</v>
      </c>
    </row>
    <row r="21" spans="2:16" x14ac:dyDescent="0.3">
      <c r="B21" s="10" t="s">
        <v>304</v>
      </c>
      <c r="C21" s="2">
        <v>32318</v>
      </c>
      <c r="D21" s="10">
        <f t="shared" si="2"/>
        <v>31</v>
      </c>
      <c r="E21" s="10">
        <f>-0.06-0.11</f>
        <v>-0.16999999999999998</v>
      </c>
      <c r="F21" s="10">
        <v>-0.12</v>
      </c>
      <c r="G21" s="10">
        <v>-0.45</v>
      </c>
      <c r="H21" s="3">
        <f t="shared" si="0"/>
        <v>-0.21410393295538921</v>
      </c>
      <c r="J21" s="10" t="s">
        <v>325</v>
      </c>
      <c r="K21" s="2">
        <v>34495</v>
      </c>
      <c r="L21" s="10">
        <f t="shared" si="3"/>
        <v>25</v>
      </c>
      <c r="M21" s="10">
        <v>0.74</v>
      </c>
      <c r="N21" s="10">
        <v>1.39</v>
      </c>
      <c r="O21" s="10">
        <v>-0.33</v>
      </c>
      <c r="P21" s="3">
        <f t="shared" si="1"/>
        <v>0.51794486654028649</v>
      </c>
    </row>
    <row r="22" spans="2:16" x14ac:dyDescent="0.3">
      <c r="B22" s="10" t="s">
        <v>305</v>
      </c>
      <c r="C22" s="2">
        <v>31946</v>
      </c>
      <c r="D22" s="10">
        <f t="shared" si="2"/>
        <v>32</v>
      </c>
      <c r="E22" s="10">
        <v>-0.05</v>
      </c>
      <c r="F22" s="10">
        <v>-0.53</v>
      </c>
      <c r="G22" s="10">
        <v>-0.56999999999999995</v>
      </c>
      <c r="H22" s="3">
        <f t="shared" si="0"/>
        <v>-0.40508072732814393</v>
      </c>
      <c r="J22" s="10" t="s">
        <v>326</v>
      </c>
      <c r="K22" s="2">
        <v>32577</v>
      </c>
      <c r="L22" s="10">
        <f t="shared" si="3"/>
        <v>30</v>
      </c>
      <c r="M22" s="10">
        <v>0.76</v>
      </c>
      <c r="N22" s="10">
        <v>-0.13</v>
      </c>
      <c r="O22" s="10">
        <v>-0.36</v>
      </c>
      <c r="P22" s="3">
        <f t="shared" si="1"/>
        <v>-5.1566614543932701E-2</v>
      </c>
    </row>
    <row r="23" spans="2:16" x14ac:dyDescent="0.3">
      <c r="B23" s="10" t="s">
        <v>306</v>
      </c>
      <c r="C23" s="2">
        <v>35870</v>
      </c>
      <c r="D23" s="10">
        <f t="shared" si="2"/>
        <v>21</v>
      </c>
      <c r="F23" s="10">
        <v>-0.16</v>
      </c>
      <c r="G23" s="10">
        <v>-1.62</v>
      </c>
      <c r="H23" s="3">
        <f t="shared" si="0"/>
        <v>-0.327337961477288</v>
      </c>
      <c r="J23" s="10" t="s">
        <v>327</v>
      </c>
      <c r="K23" s="2">
        <v>35033</v>
      </c>
      <c r="L23" s="10">
        <f t="shared" si="3"/>
        <v>23</v>
      </c>
      <c r="M23" s="10">
        <v>0.95</v>
      </c>
      <c r="N23" s="10">
        <v>4.63</v>
      </c>
      <c r="O23" s="10">
        <v>-1.2</v>
      </c>
      <c r="P23" s="3">
        <f t="shared" si="1"/>
        <v>0.96010115720422018</v>
      </c>
    </row>
    <row r="24" spans="2:16" x14ac:dyDescent="0.3">
      <c r="B24" s="10" t="s">
        <v>307</v>
      </c>
      <c r="C24" s="2">
        <v>34546</v>
      </c>
      <c r="D24" s="10">
        <f t="shared" si="2"/>
        <v>24</v>
      </c>
      <c r="E24" s="10">
        <v>0.45</v>
      </c>
      <c r="H24" s="3">
        <f t="shared" si="0"/>
        <v>0.3918270979096341</v>
      </c>
      <c r="J24" s="10" t="s">
        <v>608</v>
      </c>
      <c r="K24" s="2">
        <v>32323</v>
      </c>
      <c r="L24" s="10">
        <f t="shared" si="3"/>
        <v>31</v>
      </c>
      <c r="M24" s="10">
        <v>3.52</v>
      </c>
      <c r="N24" s="10">
        <v>5.03</v>
      </c>
      <c r="O24" s="10">
        <v>2.95</v>
      </c>
      <c r="P24" s="3">
        <f t="shared" si="1"/>
        <v>2.8002106447678288</v>
      </c>
    </row>
    <row r="25" spans="2:16" x14ac:dyDescent="0.3">
      <c r="B25" s="10" t="s">
        <v>493</v>
      </c>
      <c r="C25" s="2">
        <v>33544</v>
      </c>
      <c r="D25" s="10">
        <f t="shared" si="2"/>
        <v>27</v>
      </c>
      <c r="E25" s="3">
        <f>ROUND(SUM('MILB &amp; MLB'!AM96:AM97),2)</f>
        <v>3.56</v>
      </c>
      <c r="F25" s="3">
        <f>ROUND(SUM('MILB &amp; MLB'!AM98:AM99),2)</f>
        <v>4.42</v>
      </c>
      <c r="G25" s="3">
        <f>ROUND(SUM('MILB &amp; MLB'!AM100:AM101),2)</f>
        <v>1.46</v>
      </c>
      <c r="H25" s="3">
        <f t="shared" si="0"/>
        <v>2.2701955034846044</v>
      </c>
      <c r="J25" s="10" t="s">
        <v>633</v>
      </c>
      <c r="K25" s="2">
        <v>34365</v>
      </c>
      <c r="L25" s="10">
        <f t="shared" si="3"/>
        <v>25</v>
      </c>
      <c r="M25" s="3">
        <f>ROUND(SUM('MILB &amp; MLB'!W405:W406),2)</f>
        <v>8.8800000000000008</v>
      </c>
      <c r="N25" s="3">
        <f>ROUND(SUM('MILB &amp; MLB'!W407:W408),2)</f>
        <v>4.29</v>
      </c>
      <c r="O25" s="3">
        <f>ROUND(SUM('MILB &amp; MLB'!W409:W411),2)</f>
        <v>2.86</v>
      </c>
      <c r="P25" s="3">
        <f t="shared" si="1"/>
        <v>3.2508910402909073</v>
      </c>
    </row>
    <row r="26" spans="2:16" x14ac:dyDescent="0.3">
      <c r="B26" s="10" t="s">
        <v>736</v>
      </c>
      <c r="C26" s="2">
        <v>36312</v>
      </c>
      <c r="D26" s="10">
        <f t="shared" si="2"/>
        <v>20</v>
      </c>
      <c r="G26" s="10">
        <v>-0.31</v>
      </c>
      <c r="H26" s="3">
        <f t="shared" si="0"/>
        <v>0.38480000580183371</v>
      </c>
      <c r="J26" s="10" t="s">
        <v>734</v>
      </c>
      <c r="K26" s="2">
        <v>31281</v>
      </c>
      <c r="L26" s="10">
        <f t="shared" si="3"/>
        <v>33</v>
      </c>
      <c r="M26" s="10">
        <v>-0.27</v>
      </c>
      <c r="N26" s="10">
        <v>-0.28000000000000003</v>
      </c>
      <c r="O26" s="10">
        <v>-0.1</v>
      </c>
      <c r="P26" s="3">
        <f t="shared" si="1"/>
        <v>-0.17208564166134013</v>
      </c>
    </row>
    <row r="27" spans="2:16" x14ac:dyDescent="0.3">
      <c r="H27" s="3"/>
      <c r="J27" s="10" t="s">
        <v>735</v>
      </c>
      <c r="K27" s="2">
        <v>35297</v>
      </c>
      <c r="L27" s="10">
        <f t="shared" si="3"/>
        <v>22</v>
      </c>
      <c r="M27" s="10">
        <v>-0.14000000000000001</v>
      </c>
      <c r="N27" s="10">
        <v>0.1</v>
      </c>
      <c r="P27" s="3">
        <f t="shared" si="1"/>
        <v>0.43413856827166913</v>
      </c>
    </row>
    <row r="28" spans="2:16" x14ac:dyDescent="0.3">
      <c r="H28" s="3"/>
      <c r="P28" s="3"/>
    </row>
    <row r="29" spans="2:16" x14ac:dyDescent="0.3">
      <c r="H29" s="3"/>
      <c r="P29" s="3"/>
    </row>
    <row r="30" spans="2:16" x14ac:dyDescent="0.3">
      <c r="H30" s="3"/>
      <c r="P30" s="3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P29"/>
  <sheetViews>
    <sheetView workbookViewId="0">
      <selection activeCell="P29" sqref="P29"/>
    </sheetView>
  </sheetViews>
  <sheetFormatPr defaultColWidth="9" defaultRowHeight="16.5" x14ac:dyDescent="0.3"/>
  <cols>
    <col min="1" max="2" width="9" style="10"/>
    <col min="3" max="3" width="11.125" style="10" bestFit="1" customWidth="1"/>
    <col min="4" max="10" width="9" style="10"/>
    <col min="11" max="11" width="11.125" style="10" bestFit="1" customWidth="1"/>
    <col min="12" max="16384" width="9" style="10"/>
  </cols>
  <sheetData>
    <row r="1" spans="2:16" x14ac:dyDescent="0.3">
      <c r="B1" s="10" t="s">
        <v>35</v>
      </c>
      <c r="C1" s="2">
        <v>43647</v>
      </c>
    </row>
    <row r="2" spans="2:16" x14ac:dyDescent="0.3">
      <c r="C2" s="2"/>
    </row>
    <row r="3" spans="2:16" x14ac:dyDescent="0.3">
      <c r="B3" s="10" t="s">
        <v>26</v>
      </c>
      <c r="C3" s="10" t="s">
        <v>25</v>
      </c>
      <c r="D3" s="10" t="s">
        <v>27</v>
      </c>
      <c r="E3" s="10">
        <v>2016</v>
      </c>
      <c r="F3" s="10">
        <v>2017</v>
      </c>
      <c r="G3" s="10">
        <v>2018</v>
      </c>
      <c r="H3" s="10">
        <v>2019</v>
      </c>
      <c r="J3" s="10" t="s">
        <v>26</v>
      </c>
      <c r="K3" s="10" t="s">
        <v>25</v>
      </c>
      <c r="L3" s="10" t="s">
        <v>27</v>
      </c>
      <c r="M3" s="10">
        <v>2016</v>
      </c>
      <c r="N3" s="10">
        <v>2017</v>
      </c>
      <c r="O3" s="10">
        <v>2018</v>
      </c>
      <c r="P3" s="10">
        <v>2019</v>
      </c>
    </row>
    <row r="4" spans="2:16" x14ac:dyDescent="0.3">
      <c r="B4" s="10" t="s">
        <v>365</v>
      </c>
      <c r="C4" s="2">
        <v>32154</v>
      </c>
      <c r="D4" s="10">
        <f>DATEDIF(C4,$C$1,"y")</f>
        <v>31</v>
      </c>
      <c r="E4" s="3">
        <f>ROUND('MILB &amp; MLB'!AM157,2)</f>
        <v>6.58</v>
      </c>
      <c r="F4" s="3">
        <f>ROUND(SUM('MILB &amp; MLB'!AM158:AM159),2)</f>
        <v>1.66</v>
      </c>
      <c r="G4" s="3">
        <v>5.56</v>
      </c>
      <c r="H4" s="3">
        <f t="shared" ref="H4:H27" si="0">(((G4*0.6)+(F4*0.3)+(E4*0.1))*0.9+0.05*(32-D4))*0.889505330101326</f>
        <v>3.6405674150387068</v>
      </c>
      <c r="J4" s="10" t="s">
        <v>383</v>
      </c>
      <c r="K4" s="2">
        <v>32899</v>
      </c>
      <c r="L4" s="10">
        <f>DATEDIF(K4,$C$1,"y")</f>
        <v>29</v>
      </c>
      <c r="M4" s="10">
        <v>0.28000000000000003</v>
      </c>
      <c r="N4" s="10">
        <v>-0.21</v>
      </c>
      <c r="O4" s="10">
        <v>1.1599999999999999</v>
      </c>
      <c r="P4" s="3">
        <f t="shared" ref="P4:P29" si="1">(((O4*0.6)+(N4*0.3)+(M4*0.1))*0.9+0.05*(32-L4))*0.843970778133105</f>
        <v>0.62867383263135002</v>
      </c>
    </row>
    <row r="5" spans="2:16" x14ac:dyDescent="0.3">
      <c r="B5" s="10" t="s">
        <v>366</v>
      </c>
      <c r="C5" s="2">
        <v>32910</v>
      </c>
      <c r="D5" s="10">
        <f t="shared" ref="D5:D27" si="2">DATEDIF(C5,$C$1,"y")</f>
        <v>29</v>
      </c>
      <c r="E5" s="10">
        <v>1.8</v>
      </c>
      <c r="F5" s="10">
        <v>-0.5</v>
      </c>
      <c r="G5" s="10">
        <v>3.9</v>
      </c>
      <c r="H5" s="3">
        <f t="shared" si="0"/>
        <v>2.0307406686213274</v>
      </c>
      <c r="J5" s="10" t="s">
        <v>384</v>
      </c>
      <c r="K5" s="2">
        <v>31928</v>
      </c>
      <c r="L5" s="10">
        <f t="shared" ref="L5:L29" si="3">DATEDIF(K5,$C$1,"y")</f>
        <v>32</v>
      </c>
      <c r="M5" s="10">
        <v>3.18</v>
      </c>
      <c r="N5" s="10">
        <v>4.2300000000000004</v>
      </c>
      <c r="O5" s="10">
        <v>0.81</v>
      </c>
      <c r="P5" s="3">
        <f t="shared" si="1"/>
        <v>1.5745962807629341</v>
      </c>
    </row>
    <row r="6" spans="2:16" x14ac:dyDescent="0.3">
      <c r="B6" s="10" t="s">
        <v>367</v>
      </c>
      <c r="C6" s="2">
        <v>33800</v>
      </c>
      <c r="D6" s="10">
        <f t="shared" si="2"/>
        <v>26</v>
      </c>
      <c r="E6" s="10">
        <v>0.86</v>
      </c>
      <c r="F6" s="10">
        <v>2.56</v>
      </c>
      <c r="G6" s="10">
        <v>3.58</v>
      </c>
      <c r="H6" s="3">
        <f t="shared" si="0"/>
        <v>2.6701170998981607</v>
      </c>
      <c r="J6" s="10" t="s">
        <v>385</v>
      </c>
      <c r="K6" s="2">
        <v>32770</v>
      </c>
      <c r="L6" s="10">
        <f t="shared" si="3"/>
        <v>29</v>
      </c>
      <c r="M6" s="10">
        <v>0.56000000000000005</v>
      </c>
      <c r="N6" s="10">
        <v>0.06</v>
      </c>
      <c r="O6" s="10">
        <v>0.68</v>
      </c>
      <c r="P6" s="3">
        <f t="shared" si="1"/>
        <v>0.49271014027410676</v>
      </c>
    </row>
    <row r="7" spans="2:16" x14ac:dyDescent="0.3">
      <c r="B7" s="10" t="s">
        <v>368</v>
      </c>
      <c r="C7" s="2">
        <v>32666</v>
      </c>
      <c r="D7" s="10">
        <f t="shared" si="2"/>
        <v>30</v>
      </c>
      <c r="E7" s="10">
        <v>-0.26</v>
      </c>
      <c r="F7" s="10">
        <v>2.71</v>
      </c>
      <c r="G7" s="10">
        <v>3.23</v>
      </c>
      <c r="H7" s="3">
        <f t="shared" si="0"/>
        <v>2.2704623550836347</v>
      </c>
      <c r="J7" s="10" t="s">
        <v>386</v>
      </c>
      <c r="K7" s="2">
        <v>32792</v>
      </c>
      <c r="L7" s="10">
        <f t="shared" si="3"/>
        <v>29</v>
      </c>
      <c r="M7" s="10">
        <v>-0.38</v>
      </c>
      <c r="N7" s="10">
        <v>0.3</v>
      </c>
      <c r="O7" s="10">
        <v>0.46</v>
      </c>
      <c r="P7" s="3">
        <f t="shared" si="1"/>
        <v>0.37573579042485833</v>
      </c>
    </row>
    <row r="8" spans="2:16" x14ac:dyDescent="0.3">
      <c r="B8" s="10" t="s">
        <v>369</v>
      </c>
      <c r="C8" s="2">
        <v>32944</v>
      </c>
      <c r="D8" s="10">
        <f t="shared" si="2"/>
        <v>29</v>
      </c>
      <c r="E8" s="10">
        <v>4.4400000000000004</v>
      </c>
      <c r="F8" s="10">
        <v>2.74</v>
      </c>
      <c r="G8" s="10">
        <v>3.1</v>
      </c>
      <c r="H8" s="3">
        <f t="shared" si="0"/>
        <v>2.6359600952222695</v>
      </c>
      <c r="J8" s="10" t="s">
        <v>387</v>
      </c>
      <c r="K8" s="2">
        <v>34662</v>
      </c>
      <c r="L8" s="10">
        <f t="shared" si="3"/>
        <v>24</v>
      </c>
      <c r="O8" s="10">
        <v>0.41</v>
      </c>
      <c r="P8" s="3">
        <f t="shared" si="1"/>
        <v>0.52444344153191136</v>
      </c>
    </row>
    <row r="9" spans="2:16" x14ac:dyDescent="0.3">
      <c r="B9" s="10" t="s">
        <v>370</v>
      </c>
      <c r="C9" s="2">
        <v>32436</v>
      </c>
      <c r="D9" s="10">
        <f t="shared" si="2"/>
        <v>30</v>
      </c>
      <c r="E9" s="10">
        <v>0.69</v>
      </c>
      <c r="F9" s="10">
        <v>0.89</v>
      </c>
      <c r="G9" s="10">
        <v>2.1</v>
      </c>
      <c r="H9" s="3">
        <f t="shared" si="0"/>
        <v>1.3666359891676776</v>
      </c>
      <c r="J9" s="10" t="s">
        <v>388</v>
      </c>
      <c r="K9" s="2">
        <v>33928</v>
      </c>
      <c r="L9" s="10">
        <f t="shared" si="3"/>
        <v>26</v>
      </c>
      <c r="M9" s="10">
        <v>0.1</v>
      </c>
      <c r="N9" s="10">
        <v>1.34</v>
      </c>
      <c r="O9" s="10">
        <v>0.4</v>
      </c>
      <c r="P9" s="3">
        <f t="shared" si="1"/>
        <v>0.74843328604843751</v>
      </c>
    </row>
    <row r="10" spans="2:16" x14ac:dyDescent="0.3">
      <c r="B10" s="10" t="s">
        <v>371</v>
      </c>
      <c r="C10" s="2">
        <v>28969</v>
      </c>
      <c r="D10" s="10">
        <f t="shared" si="2"/>
        <v>40</v>
      </c>
      <c r="E10" s="10">
        <v>3.19</v>
      </c>
      <c r="F10" s="10">
        <v>3.7</v>
      </c>
      <c r="G10" s="10">
        <v>1.52</v>
      </c>
      <c r="H10" s="3">
        <f t="shared" si="0"/>
        <v>1.5182966479499538</v>
      </c>
      <c r="J10" s="10" t="s">
        <v>389</v>
      </c>
      <c r="K10" s="2">
        <v>31671</v>
      </c>
      <c r="L10" s="10">
        <f t="shared" si="3"/>
        <v>32</v>
      </c>
      <c r="N10" s="10">
        <v>0.22</v>
      </c>
      <c r="O10" s="10">
        <v>0.3</v>
      </c>
      <c r="P10" s="3">
        <f t="shared" si="1"/>
        <v>0.18685513027866946</v>
      </c>
    </row>
    <row r="11" spans="2:16" x14ac:dyDescent="0.3">
      <c r="B11" s="10" t="s">
        <v>372</v>
      </c>
      <c r="C11" s="2">
        <v>33159</v>
      </c>
      <c r="D11" s="10">
        <f t="shared" si="2"/>
        <v>28</v>
      </c>
      <c r="E11" s="10">
        <v>-1.18</v>
      </c>
      <c r="F11" s="10">
        <v>-0.32</v>
      </c>
      <c r="G11" s="10">
        <v>1.04</v>
      </c>
      <c r="H11" s="3">
        <f t="shared" si="0"/>
        <v>0.50612853282765458</v>
      </c>
      <c r="J11" s="10" t="s">
        <v>390</v>
      </c>
      <c r="K11" s="2">
        <v>36172</v>
      </c>
      <c r="L11" s="10">
        <f t="shared" si="3"/>
        <v>20</v>
      </c>
      <c r="O11" s="10">
        <v>0.24</v>
      </c>
      <c r="P11" s="3">
        <f t="shared" si="1"/>
        <v>0.61576107972591343</v>
      </c>
    </row>
    <row r="12" spans="2:16" x14ac:dyDescent="0.3">
      <c r="B12" s="10" t="s">
        <v>373</v>
      </c>
      <c r="C12" s="2">
        <v>31279</v>
      </c>
      <c r="D12" s="10">
        <f t="shared" si="2"/>
        <v>33</v>
      </c>
      <c r="E12" s="10">
        <v>1.98</v>
      </c>
      <c r="F12" s="10">
        <v>0.2</v>
      </c>
      <c r="G12" s="10">
        <v>-0.67</v>
      </c>
      <c r="H12" s="3">
        <f t="shared" si="0"/>
        <v>-0.15975515728619819</v>
      </c>
      <c r="J12" s="10" t="s">
        <v>391</v>
      </c>
      <c r="K12" s="2">
        <v>36298</v>
      </c>
      <c r="L12" s="10">
        <f t="shared" si="3"/>
        <v>20</v>
      </c>
      <c r="O12" s="10">
        <v>0.02</v>
      </c>
      <c r="P12" s="3">
        <f t="shared" si="1"/>
        <v>0.51549735128370056</v>
      </c>
    </row>
    <row r="13" spans="2:16" x14ac:dyDescent="0.3">
      <c r="B13" s="10" t="s">
        <v>374</v>
      </c>
      <c r="C13" s="2">
        <v>33523</v>
      </c>
      <c r="D13" s="10">
        <f t="shared" si="2"/>
        <v>27</v>
      </c>
      <c r="G13" s="10">
        <v>-0.65</v>
      </c>
      <c r="H13" s="3">
        <f t="shared" si="0"/>
        <v>-8.9840038340233963E-2</v>
      </c>
      <c r="J13" s="10" t="s">
        <v>392</v>
      </c>
      <c r="K13" s="2">
        <v>31910</v>
      </c>
      <c r="L13" s="10">
        <f t="shared" si="3"/>
        <v>32</v>
      </c>
      <c r="N13" s="10">
        <v>-0.21</v>
      </c>
      <c r="O13" s="10">
        <v>0.01</v>
      </c>
      <c r="P13" s="3">
        <f t="shared" si="1"/>
        <v>-4.3295700918228291E-2</v>
      </c>
    </row>
    <row r="14" spans="2:16" x14ac:dyDescent="0.3">
      <c r="B14" s="10" t="s">
        <v>375</v>
      </c>
      <c r="C14" s="2">
        <v>31586</v>
      </c>
      <c r="D14" s="10">
        <f t="shared" si="2"/>
        <v>33</v>
      </c>
      <c r="E14" s="10">
        <v>-0.17</v>
      </c>
      <c r="F14" s="10">
        <v>-7.0000000000000007E-2</v>
      </c>
      <c r="G14" s="10">
        <v>-0.28999999999999998</v>
      </c>
      <c r="H14" s="3">
        <f t="shared" si="0"/>
        <v>-0.21419288348839927</v>
      </c>
      <c r="J14" s="10" t="s">
        <v>393</v>
      </c>
      <c r="K14" s="2">
        <v>36045</v>
      </c>
      <c r="L14" s="10">
        <f t="shared" si="3"/>
        <v>20</v>
      </c>
      <c r="O14" s="10">
        <v>0.01</v>
      </c>
      <c r="P14" s="3">
        <f t="shared" si="1"/>
        <v>0.51093990908178177</v>
      </c>
    </row>
    <row r="15" spans="2:16" x14ac:dyDescent="0.3">
      <c r="B15" s="10" t="s">
        <v>376</v>
      </c>
      <c r="C15" s="2">
        <v>34365</v>
      </c>
      <c r="D15" s="10">
        <f t="shared" si="2"/>
        <v>25</v>
      </c>
      <c r="G15" s="10">
        <v>-0.23</v>
      </c>
      <c r="H15" s="3">
        <f t="shared" si="0"/>
        <v>0.20085030353687941</v>
      </c>
      <c r="J15" s="10" t="s">
        <v>394</v>
      </c>
      <c r="K15" s="2">
        <v>36013</v>
      </c>
      <c r="L15" s="10">
        <f t="shared" si="3"/>
        <v>20</v>
      </c>
      <c r="N15" s="10">
        <v>0.39</v>
      </c>
      <c r="O15" s="10">
        <v>-0.01</v>
      </c>
      <c r="P15" s="3">
        <f t="shared" si="1"/>
        <v>0.59069514761536024</v>
      </c>
    </row>
    <row r="16" spans="2:16" x14ac:dyDescent="0.3">
      <c r="B16" s="10" t="s">
        <v>377</v>
      </c>
      <c r="C16" s="2">
        <v>34235</v>
      </c>
      <c r="D16" s="10">
        <f t="shared" si="2"/>
        <v>25</v>
      </c>
      <c r="E16" s="10">
        <v>-0.08</v>
      </c>
      <c r="G16" s="10">
        <v>-0.05</v>
      </c>
      <c r="H16" s="3">
        <f t="shared" si="0"/>
        <v>0.2809057832459988</v>
      </c>
      <c r="J16" s="10" t="s">
        <v>395</v>
      </c>
      <c r="K16" s="2">
        <v>32090</v>
      </c>
      <c r="L16" s="10">
        <f t="shared" si="3"/>
        <v>31</v>
      </c>
      <c r="M16" s="10">
        <v>-0.3</v>
      </c>
      <c r="N16" s="10">
        <v>-0.25</v>
      </c>
      <c r="O16" s="10">
        <v>-0.24</v>
      </c>
      <c r="P16" s="3">
        <f t="shared" si="1"/>
        <v>-0.14693531247297356</v>
      </c>
    </row>
    <row r="17" spans="2:16" x14ac:dyDescent="0.3">
      <c r="B17" s="10" t="s">
        <v>378</v>
      </c>
      <c r="C17" s="2">
        <v>30309</v>
      </c>
      <c r="D17" s="10">
        <f t="shared" si="2"/>
        <v>36</v>
      </c>
      <c r="E17" s="10">
        <v>-0.33</v>
      </c>
      <c r="F17" s="10">
        <v>0.33</v>
      </c>
      <c r="G17" s="10">
        <v>-0.05</v>
      </c>
      <c r="H17" s="3">
        <f t="shared" si="0"/>
        <v>-0.14908109332498223</v>
      </c>
      <c r="J17" s="10" t="s">
        <v>396</v>
      </c>
      <c r="K17" s="2">
        <v>33820</v>
      </c>
      <c r="L17" s="10">
        <f t="shared" si="3"/>
        <v>26</v>
      </c>
      <c r="M17" s="10">
        <v>0</v>
      </c>
      <c r="O17" s="10">
        <v>-0.27</v>
      </c>
      <c r="P17" s="3">
        <f t="shared" si="1"/>
        <v>0.13014029398812482</v>
      </c>
    </row>
    <row r="18" spans="2:16" x14ac:dyDescent="0.3">
      <c r="B18" s="10" t="s">
        <v>379</v>
      </c>
      <c r="C18" s="2">
        <v>32522</v>
      </c>
      <c r="D18" s="10">
        <f t="shared" si="2"/>
        <v>30</v>
      </c>
      <c r="F18" s="10">
        <v>0.78</v>
      </c>
      <c r="G18" s="10">
        <v>0.02</v>
      </c>
      <c r="H18" s="3">
        <f t="shared" si="0"/>
        <v>0.28588701309456621</v>
      </c>
      <c r="J18" s="10" t="s">
        <v>397</v>
      </c>
      <c r="K18" s="2">
        <v>30328</v>
      </c>
      <c r="L18" s="10">
        <f t="shared" si="3"/>
        <v>36</v>
      </c>
      <c r="M18" s="10">
        <v>0.45</v>
      </c>
      <c r="N18" s="10">
        <v>0.41</v>
      </c>
      <c r="O18" s="10">
        <v>-0.47</v>
      </c>
      <c r="P18" s="3">
        <f t="shared" si="1"/>
        <v>-0.25538555746307756</v>
      </c>
    </row>
    <row r="19" spans="2:16" x14ac:dyDescent="0.3">
      <c r="B19" s="10" t="s">
        <v>380</v>
      </c>
      <c r="C19" s="2">
        <v>34294</v>
      </c>
      <c r="D19" s="10">
        <f t="shared" si="2"/>
        <v>25</v>
      </c>
      <c r="E19" s="10">
        <v>-0.12</v>
      </c>
      <c r="G19" s="10">
        <v>0.05</v>
      </c>
      <c r="H19" s="3">
        <f t="shared" si="0"/>
        <v>0.32573685188310564</v>
      </c>
      <c r="J19" s="10" t="s">
        <v>398</v>
      </c>
      <c r="K19" s="2">
        <v>31589</v>
      </c>
      <c r="L19" s="10">
        <f t="shared" si="3"/>
        <v>33</v>
      </c>
      <c r="M19" s="10">
        <v>0.73</v>
      </c>
      <c r="N19" s="10">
        <v>1.35</v>
      </c>
      <c r="O19" s="10">
        <v>-0.49</v>
      </c>
      <c r="P19" s="3">
        <f t="shared" si="1"/>
        <v>9.7563021952186968E-2</v>
      </c>
    </row>
    <row r="20" spans="2:16" x14ac:dyDescent="0.3">
      <c r="B20" s="10" t="s">
        <v>381</v>
      </c>
      <c r="C20" s="2">
        <v>33440</v>
      </c>
      <c r="D20" s="10">
        <f t="shared" si="2"/>
        <v>27</v>
      </c>
      <c r="G20" s="10">
        <v>0.1</v>
      </c>
      <c r="H20" s="3">
        <f t="shared" si="0"/>
        <v>0.27040962035080313</v>
      </c>
      <c r="J20" s="10" t="s">
        <v>399</v>
      </c>
      <c r="K20" s="2">
        <v>34948</v>
      </c>
      <c r="L20" s="10">
        <f t="shared" si="3"/>
        <v>23</v>
      </c>
      <c r="O20" s="10">
        <v>-0.64</v>
      </c>
      <c r="P20" s="3">
        <f t="shared" si="1"/>
        <v>8.8110549237096145E-2</v>
      </c>
    </row>
    <row r="21" spans="2:16" x14ac:dyDescent="0.3">
      <c r="B21" s="10" t="s">
        <v>382</v>
      </c>
      <c r="C21" s="2">
        <v>32768</v>
      </c>
      <c r="D21" s="10">
        <f t="shared" si="2"/>
        <v>29</v>
      </c>
      <c r="E21" s="10">
        <v>0.48</v>
      </c>
      <c r="F21" s="10">
        <v>-0.01</v>
      </c>
      <c r="G21" s="10">
        <v>0.31</v>
      </c>
      <c r="H21" s="3">
        <f t="shared" si="0"/>
        <v>0.31835395764326457</v>
      </c>
      <c r="J21" s="10" t="s">
        <v>400</v>
      </c>
      <c r="K21" s="2">
        <v>35497</v>
      </c>
      <c r="L21" s="10">
        <f t="shared" si="3"/>
        <v>22</v>
      </c>
      <c r="M21" s="10">
        <v>-0.02</v>
      </c>
      <c r="N21" s="10">
        <v>0.5</v>
      </c>
      <c r="O21" s="10">
        <v>-1.19</v>
      </c>
      <c r="P21" s="3">
        <f t="shared" si="1"/>
        <v>-7.9333253144511558E-3</v>
      </c>
    </row>
    <row r="22" spans="2:16" x14ac:dyDescent="0.3">
      <c r="B22" s="10" t="s">
        <v>503</v>
      </c>
      <c r="C22" s="2">
        <v>33435</v>
      </c>
      <c r="D22" s="10">
        <f t="shared" si="2"/>
        <v>27</v>
      </c>
      <c r="E22" s="3">
        <f>ROUND(SUM('MILB &amp; MLB'!AM111:AM112),2)</f>
        <v>4.53</v>
      </c>
      <c r="F22" s="3">
        <f>ROUND(SUM('MILB &amp; MLB'!AM113),2)</f>
        <v>3.3</v>
      </c>
      <c r="G22" s="3">
        <f>ROUND(SUM('MILB &amp; MLB'!AM114:AM115),2)</f>
        <v>3.88</v>
      </c>
      <c r="H22" s="3">
        <f t="shared" si="0"/>
        <v>3.241268472356222</v>
      </c>
      <c r="J22" s="10" t="s">
        <v>620</v>
      </c>
      <c r="K22" s="2">
        <v>32776</v>
      </c>
      <c r="L22" s="10">
        <f t="shared" si="3"/>
        <v>29</v>
      </c>
      <c r="M22" s="3">
        <f>ROUND(SUM('MILB &amp; MLB'!W374:W375),2)</f>
        <v>4.75</v>
      </c>
      <c r="N22" s="3">
        <f>ROUND(SUM('MILB &amp; MLB'!W376:W377),2)</f>
        <v>2.61</v>
      </c>
      <c r="O22" s="10">
        <v>6.31</v>
      </c>
      <c r="P22" s="3">
        <f t="shared" si="1"/>
        <v>3.9578853611330085</v>
      </c>
    </row>
    <row r="23" spans="2:16" x14ac:dyDescent="0.3">
      <c r="B23" s="10" t="s">
        <v>709</v>
      </c>
      <c r="C23" s="2">
        <v>35680</v>
      </c>
      <c r="D23" s="10">
        <f t="shared" si="2"/>
        <v>21</v>
      </c>
      <c r="G23" s="10">
        <v>4.0000000000000001E-3</v>
      </c>
      <c r="H23" s="3">
        <f t="shared" si="0"/>
        <v>0.49114926306874829</v>
      </c>
      <c r="J23" s="10" t="s">
        <v>621</v>
      </c>
      <c r="K23" s="2">
        <v>32785</v>
      </c>
      <c r="L23" s="10">
        <f t="shared" si="3"/>
        <v>29</v>
      </c>
      <c r="M23" s="3">
        <f>ROUND(SUM('MILB &amp; MLB'!W388:W389),2)</f>
        <v>3.75</v>
      </c>
      <c r="N23" s="3">
        <f>ROUND(SUM('MILB &amp; MLB'!W390:W391),2)</f>
        <v>2.2200000000000002</v>
      </c>
      <c r="O23" s="3">
        <f>ROUND(SUM('MILB &amp; MLB'!W392:W393),2)</f>
        <v>3.75</v>
      </c>
      <c r="P23" s="3">
        <f t="shared" si="1"/>
        <v>2.6263526644724093</v>
      </c>
    </row>
    <row r="24" spans="2:16" x14ac:dyDescent="0.3">
      <c r="B24" s="10" t="s">
        <v>710</v>
      </c>
      <c r="C24" s="2">
        <v>29830</v>
      </c>
      <c r="D24" s="10">
        <f t="shared" si="2"/>
        <v>37</v>
      </c>
      <c r="E24" s="10">
        <v>-0.26</v>
      </c>
      <c r="F24" s="10">
        <v>0.26</v>
      </c>
      <c r="G24" s="10">
        <v>-0.02</v>
      </c>
      <c r="H24" s="3">
        <f t="shared" si="0"/>
        <v>-0.19035414064168377</v>
      </c>
      <c r="J24" s="10" t="s">
        <v>714</v>
      </c>
      <c r="K24" s="2">
        <v>34157</v>
      </c>
      <c r="L24" s="10">
        <f t="shared" si="3"/>
        <v>25</v>
      </c>
      <c r="O24" s="10">
        <v>-0.13</v>
      </c>
      <c r="P24" s="3">
        <f t="shared" si="1"/>
        <v>0.23614302372164281</v>
      </c>
    </row>
    <row r="25" spans="2:16" x14ac:dyDescent="0.3">
      <c r="B25" s="10" t="s">
        <v>711</v>
      </c>
      <c r="C25" s="2">
        <v>34845</v>
      </c>
      <c r="D25" s="10">
        <f t="shared" si="2"/>
        <v>24</v>
      </c>
      <c r="F25" s="10">
        <v>0.02</v>
      </c>
      <c r="G25" s="10">
        <v>0</v>
      </c>
      <c r="H25" s="3">
        <f t="shared" si="0"/>
        <v>0.36060546082307759</v>
      </c>
      <c r="J25" s="10" t="s">
        <v>715</v>
      </c>
      <c r="K25" s="2">
        <v>32412</v>
      </c>
      <c r="L25" s="10">
        <f t="shared" si="3"/>
        <v>30</v>
      </c>
      <c r="O25" s="10">
        <v>0.35</v>
      </c>
      <c r="P25" s="3">
        <f t="shared" si="1"/>
        <v>0.24390755488046736</v>
      </c>
    </row>
    <row r="26" spans="2:16" x14ac:dyDescent="0.3">
      <c r="B26" s="10" t="s">
        <v>712</v>
      </c>
      <c r="C26" s="2">
        <v>33155</v>
      </c>
      <c r="D26" s="10">
        <f t="shared" si="2"/>
        <v>28</v>
      </c>
      <c r="G26" s="10">
        <v>-0.03</v>
      </c>
      <c r="H26" s="3">
        <f t="shared" si="0"/>
        <v>0.16349107967262375</v>
      </c>
      <c r="J26" s="10" t="s">
        <v>716</v>
      </c>
      <c r="K26" s="2">
        <v>30466</v>
      </c>
      <c r="L26" s="10">
        <f t="shared" si="3"/>
        <v>36</v>
      </c>
      <c r="M26" s="10">
        <v>3.7</v>
      </c>
      <c r="N26" s="10">
        <v>0.24</v>
      </c>
      <c r="P26" s="3">
        <f t="shared" si="1"/>
        <v>0.16693741991472819</v>
      </c>
    </row>
    <row r="27" spans="2:16" x14ac:dyDescent="0.3">
      <c r="B27" s="10" t="s">
        <v>713</v>
      </c>
      <c r="C27" s="2">
        <v>32585</v>
      </c>
      <c r="D27" s="10">
        <f t="shared" si="2"/>
        <v>30</v>
      </c>
      <c r="E27" s="10">
        <v>1.02</v>
      </c>
      <c r="F27" s="10">
        <v>0.42</v>
      </c>
      <c r="G27" s="10">
        <v>-0.42</v>
      </c>
      <c r="H27" s="3">
        <f t="shared" si="0"/>
        <v>6.9737217879943969E-2</v>
      </c>
      <c r="J27" s="10" t="s">
        <v>717</v>
      </c>
      <c r="K27" s="2">
        <v>29626</v>
      </c>
      <c r="L27" s="10">
        <f t="shared" si="3"/>
        <v>38</v>
      </c>
      <c r="M27" s="10">
        <v>0.37</v>
      </c>
      <c r="N27" s="10">
        <v>1.02</v>
      </c>
      <c r="O27" s="10">
        <v>-0.2</v>
      </c>
      <c r="P27" s="3">
        <f t="shared" si="1"/>
        <v>-8.3806298268617338E-2</v>
      </c>
    </row>
    <row r="28" spans="2:16" x14ac:dyDescent="0.3">
      <c r="H28" s="3"/>
      <c r="J28" s="10" t="s">
        <v>718</v>
      </c>
      <c r="K28" s="2">
        <v>30476</v>
      </c>
      <c r="L28" s="10">
        <f t="shared" si="3"/>
        <v>36</v>
      </c>
      <c r="M28" s="10">
        <v>-0.5</v>
      </c>
      <c r="N28" s="10">
        <v>0.33</v>
      </c>
      <c r="O28" s="10">
        <v>0.18</v>
      </c>
      <c r="P28" s="3">
        <f t="shared" si="1"/>
        <v>-4.9541084676413237E-2</v>
      </c>
    </row>
    <row r="29" spans="2:16" x14ac:dyDescent="0.3">
      <c r="J29" s="10" t="s">
        <v>719</v>
      </c>
      <c r="K29" s="2">
        <v>33060</v>
      </c>
      <c r="L29" s="10">
        <f t="shared" si="3"/>
        <v>28</v>
      </c>
      <c r="M29" s="10">
        <v>-0.13</v>
      </c>
      <c r="N29" s="10">
        <v>-0.03</v>
      </c>
      <c r="O29" s="10">
        <v>0.06</v>
      </c>
      <c r="P29" s="3">
        <f t="shared" si="1"/>
        <v>0.17942818743109812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13</vt:i4>
      </vt:variant>
    </vt:vector>
  </HeadingPairs>
  <TitlesOfParts>
    <vt:vector size="13" baseType="lpstr">
      <vt:lpstr>총합</vt:lpstr>
      <vt:lpstr>두산</vt:lpstr>
      <vt:lpstr>SK</vt:lpstr>
      <vt:lpstr>한화</vt:lpstr>
      <vt:lpstr>키움</vt:lpstr>
      <vt:lpstr>KIA</vt:lpstr>
      <vt:lpstr>삼성</vt:lpstr>
      <vt:lpstr>롯데</vt:lpstr>
      <vt:lpstr>LG</vt:lpstr>
      <vt:lpstr>KT</vt:lpstr>
      <vt:lpstr>NC</vt:lpstr>
      <vt:lpstr>MILB &amp; MLB</vt:lpstr>
      <vt:lpstr>피타고리안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Administrator</cp:lastModifiedBy>
  <dcterms:created xsi:type="dcterms:W3CDTF">2019-02-13T06:03:50Z</dcterms:created>
  <dcterms:modified xsi:type="dcterms:W3CDTF">2019-04-12T16:14:25Z</dcterms:modified>
</cp:coreProperties>
</file>