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rinterSettings/printerSettings1.bin" ContentType="application/vnd.openxmlformats-officedocument.spreadsheetml.printerSettings"/>
  <Override PartName="/xl/comments1.xml" ContentType="application/vnd.openxmlformats-officedocument.spreadsheetml.comments+xml"/>
  <Override PartName="/xl/printerSettings/printerSettings2.bin" ContentType="application/vnd.openxmlformats-officedocument.spreadsheetml.printerSettings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AETANG\Downloads\"/>
    </mc:Choice>
  </mc:AlternateContent>
  <xr:revisionPtr revIDLastSave="0" documentId="13_ncr:1_{DDA9A624-08A6-4893-A888-2B819EBF1CB8}" xr6:coauthVersionLast="47" xr6:coauthVersionMax="47" xr10:uidLastSave="{00000000-0000-0000-0000-000000000000}"/>
  <bookViews>
    <workbookView xWindow="-110" yWindow="-110" windowWidth="19420" windowHeight="10300" tabRatio="855" activeTab="2" xr2:uid="{00000000-000D-0000-FFFF-FFFF00000000}"/>
  </bookViews>
  <sheets>
    <sheet name="Home" sheetId="13" r:id="rId1"/>
    <sheet name="Indicadores | KPI" sheetId="7" r:id="rId2"/>
    <sheet name="DRE- Income Statement" sheetId="8" r:id="rId3"/>
    <sheet name="Receita - Revenue" sheetId="9" r:id="rId4"/>
    <sheet name="EBITDA" sheetId="10" r:id="rId5"/>
    <sheet name="Balanço - Balance Sheet" sheetId="12" r:id="rId6"/>
    <sheet name="BS - Consolidado" sheetId="4" r:id="rId7"/>
    <sheet name="P&amp;L - Consolidado" sheetId="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8" i="10" l="1"/>
  <c r="BE7" i="10"/>
  <c r="BE6" i="10"/>
  <c r="BE5" i="10"/>
  <c r="BE4" i="10"/>
  <c r="BE3" i="10"/>
  <c r="BE7" i="9"/>
  <c r="BE6" i="9"/>
  <c r="BE5" i="9"/>
  <c r="BE4" i="9"/>
  <c r="AZ10" i="8"/>
  <c r="AZ9" i="8"/>
  <c r="AZ8" i="8"/>
  <c r="AZ7" i="8"/>
  <c r="AZ5" i="8"/>
  <c r="BE30" i="8"/>
  <c r="BE29" i="8"/>
  <c r="BE27" i="8"/>
  <c r="BE26" i="8"/>
  <c r="BE25" i="8"/>
  <c r="BE24" i="8"/>
  <c r="BE23" i="8"/>
  <c r="BE20" i="8"/>
  <c r="BE19" i="8"/>
  <c r="BE18" i="8"/>
  <c r="BE17" i="8"/>
  <c r="BE16" i="8"/>
  <c r="BE15" i="8"/>
  <c r="BE14" i="8"/>
  <c r="BE10" i="8"/>
  <c r="BE9" i="8"/>
  <c r="BE8" i="8"/>
  <c r="BE7" i="8"/>
  <c r="BE11" i="8"/>
  <c r="BG8" i="10"/>
  <c r="BF8" i="10"/>
  <c r="BG37" i="9"/>
  <c r="BG35" i="9"/>
  <c r="BG33" i="9"/>
  <c r="BG31" i="9"/>
  <c r="BG29" i="9"/>
  <c r="BF37" i="9" l="1"/>
  <c r="BF35" i="9"/>
  <c r="BF33" i="9"/>
  <c r="BF31" i="9"/>
  <c r="BF29" i="9"/>
  <c r="BG25" i="9"/>
  <c r="BF25" i="9"/>
  <c r="BG20" i="9"/>
  <c r="BF20" i="9"/>
  <c r="BG15" i="9"/>
  <c r="BF15" i="9"/>
  <c r="BG9" i="9"/>
  <c r="BF9" i="9"/>
  <c r="BH4" i="7"/>
  <c r="BG4" i="7"/>
  <c r="BH5" i="7"/>
  <c r="BG5" i="7"/>
  <c r="BH3" i="7"/>
  <c r="BG3" i="7"/>
  <c r="BG17" i="8"/>
  <c r="BG29" i="8"/>
  <c r="BG30" i="8"/>
  <c r="BG25" i="8"/>
  <c r="BG24" i="8"/>
  <c r="BG23" i="8"/>
  <c r="BG19" i="8"/>
  <c r="BG16" i="8"/>
  <c r="BG15" i="8"/>
  <c r="BG14" i="8"/>
  <c r="BG10" i="8"/>
  <c r="BG5" i="8"/>
  <c r="BG34" i="8"/>
  <c r="BG35" i="8" s="1"/>
  <c r="BG26" i="8"/>
  <c r="BG18" i="8"/>
  <c r="BG11" i="8"/>
  <c r="BG12" i="8" s="1"/>
  <c r="BE24" i="9"/>
  <c r="BE23" i="9"/>
  <c r="BE22" i="9"/>
  <c r="BE25" i="9" s="1"/>
  <c r="BE19" i="9"/>
  <c r="BE18" i="9"/>
  <c r="BE17" i="9"/>
  <c r="BE14" i="9"/>
  <c r="BE13" i="9"/>
  <c r="BE12" i="9"/>
  <c r="BE11" i="9"/>
  <c r="BE8" i="9"/>
  <c r="BE37" i="9" s="1"/>
  <c r="BE33" i="9"/>
  <c r="BE42" i="9" s="1"/>
  <c r="BE31" i="9"/>
  <c r="BE29" i="9"/>
  <c r="BE35" i="9"/>
  <c r="BE20" i="9"/>
  <c r="BE9" i="9"/>
  <c r="BD37" i="9"/>
  <c r="BD35" i="9"/>
  <c r="BD33" i="9"/>
  <c r="BD31" i="9"/>
  <c r="BD29" i="9"/>
  <c r="BD25" i="9"/>
  <c r="BD20" i="9"/>
  <c r="BD15" i="9"/>
  <c r="BD9" i="9"/>
  <c r="BC37" i="9"/>
  <c r="BC35" i="9"/>
  <c r="BC33" i="9"/>
  <c r="BC31" i="9"/>
  <c r="BC29" i="9"/>
  <c r="BC25" i="9"/>
  <c r="BC20" i="9"/>
  <c r="BC15" i="9"/>
  <c r="BC9" i="9"/>
  <c r="BG63" i="12"/>
  <c r="BG59" i="12"/>
  <c r="BG57" i="12"/>
  <c r="BG56" i="12"/>
  <c r="BG55" i="12"/>
  <c r="BG54" i="12"/>
  <c r="BG52" i="12"/>
  <c r="BG49" i="12"/>
  <c r="BG48" i="12"/>
  <c r="BG46" i="12"/>
  <c r="BG45" i="12"/>
  <c r="BG44" i="12"/>
  <c r="BG43" i="12"/>
  <c r="BG50" i="12" s="1"/>
  <c r="BG39" i="12"/>
  <c r="BG38" i="12"/>
  <c r="BG37" i="12"/>
  <c r="BG36" i="12"/>
  <c r="BG35" i="12"/>
  <c r="BG34" i="12"/>
  <c r="BG33" i="12"/>
  <c r="BG32" i="12"/>
  <c r="BG24" i="12"/>
  <c r="BG23" i="12"/>
  <c r="BG22" i="12"/>
  <c r="BG21" i="12"/>
  <c r="BG20" i="12"/>
  <c r="BG19" i="12"/>
  <c r="BG18" i="12"/>
  <c r="BG17" i="12"/>
  <c r="BG16" i="12"/>
  <c r="BG25" i="12" s="1"/>
  <c r="BG10" i="12"/>
  <c r="BG9" i="12"/>
  <c r="BG8" i="12"/>
  <c r="BG7" i="12"/>
  <c r="BG6" i="12"/>
  <c r="BG5" i="12"/>
  <c r="BG4" i="12"/>
  <c r="BG11" i="12" s="1"/>
  <c r="BG61" i="12"/>
  <c r="BG40" i="12"/>
  <c r="BE47" i="12"/>
  <c r="BE52" i="12"/>
  <c r="BB37" i="9"/>
  <c r="BB35" i="9"/>
  <c r="BB33" i="9"/>
  <c r="BB31" i="9"/>
  <c r="BB29" i="9"/>
  <c r="BB25" i="9"/>
  <c r="BB20" i="9"/>
  <c r="BB15" i="9"/>
  <c r="BB9" i="9"/>
  <c r="BF34" i="8"/>
  <c r="BF30" i="8"/>
  <c r="BF29" i="8"/>
  <c r="BF25" i="8"/>
  <c r="BF24" i="8"/>
  <c r="BF23" i="8"/>
  <c r="BF26" i="8" s="1"/>
  <c r="BF19" i="8"/>
  <c r="BF17" i="8"/>
  <c r="BF16" i="8"/>
  <c r="BF15" i="8"/>
  <c r="BF14" i="8"/>
  <c r="BF10" i="8"/>
  <c r="BF5" i="8"/>
  <c r="BF18" i="8"/>
  <c r="BD34" i="8"/>
  <c r="BC34" i="8"/>
  <c r="F49" i="6"/>
  <c r="F44" i="6"/>
  <c r="F47" i="6"/>
  <c r="F42" i="6"/>
  <c r="F41" i="6"/>
  <c r="F43" i="6"/>
  <c r="F50" i="6"/>
  <c r="BF57" i="12"/>
  <c r="BF59" i="12"/>
  <c r="BF55" i="12"/>
  <c r="BF46" i="12"/>
  <c r="BF43" i="12"/>
  <c r="BF37" i="12"/>
  <c r="BF32" i="12"/>
  <c r="BF23" i="12"/>
  <c r="BF24" i="12"/>
  <c r="BF22" i="12"/>
  <c r="BF9" i="12"/>
  <c r="BF10" i="12"/>
  <c r="BF6" i="12"/>
  <c r="BF5" i="12"/>
  <c r="BF63" i="12"/>
  <c r="BF56" i="12"/>
  <c r="BF54" i="12"/>
  <c r="BF52" i="12"/>
  <c r="BF49" i="12"/>
  <c r="BF48" i="12"/>
  <c r="BF45" i="12"/>
  <c r="BF44" i="12"/>
  <c r="BF39" i="12"/>
  <c r="BF38" i="12"/>
  <c r="BF36" i="12"/>
  <c r="BF35" i="12"/>
  <c r="BF34" i="12"/>
  <c r="BF33" i="12"/>
  <c r="BF21" i="12"/>
  <c r="BF20" i="12"/>
  <c r="BF19" i="12"/>
  <c r="BF18" i="12"/>
  <c r="BF17" i="12"/>
  <c r="BF16" i="12"/>
  <c r="BF8" i="12"/>
  <c r="BF7" i="12"/>
  <c r="BF4" i="12"/>
  <c r="BD63" i="12"/>
  <c r="BE63" i="12" s="1"/>
  <c r="BD59" i="12"/>
  <c r="BE59" i="12" s="1"/>
  <c r="BD57" i="12"/>
  <c r="BE57" i="12" s="1"/>
  <c r="BD56" i="12"/>
  <c r="BE56" i="12" s="1"/>
  <c r="BD55" i="12"/>
  <c r="BE55" i="12" s="1"/>
  <c r="BD54" i="12"/>
  <c r="BE54" i="12" s="1"/>
  <c r="BD52" i="12"/>
  <c r="BD49" i="12"/>
  <c r="BE49" i="12" s="1"/>
  <c r="BD48" i="12"/>
  <c r="BE48" i="12" s="1"/>
  <c r="BD46" i="12"/>
  <c r="BE46" i="12" s="1"/>
  <c r="BD45" i="12"/>
  <c r="BE45" i="12" s="1"/>
  <c r="BD44" i="12"/>
  <c r="BE44" i="12" s="1"/>
  <c r="BD43" i="12"/>
  <c r="BE43" i="12" s="1"/>
  <c r="BE50" i="12" s="1"/>
  <c r="BD39" i="12"/>
  <c r="BE39" i="12" s="1"/>
  <c r="BD38" i="12"/>
  <c r="BE38" i="12" s="1"/>
  <c r="BD37" i="12"/>
  <c r="BE37" i="12" s="1"/>
  <c r="BD36" i="12"/>
  <c r="BE36" i="12" s="1"/>
  <c r="BD35" i="12"/>
  <c r="BE35" i="12" s="1"/>
  <c r="BD34" i="12"/>
  <c r="BE34" i="12" s="1"/>
  <c r="BD33" i="12"/>
  <c r="BE33" i="12" s="1"/>
  <c r="BD32" i="12"/>
  <c r="BE32" i="12" s="1"/>
  <c r="BD24" i="12"/>
  <c r="BE24" i="12" s="1"/>
  <c r="BD23" i="12"/>
  <c r="BE23" i="12" s="1"/>
  <c r="BD22" i="12"/>
  <c r="BE22" i="12" s="1"/>
  <c r="BD21" i="12"/>
  <c r="BE21" i="12" s="1"/>
  <c r="BD20" i="12"/>
  <c r="BE20" i="12" s="1"/>
  <c r="BD19" i="12"/>
  <c r="BE19" i="12" s="1"/>
  <c r="BD18" i="12"/>
  <c r="BE18" i="12" s="1"/>
  <c r="BD17" i="12"/>
  <c r="BE17" i="12" s="1"/>
  <c r="BD16" i="12"/>
  <c r="BE16" i="12" s="1"/>
  <c r="BE25" i="12" s="1"/>
  <c r="BD10" i="12"/>
  <c r="BE10" i="12" s="1"/>
  <c r="BD9" i="12"/>
  <c r="BE9" i="12" s="1"/>
  <c r="BD8" i="12"/>
  <c r="BE8" i="12" s="1"/>
  <c r="BD7" i="12"/>
  <c r="BE7" i="12" s="1"/>
  <c r="BD6" i="12"/>
  <c r="BE6" i="12" s="1"/>
  <c r="BD5" i="12"/>
  <c r="BE5" i="12" s="1"/>
  <c r="BD4" i="12"/>
  <c r="BE4" i="12" s="1"/>
  <c r="F48" i="6"/>
  <c r="F46" i="6"/>
  <c r="F45" i="6"/>
  <c r="BE40" i="9" l="1"/>
  <c r="BG42" i="9"/>
  <c r="BF42" i="9"/>
  <c r="BG40" i="9"/>
  <c r="BF40" i="9"/>
  <c r="BG27" i="9"/>
  <c r="BF27" i="9"/>
  <c r="BG20" i="8"/>
  <c r="BG21" i="8"/>
  <c r="BG27" i="8"/>
  <c r="BE15" i="9"/>
  <c r="BE27" i="9" s="1"/>
  <c r="BD42" i="9"/>
  <c r="BD40" i="9"/>
  <c r="BD27" i="9"/>
  <c r="BD10" i="9" s="1"/>
  <c r="BC42" i="9"/>
  <c r="BC40" i="9"/>
  <c r="BC27" i="9"/>
  <c r="BG64" i="12"/>
  <c r="E40" i="6"/>
  <c r="D50" i="6"/>
  <c r="E50" i="6"/>
  <c r="D48" i="6"/>
  <c r="E48" i="6"/>
  <c r="D49" i="6"/>
  <c r="E49" i="6"/>
  <c r="D46" i="6"/>
  <c r="E46" i="6"/>
  <c r="E45" i="6"/>
  <c r="E44" i="6"/>
  <c r="D44" i="6"/>
  <c r="D47" i="6"/>
  <c r="E47" i="6"/>
  <c r="D42" i="6"/>
  <c r="E42" i="6"/>
  <c r="D41" i="6"/>
  <c r="E41" i="6"/>
  <c r="E43" i="6"/>
  <c r="BG65" i="12"/>
  <c r="BE11" i="12"/>
  <c r="BE40" i="12"/>
  <c r="BG27" i="12"/>
  <c r="BE61" i="12"/>
  <c r="BE64" i="12" s="1"/>
  <c r="BE65" i="12" s="1"/>
  <c r="BE27" i="12"/>
  <c r="BB42" i="9"/>
  <c r="BB40" i="9"/>
  <c r="BB27" i="9"/>
  <c r="BB10" i="9"/>
  <c r="BF35" i="8"/>
  <c r="BF11" i="8"/>
  <c r="BF12" i="8" s="1"/>
  <c r="F40" i="6"/>
  <c r="BF61" i="12"/>
  <c r="BF64" i="12" s="1"/>
  <c r="BD61" i="12"/>
  <c r="BD64" i="12" s="1"/>
  <c r="BE34" i="8"/>
  <c r="BC30" i="8"/>
  <c r="BC29" i="8"/>
  <c r="BC25" i="8"/>
  <c r="BC24" i="8"/>
  <c r="BC23" i="8"/>
  <c r="BC19" i="8"/>
  <c r="BC17" i="8"/>
  <c r="BC16" i="8"/>
  <c r="BC15" i="8"/>
  <c r="BC14" i="8"/>
  <c r="BC10" i="8"/>
  <c r="BC5" i="8"/>
  <c r="H36" i="6"/>
  <c r="H33" i="6"/>
  <c r="BD30" i="8" s="1"/>
  <c r="H32" i="6"/>
  <c r="H31" i="6"/>
  <c r="H30" i="6"/>
  <c r="H29" i="6"/>
  <c r="H28" i="6"/>
  <c r="H27" i="6"/>
  <c r="H26" i="6"/>
  <c r="H25" i="6"/>
  <c r="H24" i="6"/>
  <c r="BD29" i="8" s="1"/>
  <c r="H23" i="6"/>
  <c r="H22" i="6"/>
  <c r="BD25" i="8" s="1"/>
  <c r="H21" i="6"/>
  <c r="BD24" i="8" s="1"/>
  <c r="H20" i="6"/>
  <c r="H19" i="6"/>
  <c r="H18" i="6"/>
  <c r="H17" i="6"/>
  <c r="BD23" i="8" s="1"/>
  <c r="H16" i="6"/>
  <c r="H15" i="6"/>
  <c r="H14" i="6"/>
  <c r="BD19" i="8" s="1"/>
  <c r="H13" i="6"/>
  <c r="H12" i="6"/>
  <c r="BD17" i="8" s="1"/>
  <c r="H11" i="6"/>
  <c r="H10" i="6"/>
  <c r="BD16" i="8" s="1"/>
  <c r="H9" i="6"/>
  <c r="BD15" i="8" s="1"/>
  <c r="H8" i="6"/>
  <c r="H7" i="6"/>
  <c r="BD14" i="8" s="1"/>
  <c r="H6" i="6"/>
  <c r="H5" i="6"/>
  <c r="H4" i="6"/>
  <c r="BD10" i="8" s="1"/>
  <c r="H3" i="6"/>
  <c r="BD5" i="8" s="1"/>
  <c r="BD35" i="8" s="1"/>
  <c r="BC35" i="8"/>
  <c r="BC63" i="12"/>
  <c r="BC59" i="12"/>
  <c r="BC57" i="12"/>
  <c r="BC56" i="12"/>
  <c r="BC55" i="12"/>
  <c r="BC54" i="12"/>
  <c r="BC52" i="12"/>
  <c r="BC49" i="12"/>
  <c r="BC48" i="12"/>
  <c r="BC46" i="12"/>
  <c r="BC45" i="12"/>
  <c r="BC44" i="12"/>
  <c r="BC43" i="12"/>
  <c r="BC39" i="12"/>
  <c r="BC38" i="12"/>
  <c r="BC37" i="12"/>
  <c r="BC36" i="12"/>
  <c r="BC35" i="12"/>
  <c r="BC34" i="12"/>
  <c r="BC33" i="12"/>
  <c r="BC32" i="12"/>
  <c r="BC24" i="12"/>
  <c r="BC23" i="12"/>
  <c r="BC22" i="12"/>
  <c r="BC21" i="12"/>
  <c r="BC20" i="12"/>
  <c r="BC19" i="12"/>
  <c r="BC18" i="12"/>
  <c r="BC17" i="12"/>
  <c r="BC16" i="12"/>
  <c r="BC10" i="12"/>
  <c r="BC9" i="12"/>
  <c r="BC8" i="12"/>
  <c r="BC7" i="12"/>
  <c r="BC6" i="12"/>
  <c r="BC5" i="12"/>
  <c r="BC4" i="12"/>
  <c r="BG16" i="9" l="1"/>
  <c r="BG21" i="9"/>
  <c r="BG26" i="9"/>
  <c r="BG32" i="9"/>
  <c r="BG36" i="9"/>
  <c r="BG38" i="9"/>
  <c r="BF16" i="9"/>
  <c r="BF26" i="9"/>
  <c r="BF32" i="9"/>
  <c r="BF36" i="9"/>
  <c r="BF38" i="9"/>
  <c r="BF21" i="9"/>
  <c r="BG43" i="9"/>
  <c r="BF43" i="9"/>
  <c r="BG41" i="9"/>
  <c r="BF41" i="9"/>
  <c r="BG34" i="9"/>
  <c r="BG30" i="9"/>
  <c r="BG10" i="9"/>
  <c r="BF34" i="9"/>
  <c r="BF30" i="9"/>
  <c r="BF10" i="9"/>
  <c r="BG32" i="8"/>
  <c r="BG33" i="8" s="1"/>
  <c r="BG28" i="8"/>
  <c r="BE32" i="9"/>
  <c r="BE21" i="9"/>
  <c r="BE26" i="9"/>
  <c r="BE36" i="9"/>
  <c r="BE38" i="9"/>
  <c r="BE16" i="9"/>
  <c r="BE43" i="9"/>
  <c r="BE41" i="9"/>
  <c r="BE30" i="9"/>
  <c r="BE34" i="9"/>
  <c r="BE10" i="9"/>
  <c r="BD16" i="9"/>
  <c r="BD21" i="9"/>
  <c r="BD26" i="9"/>
  <c r="BD32" i="9"/>
  <c r="BD36" i="9"/>
  <c r="BD38" i="9"/>
  <c r="BD43" i="9"/>
  <c r="BD41" i="9"/>
  <c r="BD34" i="9"/>
  <c r="BD30" i="9"/>
  <c r="BC21" i="9"/>
  <c r="BC36" i="9"/>
  <c r="BC16" i="9"/>
  <c r="BC26" i="9"/>
  <c r="BC32" i="9"/>
  <c r="BC38" i="9"/>
  <c r="BC43" i="9"/>
  <c r="BC41" i="9"/>
  <c r="BC34" i="9"/>
  <c r="BC30" i="9"/>
  <c r="BC10" i="9"/>
  <c r="D40" i="6"/>
  <c r="D43" i="6"/>
  <c r="D45" i="6"/>
  <c r="BD18" i="8"/>
  <c r="BD26" i="8"/>
  <c r="BB26" i="9"/>
  <c r="BB32" i="9"/>
  <c r="BB36" i="9"/>
  <c r="BB38" i="9"/>
  <c r="BB16" i="9"/>
  <c r="BB21" i="9"/>
  <c r="BB43" i="9"/>
  <c r="BB41" i="9"/>
  <c r="BB34" i="9"/>
  <c r="BB30" i="9"/>
  <c r="BF20" i="8"/>
  <c r="BF27" i="8" s="1"/>
  <c r="BD50" i="12"/>
  <c r="BD40" i="12"/>
  <c r="BD65" i="12"/>
  <c r="BF50" i="12"/>
  <c r="BC40" i="12"/>
  <c r="BF40" i="12"/>
  <c r="BF65" i="12" s="1"/>
  <c r="BD25" i="12"/>
  <c r="BF25" i="12"/>
  <c r="BC61" i="12"/>
  <c r="BC64" i="12" s="1"/>
  <c r="BD11" i="12"/>
  <c r="BF11" i="12"/>
  <c r="BD11" i="8"/>
  <c r="BD12" i="8" s="1"/>
  <c r="BC26" i="8"/>
  <c r="BD20" i="8"/>
  <c r="BC11" i="8"/>
  <c r="BC12" i="8" s="1"/>
  <c r="BC18" i="8"/>
  <c r="BC20" i="8" s="1"/>
  <c r="BC21" i="8" s="1"/>
  <c r="BC25" i="12"/>
  <c r="BC11" i="12"/>
  <c r="BC50" i="12"/>
  <c r="G229" i="4"/>
  <c r="G228" i="4"/>
  <c r="G227" i="4"/>
  <c r="G226" i="4"/>
  <c r="G225" i="4"/>
  <c r="G224" i="4"/>
  <c r="G223" i="4"/>
  <c r="G222" i="4"/>
  <c r="G221" i="4"/>
  <c r="G220" i="4"/>
  <c r="G219" i="4"/>
  <c r="G218" i="4"/>
  <c r="G217" i="4"/>
  <c r="G216" i="4"/>
  <c r="G215" i="4"/>
  <c r="G214" i="4"/>
  <c r="G213" i="4"/>
  <c r="G212" i="4"/>
  <c r="G211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J50" i="6"/>
  <c r="I50" i="6"/>
  <c r="J49" i="6"/>
  <c r="I49" i="6"/>
  <c r="J48" i="6"/>
  <c r="I48" i="6"/>
  <c r="J47" i="6"/>
  <c r="I47" i="6"/>
  <c r="J46" i="6"/>
  <c r="I46" i="6"/>
  <c r="J45" i="6"/>
  <c r="I45" i="6"/>
  <c r="J44" i="6"/>
  <c r="I44" i="6"/>
  <c r="J43" i="6"/>
  <c r="I43" i="6"/>
  <c r="J42" i="6"/>
  <c r="I42" i="6"/>
  <c r="J41" i="6"/>
  <c r="I41" i="6"/>
  <c r="J40" i="6"/>
  <c r="I40" i="6"/>
  <c r="BB30" i="8"/>
  <c r="BC65" i="12" l="1"/>
  <c r="BF21" i="8"/>
  <c r="BF32" i="8"/>
  <c r="BF33" i="8" s="1"/>
  <c r="BF28" i="8"/>
  <c r="BF27" i="12"/>
  <c r="BD27" i="12"/>
  <c r="BD27" i="8"/>
  <c r="BD21" i="8"/>
  <c r="BC27" i="12"/>
  <c r="BC27" i="8"/>
  <c r="BC32" i="8" s="1"/>
  <c r="BC33" i="8" s="1"/>
  <c r="K31" i="6"/>
  <c r="K27" i="6"/>
  <c r="K23" i="6"/>
  <c r="K20" i="6"/>
  <c r="K16" i="6"/>
  <c r="M47" i="6"/>
  <c r="K22" i="6"/>
  <c r="BD32" i="8" l="1"/>
  <c r="BD33" i="8" s="1"/>
  <c r="BD28" i="8"/>
  <c r="BC28" i="8"/>
  <c r="M229" i="4"/>
  <c r="M228" i="4"/>
  <c r="M227" i="4"/>
  <c r="M226" i="4"/>
  <c r="M225" i="4"/>
  <c r="M224" i="4"/>
  <c r="M223" i="4"/>
  <c r="M222" i="4"/>
  <c r="M221" i="4"/>
  <c r="M220" i="4"/>
  <c r="M219" i="4"/>
  <c r="M218" i="4"/>
  <c r="M217" i="4"/>
  <c r="M216" i="4"/>
  <c r="M215" i="4"/>
  <c r="M214" i="4"/>
  <c r="M213" i="4"/>
  <c r="M212" i="4"/>
  <c r="M211" i="4"/>
  <c r="M210" i="4"/>
  <c r="M209" i="4"/>
  <c r="M208" i="4"/>
  <c r="M207" i="4"/>
  <c r="M206" i="4"/>
  <c r="M205" i="4"/>
  <c r="M204" i="4"/>
  <c r="M203" i="4"/>
  <c r="M202" i="4"/>
  <c r="M201" i="4"/>
  <c r="M200" i="4"/>
  <c r="M199" i="4"/>
  <c r="M198" i="4"/>
  <c r="M197" i="4"/>
  <c r="M196" i="4"/>
  <c r="M195" i="4"/>
  <c r="M194" i="4"/>
  <c r="M193" i="4"/>
  <c r="M192" i="4"/>
  <c r="M191" i="4"/>
  <c r="M190" i="4"/>
  <c r="M189" i="4"/>
  <c r="M188" i="4"/>
  <c r="BB63" i="12" l="1"/>
  <c r="BB59" i="12"/>
  <c r="BB54" i="12"/>
  <c r="BB55" i="12"/>
  <c r="BB56" i="12"/>
  <c r="BB52" i="12"/>
  <c r="BB48" i="12"/>
  <c r="BB44" i="12"/>
  <c r="BB45" i="12"/>
  <c r="BB46" i="12"/>
  <c r="BB49" i="12"/>
  <c r="BB43" i="12"/>
  <c r="BB37" i="12"/>
  <c r="BB39" i="12"/>
  <c r="BB36" i="12"/>
  <c r="BB38" i="12"/>
  <c r="BB32" i="12"/>
  <c r="BB34" i="12"/>
  <c r="BB33" i="12"/>
  <c r="BB35" i="12"/>
  <c r="BB23" i="12"/>
  <c r="BB24" i="12"/>
  <c r="BB21" i="12"/>
  <c r="BB19" i="12"/>
  <c r="BB20" i="12"/>
  <c r="BB18" i="12"/>
  <c r="BB16" i="12"/>
  <c r="BB17" i="12"/>
  <c r="BB9" i="12"/>
  <c r="BB10" i="12"/>
  <c r="BB8" i="12"/>
  <c r="BB7" i="12"/>
  <c r="BB6" i="12"/>
  <c r="BB5" i="12"/>
  <c r="BB4" i="12"/>
  <c r="BB40" i="12" l="1"/>
  <c r="BB57" i="12"/>
  <c r="BB61" i="12" s="1"/>
  <c r="BB64" i="12" s="1"/>
  <c r="BB22" i="12"/>
  <c r="BB25" i="12" s="1"/>
  <c r="BB50" i="12"/>
  <c r="BB11" i="12"/>
  <c r="H229" i="4"/>
  <c r="H228" i="4"/>
  <c r="H227" i="4"/>
  <c r="H226" i="4"/>
  <c r="H225" i="4"/>
  <c r="H224" i="4"/>
  <c r="H223" i="4"/>
  <c r="H222" i="4"/>
  <c r="H221" i="4"/>
  <c r="H220" i="4"/>
  <c r="H219" i="4"/>
  <c r="H218" i="4"/>
  <c r="H217" i="4"/>
  <c r="H216" i="4"/>
  <c r="H215" i="4"/>
  <c r="H214" i="4"/>
  <c r="H213" i="4"/>
  <c r="H212" i="4"/>
  <c r="H211" i="4"/>
  <c r="H210" i="4"/>
  <c r="H209" i="4"/>
  <c r="H208" i="4"/>
  <c r="H207" i="4"/>
  <c r="H206" i="4"/>
  <c r="H205" i="4"/>
  <c r="H204" i="4"/>
  <c r="H203" i="4"/>
  <c r="H202" i="4"/>
  <c r="H201" i="4"/>
  <c r="H200" i="4"/>
  <c r="H199" i="4"/>
  <c r="H198" i="4"/>
  <c r="H197" i="4"/>
  <c r="H196" i="4"/>
  <c r="H195" i="4"/>
  <c r="H194" i="4"/>
  <c r="H193" i="4"/>
  <c r="H192" i="4"/>
  <c r="H191" i="4"/>
  <c r="H190" i="4"/>
  <c r="H189" i="4"/>
  <c r="H188" i="4"/>
  <c r="I229" i="4"/>
  <c r="I228" i="4"/>
  <c r="I227" i="4"/>
  <c r="I226" i="4"/>
  <c r="I225" i="4"/>
  <c r="I224" i="4"/>
  <c r="I223" i="4"/>
  <c r="I222" i="4"/>
  <c r="I221" i="4"/>
  <c r="I220" i="4"/>
  <c r="I219" i="4"/>
  <c r="I218" i="4"/>
  <c r="I217" i="4"/>
  <c r="I216" i="4"/>
  <c r="I215" i="4"/>
  <c r="I214" i="4"/>
  <c r="I213" i="4"/>
  <c r="I212" i="4"/>
  <c r="I211" i="4"/>
  <c r="I210" i="4"/>
  <c r="I209" i="4"/>
  <c r="I208" i="4"/>
  <c r="I207" i="4"/>
  <c r="I206" i="4"/>
  <c r="I205" i="4"/>
  <c r="I204" i="4"/>
  <c r="I203" i="4"/>
  <c r="I202" i="4"/>
  <c r="I201" i="4"/>
  <c r="I200" i="4"/>
  <c r="I199" i="4"/>
  <c r="I198" i="4"/>
  <c r="I197" i="4"/>
  <c r="I196" i="4"/>
  <c r="I195" i="4"/>
  <c r="I194" i="4"/>
  <c r="I193" i="4"/>
  <c r="I192" i="4"/>
  <c r="I191" i="4"/>
  <c r="I190" i="4"/>
  <c r="I189" i="4"/>
  <c r="I188" i="4"/>
  <c r="J229" i="4"/>
  <c r="J228" i="4"/>
  <c r="J227" i="4"/>
  <c r="J226" i="4"/>
  <c r="J225" i="4"/>
  <c r="J224" i="4"/>
  <c r="J223" i="4"/>
  <c r="J222" i="4"/>
  <c r="J221" i="4"/>
  <c r="J220" i="4"/>
  <c r="J219" i="4"/>
  <c r="J218" i="4"/>
  <c r="J217" i="4"/>
  <c r="J216" i="4"/>
  <c r="J215" i="4"/>
  <c r="J214" i="4"/>
  <c r="J213" i="4"/>
  <c r="J212" i="4"/>
  <c r="J211" i="4"/>
  <c r="J210" i="4"/>
  <c r="J209" i="4"/>
  <c r="J208" i="4"/>
  <c r="J207" i="4"/>
  <c r="J206" i="4"/>
  <c r="J205" i="4"/>
  <c r="J204" i="4"/>
  <c r="J203" i="4"/>
  <c r="J202" i="4"/>
  <c r="J201" i="4"/>
  <c r="J200" i="4"/>
  <c r="J199" i="4"/>
  <c r="J198" i="4"/>
  <c r="J197" i="4"/>
  <c r="J196" i="4"/>
  <c r="J195" i="4"/>
  <c r="J194" i="4"/>
  <c r="J193" i="4"/>
  <c r="J192" i="4"/>
  <c r="J191" i="4"/>
  <c r="J190" i="4"/>
  <c r="J189" i="4"/>
  <c r="J188" i="4"/>
  <c r="K229" i="4"/>
  <c r="K228" i="4"/>
  <c r="K227" i="4"/>
  <c r="K226" i="4"/>
  <c r="K225" i="4"/>
  <c r="K224" i="4"/>
  <c r="K223" i="4"/>
  <c r="K222" i="4"/>
  <c r="K221" i="4"/>
  <c r="K220" i="4"/>
  <c r="K219" i="4"/>
  <c r="K218" i="4"/>
  <c r="K217" i="4"/>
  <c r="K216" i="4"/>
  <c r="K215" i="4"/>
  <c r="K214" i="4"/>
  <c r="K213" i="4"/>
  <c r="K212" i="4"/>
  <c r="K211" i="4"/>
  <c r="K210" i="4"/>
  <c r="K209" i="4"/>
  <c r="K208" i="4"/>
  <c r="K207" i="4"/>
  <c r="K206" i="4"/>
  <c r="K205" i="4"/>
  <c r="K204" i="4"/>
  <c r="K203" i="4"/>
  <c r="K202" i="4"/>
  <c r="K201" i="4"/>
  <c r="K200" i="4"/>
  <c r="K199" i="4"/>
  <c r="K198" i="4"/>
  <c r="K197" i="4"/>
  <c r="K196" i="4"/>
  <c r="K195" i="4"/>
  <c r="K194" i="4"/>
  <c r="K193" i="4"/>
  <c r="K192" i="4"/>
  <c r="K191" i="4"/>
  <c r="K190" i="4"/>
  <c r="K189" i="4"/>
  <c r="K188" i="4"/>
  <c r="L229" i="4"/>
  <c r="L228" i="4"/>
  <c r="L227" i="4"/>
  <c r="L226" i="4"/>
  <c r="L225" i="4"/>
  <c r="L224" i="4"/>
  <c r="L223" i="4"/>
  <c r="L222" i="4"/>
  <c r="L221" i="4"/>
  <c r="L220" i="4"/>
  <c r="L219" i="4"/>
  <c r="L218" i="4"/>
  <c r="L217" i="4"/>
  <c r="L216" i="4"/>
  <c r="L215" i="4"/>
  <c r="L214" i="4"/>
  <c r="L213" i="4"/>
  <c r="L212" i="4"/>
  <c r="L211" i="4"/>
  <c r="L210" i="4"/>
  <c r="L209" i="4"/>
  <c r="L208" i="4"/>
  <c r="L207" i="4"/>
  <c r="L206" i="4"/>
  <c r="L205" i="4"/>
  <c r="L204" i="4"/>
  <c r="L203" i="4"/>
  <c r="L202" i="4"/>
  <c r="L201" i="4"/>
  <c r="L200" i="4"/>
  <c r="L199" i="4"/>
  <c r="L198" i="4"/>
  <c r="L197" i="4"/>
  <c r="L196" i="4"/>
  <c r="L195" i="4"/>
  <c r="L194" i="4"/>
  <c r="L193" i="4"/>
  <c r="L192" i="4"/>
  <c r="L191" i="4"/>
  <c r="L190" i="4"/>
  <c r="L189" i="4"/>
  <c r="L188" i="4"/>
  <c r="BB65" i="12" l="1"/>
  <c r="BB27" i="12"/>
  <c r="BB29" i="8"/>
  <c r="BB25" i="8"/>
  <c r="BB24" i="8"/>
  <c r="BB23" i="8"/>
  <c r="BB19" i="8"/>
  <c r="BB17" i="8"/>
  <c r="BB16" i="8"/>
  <c r="BB15" i="8"/>
  <c r="BB14" i="8"/>
  <c r="BB10" i="8"/>
  <c r="BB5" i="8"/>
  <c r="BB35" i="8" s="1"/>
  <c r="BB18" i="8" l="1"/>
  <c r="BB26" i="8"/>
  <c r="BB11" i="8"/>
  <c r="BB12" i="8" s="1"/>
  <c r="K38" i="6"/>
  <c r="K37" i="6"/>
  <c r="K36" i="6"/>
  <c r="K35" i="6"/>
  <c r="K34" i="6"/>
  <c r="K33" i="6"/>
  <c r="K32" i="6"/>
  <c r="K50" i="6" s="1"/>
  <c r="K30" i="6"/>
  <c r="K29" i="6"/>
  <c r="K28" i="6"/>
  <c r="K26" i="6"/>
  <c r="K25" i="6"/>
  <c r="K24" i="6"/>
  <c r="K21" i="6"/>
  <c r="K46" i="6" s="1"/>
  <c r="K19" i="6"/>
  <c r="K18" i="6"/>
  <c r="K17" i="6"/>
  <c r="K15" i="6"/>
  <c r="K14" i="6"/>
  <c r="K13" i="6"/>
  <c r="K12" i="6"/>
  <c r="K11" i="6"/>
  <c r="K10" i="6"/>
  <c r="K9" i="6"/>
  <c r="K8" i="6"/>
  <c r="K42" i="6" s="1"/>
  <c r="K7" i="6"/>
  <c r="K6" i="6"/>
  <c r="K5" i="6"/>
  <c r="K4" i="6"/>
  <c r="K3" i="6"/>
  <c r="M50" i="6"/>
  <c r="M49" i="6"/>
  <c r="M48" i="6"/>
  <c r="M46" i="6"/>
  <c r="M45" i="6"/>
  <c r="M44" i="6"/>
  <c r="M43" i="6"/>
  <c r="M42" i="6"/>
  <c r="M41" i="6"/>
  <c r="M40" i="6"/>
  <c r="N50" i="6"/>
  <c r="N49" i="6"/>
  <c r="N48" i="6"/>
  <c r="N47" i="6"/>
  <c r="N46" i="6"/>
  <c r="N45" i="6"/>
  <c r="N44" i="6"/>
  <c r="N43" i="6"/>
  <c r="N42" i="6"/>
  <c r="N41" i="6"/>
  <c r="N40" i="6"/>
  <c r="O50" i="6"/>
  <c r="O49" i="6"/>
  <c r="O48" i="6"/>
  <c r="O47" i="6"/>
  <c r="O46" i="6"/>
  <c r="O45" i="6"/>
  <c r="O44" i="6"/>
  <c r="O43" i="6"/>
  <c r="O42" i="6"/>
  <c r="O41" i="6"/>
  <c r="O40" i="6"/>
  <c r="BR50" i="6"/>
  <c r="BQ50" i="6"/>
  <c r="BP50" i="6"/>
  <c r="BO50" i="6"/>
  <c r="BN50" i="6"/>
  <c r="BM50" i="6"/>
  <c r="BL50" i="6"/>
  <c r="BK50" i="6"/>
  <c r="BJ50" i="6"/>
  <c r="BI50" i="6"/>
  <c r="BH50" i="6"/>
  <c r="BG50" i="6"/>
  <c r="BF50" i="6"/>
  <c r="BE50" i="6"/>
  <c r="BD50" i="6"/>
  <c r="BC50" i="6"/>
  <c r="BB50" i="6"/>
  <c r="BA50" i="6"/>
  <c r="AZ50" i="6"/>
  <c r="AY50" i="6"/>
  <c r="AX50" i="6"/>
  <c r="AW50" i="6"/>
  <c r="AV50" i="6"/>
  <c r="AU50" i="6"/>
  <c r="AT50" i="6"/>
  <c r="AS50" i="6"/>
  <c r="AR50" i="6"/>
  <c r="AQ50" i="6"/>
  <c r="AP50" i="6"/>
  <c r="AO50" i="6"/>
  <c r="AN50" i="6"/>
  <c r="AM50" i="6"/>
  <c r="AL50" i="6"/>
  <c r="AK50" i="6"/>
  <c r="AJ50" i="6"/>
  <c r="AI50" i="6"/>
  <c r="AH50" i="6"/>
  <c r="AG50" i="6"/>
  <c r="AF50" i="6"/>
  <c r="AE50" i="6"/>
  <c r="AD50" i="6"/>
  <c r="AC50" i="6"/>
  <c r="AB50" i="6"/>
  <c r="AA50" i="6"/>
  <c r="Z50" i="6"/>
  <c r="Y50" i="6"/>
  <c r="X50" i="6"/>
  <c r="W50" i="6"/>
  <c r="V50" i="6"/>
  <c r="BR49" i="6"/>
  <c r="BQ49" i="6"/>
  <c r="BP49" i="6"/>
  <c r="BO49" i="6"/>
  <c r="BN49" i="6"/>
  <c r="BM49" i="6"/>
  <c r="BL49" i="6"/>
  <c r="BK49" i="6"/>
  <c r="BJ49" i="6"/>
  <c r="BI49" i="6"/>
  <c r="BH49" i="6"/>
  <c r="BG49" i="6"/>
  <c r="BF49" i="6"/>
  <c r="BE49" i="6"/>
  <c r="BD49" i="6"/>
  <c r="BC49" i="6"/>
  <c r="BB49" i="6"/>
  <c r="BA49" i="6"/>
  <c r="AZ49" i="6"/>
  <c r="AY49" i="6"/>
  <c r="AX49" i="6"/>
  <c r="AW49" i="6"/>
  <c r="AV49" i="6"/>
  <c r="AU49" i="6"/>
  <c r="AT49" i="6"/>
  <c r="AS49" i="6"/>
  <c r="AR49" i="6"/>
  <c r="AQ49" i="6"/>
  <c r="AP49" i="6"/>
  <c r="AO49" i="6"/>
  <c r="AN49" i="6"/>
  <c r="AM49" i="6"/>
  <c r="AL49" i="6"/>
  <c r="AK49" i="6"/>
  <c r="AJ49" i="6"/>
  <c r="AI49" i="6"/>
  <c r="AH49" i="6"/>
  <c r="AG49" i="6"/>
  <c r="AF49" i="6"/>
  <c r="AE49" i="6"/>
  <c r="AD49" i="6"/>
  <c r="AC49" i="6"/>
  <c r="AB49" i="6"/>
  <c r="AA49" i="6"/>
  <c r="Z49" i="6"/>
  <c r="Y49" i="6"/>
  <c r="X49" i="6"/>
  <c r="W49" i="6"/>
  <c r="V49" i="6"/>
  <c r="BR48" i="6"/>
  <c r="BQ48" i="6"/>
  <c r="BP48" i="6"/>
  <c r="BO48" i="6"/>
  <c r="BN48" i="6"/>
  <c r="BM48" i="6"/>
  <c r="BL48" i="6"/>
  <c r="BK48" i="6"/>
  <c r="BJ48" i="6"/>
  <c r="BI48" i="6"/>
  <c r="BH48" i="6"/>
  <c r="BG48" i="6"/>
  <c r="BF48" i="6"/>
  <c r="BE48" i="6"/>
  <c r="BD48" i="6"/>
  <c r="BC48" i="6"/>
  <c r="BB48" i="6"/>
  <c r="BA48" i="6"/>
  <c r="AZ48" i="6"/>
  <c r="AY48" i="6"/>
  <c r="AX48" i="6"/>
  <c r="AW48" i="6"/>
  <c r="AV48" i="6"/>
  <c r="AU48" i="6"/>
  <c r="AT48" i="6"/>
  <c r="AS48" i="6"/>
  <c r="AR48" i="6"/>
  <c r="AQ48" i="6"/>
  <c r="AP48" i="6"/>
  <c r="AO48" i="6"/>
  <c r="AN48" i="6"/>
  <c r="AM48" i="6"/>
  <c r="AL48" i="6"/>
  <c r="AK48" i="6"/>
  <c r="AJ48" i="6"/>
  <c r="AI48" i="6"/>
  <c r="AH48" i="6"/>
  <c r="AG48" i="6"/>
  <c r="AF48" i="6"/>
  <c r="AE48" i="6"/>
  <c r="AD48" i="6"/>
  <c r="AC48" i="6"/>
  <c r="AB48" i="6"/>
  <c r="AA48" i="6"/>
  <c r="Z48" i="6"/>
  <c r="Y48" i="6"/>
  <c r="X48" i="6"/>
  <c r="W48" i="6"/>
  <c r="V48" i="6"/>
  <c r="BR47" i="6"/>
  <c r="BQ47" i="6"/>
  <c r="BP47" i="6"/>
  <c r="BO47" i="6"/>
  <c r="BN47" i="6"/>
  <c r="BM47" i="6"/>
  <c r="BL47" i="6"/>
  <c r="BK47" i="6"/>
  <c r="BJ47" i="6"/>
  <c r="BI47" i="6"/>
  <c r="BH47" i="6"/>
  <c r="BG47" i="6"/>
  <c r="BF47" i="6"/>
  <c r="BE47" i="6"/>
  <c r="BD47" i="6"/>
  <c r="BC47" i="6"/>
  <c r="BB47" i="6"/>
  <c r="BA47" i="6"/>
  <c r="AZ47" i="6"/>
  <c r="AY47" i="6"/>
  <c r="AX47" i="6"/>
  <c r="AW47" i="6"/>
  <c r="AV47" i="6"/>
  <c r="AU47" i="6"/>
  <c r="AT47" i="6"/>
  <c r="AS47" i="6"/>
  <c r="AR47" i="6"/>
  <c r="AQ47" i="6"/>
  <c r="AP47" i="6"/>
  <c r="AO47" i="6"/>
  <c r="AN47" i="6"/>
  <c r="AM47" i="6"/>
  <c r="AL47" i="6"/>
  <c r="AK47" i="6"/>
  <c r="AJ47" i="6"/>
  <c r="AI47" i="6"/>
  <c r="AH47" i="6"/>
  <c r="AG47" i="6"/>
  <c r="AF47" i="6"/>
  <c r="AE47" i="6"/>
  <c r="AD47" i="6"/>
  <c r="AC47" i="6"/>
  <c r="AB47" i="6"/>
  <c r="AA47" i="6"/>
  <c r="Z47" i="6"/>
  <c r="Y47" i="6"/>
  <c r="X47" i="6"/>
  <c r="W47" i="6"/>
  <c r="V47" i="6"/>
  <c r="BR46" i="6"/>
  <c r="BQ46" i="6"/>
  <c r="BP46" i="6"/>
  <c r="BO46" i="6"/>
  <c r="BN46" i="6"/>
  <c r="BM46" i="6"/>
  <c r="BL46" i="6"/>
  <c r="BK46" i="6"/>
  <c r="BJ46" i="6"/>
  <c r="BI46" i="6"/>
  <c r="BH46" i="6"/>
  <c r="BG46" i="6"/>
  <c r="BF46" i="6"/>
  <c r="BE46" i="6"/>
  <c r="BD46" i="6"/>
  <c r="BC46" i="6"/>
  <c r="BB46" i="6"/>
  <c r="BA46" i="6"/>
  <c r="AZ46" i="6"/>
  <c r="AY46" i="6"/>
  <c r="AX46" i="6"/>
  <c r="AW46" i="6"/>
  <c r="AV46" i="6"/>
  <c r="AU46" i="6"/>
  <c r="AT46" i="6"/>
  <c r="AS46" i="6"/>
  <c r="AR46" i="6"/>
  <c r="AQ46" i="6"/>
  <c r="AP46" i="6"/>
  <c r="AO46" i="6"/>
  <c r="AN46" i="6"/>
  <c r="AM46" i="6"/>
  <c r="AL46" i="6"/>
  <c r="AK46" i="6"/>
  <c r="AJ46" i="6"/>
  <c r="AI46" i="6"/>
  <c r="AH46" i="6"/>
  <c r="AG46" i="6"/>
  <c r="AF46" i="6"/>
  <c r="AE46" i="6"/>
  <c r="AD46" i="6"/>
  <c r="AC46" i="6"/>
  <c r="AB46" i="6"/>
  <c r="AA46" i="6"/>
  <c r="Z46" i="6"/>
  <c r="Y46" i="6"/>
  <c r="X46" i="6"/>
  <c r="W46" i="6"/>
  <c r="V46" i="6"/>
  <c r="BR45" i="6"/>
  <c r="BQ45" i="6"/>
  <c r="BP45" i="6"/>
  <c r="BO45" i="6"/>
  <c r="BN45" i="6"/>
  <c r="BM45" i="6"/>
  <c r="BL45" i="6"/>
  <c r="BK45" i="6"/>
  <c r="BJ45" i="6"/>
  <c r="BI45" i="6"/>
  <c r="BH45" i="6"/>
  <c r="BG45" i="6"/>
  <c r="BF45" i="6"/>
  <c r="BE45" i="6"/>
  <c r="BD45" i="6"/>
  <c r="BC45" i="6"/>
  <c r="BB45" i="6"/>
  <c r="BA45" i="6"/>
  <c r="AZ45" i="6"/>
  <c r="AY45" i="6"/>
  <c r="AX45" i="6"/>
  <c r="AW45" i="6"/>
  <c r="AV45" i="6"/>
  <c r="AU45" i="6"/>
  <c r="AT45" i="6"/>
  <c r="AS45" i="6"/>
  <c r="AR45" i="6"/>
  <c r="AQ45" i="6"/>
  <c r="AP45" i="6"/>
  <c r="AO45" i="6"/>
  <c r="AN45" i="6"/>
  <c r="AM45" i="6"/>
  <c r="AL45" i="6"/>
  <c r="AK45" i="6"/>
  <c r="AJ45" i="6"/>
  <c r="AI45" i="6"/>
  <c r="AH45" i="6"/>
  <c r="AG45" i="6"/>
  <c r="AF45" i="6"/>
  <c r="AE45" i="6"/>
  <c r="AD45" i="6"/>
  <c r="AC45" i="6"/>
  <c r="AB45" i="6"/>
  <c r="AA45" i="6"/>
  <c r="Z45" i="6"/>
  <c r="Y45" i="6"/>
  <c r="X45" i="6"/>
  <c r="W45" i="6"/>
  <c r="V45" i="6"/>
  <c r="BR44" i="6"/>
  <c r="BQ44" i="6"/>
  <c r="BP44" i="6"/>
  <c r="BO44" i="6"/>
  <c r="BN44" i="6"/>
  <c r="BM44" i="6"/>
  <c r="BL44" i="6"/>
  <c r="BK44" i="6"/>
  <c r="BJ44" i="6"/>
  <c r="BI44" i="6"/>
  <c r="BH44" i="6"/>
  <c r="BG44" i="6"/>
  <c r="BF44" i="6"/>
  <c r="BE44" i="6"/>
  <c r="BD44" i="6"/>
  <c r="BC44" i="6"/>
  <c r="BB44" i="6"/>
  <c r="BA44" i="6"/>
  <c r="AZ44" i="6"/>
  <c r="AY44" i="6"/>
  <c r="AX44" i="6"/>
  <c r="AW44" i="6"/>
  <c r="AV44" i="6"/>
  <c r="AU44" i="6"/>
  <c r="AT44" i="6"/>
  <c r="AS44" i="6"/>
  <c r="AR44" i="6"/>
  <c r="AQ44" i="6"/>
  <c r="AP44" i="6"/>
  <c r="AO44" i="6"/>
  <c r="AN44" i="6"/>
  <c r="AM44" i="6"/>
  <c r="AL44" i="6"/>
  <c r="AK44" i="6"/>
  <c r="AJ44" i="6"/>
  <c r="AI44" i="6"/>
  <c r="AH44" i="6"/>
  <c r="AG44" i="6"/>
  <c r="AF44" i="6"/>
  <c r="AE44" i="6"/>
  <c r="AD44" i="6"/>
  <c r="AC44" i="6"/>
  <c r="AB44" i="6"/>
  <c r="AA44" i="6"/>
  <c r="Z44" i="6"/>
  <c r="Y44" i="6"/>
  <c r="X44" i="6"/>
  <c r="W44" i="6"/>
  <c r="V44" i="6"/>
  <c r="BR43" i="6"/>
  <c r="BQ43" i="6"/>
  <c r="BP43" i="6"/>
  <c r="BO43" i="6"/>
  <c r="BN43" i="6"/>
  <c r="BM43" i="6"/>
  <c r="BL43" i="6"/>
  <c r="BK43" i="6"/>
  <c r="BJ43" i="6"/>
  <c r="BI43" i="6"/>
  <c r="BH43" i="6"/>
  <c r="BG43" i="6"/>
  <c r="BF43" i="6"/>
  <c r="BE43" i="6"/>
  <c r="BD43" i="6"/>
  <c r="BC43" i="6"/>
  <c r="BB43" i="6"/>
  <c r="BA43" i="6"/>
  <c r="AZ43" i="6"/>
  <c r="AY43" i="6"/>
  <c r="AX43" i="6"/>
  <c r="AW43" i="6"/>
  <c r="AV43" i="6"/>
  <c r="AU43" i="6"/>
  <c r="AT43" i="6"/>
  <c r="AS43" i="6"/>
  <c r="AR43" i="6"/>
  <c r="AQ43" i="6"/>
  <c r="AP43" i="6"/>
  <c r="AO43" i="6"/>
  <c r="AN43" i="6"/>
  <c r="AM43" i="6"/>
  <c r="AL43" i="6"/>
  <c r="AK43" i="6"/>
  <c r="AJ43" i="6"/>
  <c r="AI43" i="6"/>
  <c r="AH43" i="6"/>
  <c r="AG43" i="6"/>
  <c r="AF43" i="6"/>
  <c r="AE43" i="6"/>
  <c r="AD43" i="6"/>
  <c r="AC43" i="6"/>
  <c r="AB43" i="6"/>
  <c r="AA43" i="6"/>
  <c r="Z43" i="6"/>
  <c r="Y43" i="6"/>
  <c r="X43" i="6"/>
  <c r="W43" i="6"/>
  <c r="V43" i="6"/>
  <c r="BR42" i="6"/>
  <c r="BQ42" i="6"/>
  <c r="BP42" i="6"/>
  <c r="BO42" i="6"/>
  <c r="BN42" i="6"/>
  <c r="BM42" i="6"/>
  <c r="BL42" i="6"/>
  <c r="BK42" i="6"/>
  <c r="BJ42" i="6"/>
  <c r="BI42" i="6"/>
  <c r="BH42" i="6"/>
  <c r="BG42" i="6"/>
  <c r="BF42" i="6"/>
  <c r="BE42" i="6"/>
  <c r="BD42" i="6"/>
  <c r="BC42" i="6"/>
  <c r="BB42" i="6"/>
  <c r="BA42" i="6"/>
  <c r="AZ42" i="6"/>
  <c r="AY42" i="6"/>
  <c r="AX42" i="6"/>
  <c r="AW42" i="6"/>
  <c r="AV42" i="6"/>
  <c r="AU42" i="6"/>
  <c r="AT42" i="6"/>
  <c r="AS42" i="6"/>
  <c r="AR42" i="6"/>
  <c r="AQ42" i="6"/>
  <c r="AP42" i="6"/>
  <c r="AO42" i="6"/>
  <c r="AN42" i="6"/>
  <c r="AM42" i="6"/>
  <c r="AL42" i="6"/>
  <c r="AK42" i="6"/>
  <c r="AJ42" i="6"/>
  <c r="AI42" i="6"/>
  <c r="AH42" i="6"/>
  <c r="AG42" i="6"/>
  <c r="AF42" i="6"/>
  <c r="AE42" i="6"/>
  <c r="AD42" i="6"/>
  <c r="AC42" i="6"/>
  <c r="AB42" i="6"/>
  <c r="AA42" i="6"/>
  <c r="Z42" i="6"/>
  <c r="Y42" i="6"/>
  <c r="X42" i="6"/>
  <c r="W42" i="6"/>
  <c r="V42" i="6"/>
  <c r="BR41" i="6"/>
  <c r="BQ41" i="6"/>
  <c r="BP41" i="6"/>
  <c r="BO41" i="6"/>
  <c r="BN41" i="6"/>
  <c r="BM41" i="6"/>
  <c r="BL41" i="6"/>
  <c r="BK41" i="6"/>
  <c r="BJ41" i="6"/>
  <c r="BI41" i="6"/>
  <c r="BH41" i="6"/>
  <c r="BG41" i="6"/>
  <c r="BF41" i="6"/>
  <c r="BE41" i="6"/>
  <c r="BD41" i="6"/>
  <c r="BC41" i="6"/>
  <c r="BB41" i="6"/>
  <c r="BA41" i="6"/>
  <c r="AZ41" i="6"/>
  <c r="AY41" i="6"/>
  <c r="AX41" i="6"/>
  <c r="AW41" i="6"/>
  <c r="AV41" i="6"/>
  <c r="AU41" i="6"/>
  <c r="AT41" i="6"/>
  <c r="AS41" i="6"/>
  <c r="AR41" i="6"/>
  <c r="AQ41" i="6"/>
  <c r="AP41" i="6"/>
  <c r="AO41" i="6"/>
  <c r="AN41" i="6"/>
  <c r="AM41" i="6"/>
  <c r="AL41" i="6"/>
  <c r="AK41" i="6"/>
  <c r="AJ41" i="6"/>
  <c r="AI41" i="6"/>
  <c r="AH41" i="6"/>
  <c r="AG41" i="6"/>
  <c r="AF41" i="6"/>
  <c r="AE41" i="6"/>
  <c r="AD41" i="6"/>
  <c r="AC41" i="6"/>
  <c r="AB41" i="6"/>
  <c r="AA41" i="6"/>
  <c r="Z41" i="6"/>
  <c r="Y41" i="6"/>
  <c r="X41" i="6"/>
  <c r="W41" i="6"/>
  <c r="V41" i="6"/>
  <c r="BR40" i="6"/>
  <c r="BQ40" i="6"/>
  <c r="BP40" i="6"/>
  <c r="BO40" i="6"/>
  <c r="BN40" i="6"/>
  <c r="BM40" i="6"/>
  <c r="BL40" i="6"/>
  <c r="BK40" i="6"/>
  <c r="BJ40" i="6"/>
  <c r="BI40" i="6"/>
  <c r="BH40" i="6"/>
  <c r="BG40" i="6"/>
  <c r="BF40" i="6"/>
  <c r="BE40" i="6"/>
  <c r="BD40" i="6"/>
  <c r="BC40" i="6"/>
  <c r="BB40" i="6"/>
  <c r="BA40" i="6"/>
  <c r="AZ40" i="6"/>
  <c r="AY40" i="6"/>
  <c r="AX40" i="6"/>
  <c r="AW40" i="6"/>
  <c r="AV40" i="6"/>
  <c r="AU40" i="6"/>
  <c r="AT40" i="6"/>
  <c r="AS40" i="6"/>
  <c r="AR40" i="6"/>
  <c r="AQ40" i="6"/>
  <c r="AP40" i="6"/>
  <c r="AO40" i="6"/>
  <c r="AN40" i="6"/>
  <c r="AM40" i="6"/>
  <c r="AL40" i="6"/>
  <c r="AK40" i="6"/>
  <c r="AJ40" i="6"/>
  <c r="AI40" i="6"/>
  <c r="AH40" i="6"/>
  <c r="AG40" i="6"/>
  <c r="AF40" i="6"/>
  <c r="AE40" i="6"/>
  <c r="AD40" i="6"/>
  <c r="AC40" i="6"/>
  <c r="AB40" i="6"/>
  <c r="AA40" i="6"/>
  <c r="Z40" i="6"/>
  <c r="Y40" i="6"/>
  <c r="X40" i="6"/>
  <c r="W40" i="6"/>
  <c r="V40" i="6"/>
  <c r="U50" i="6"/>
  <c r="U49" i="6"/>
  <c r="U48" i="6"/>
  <c r="U47" i="6"/>
  <c r="U46" i="6"/>
  <c r="U45" i="6"/>
  <c r="U44" i="6"/>
  <c r="U43" i="6"/>
  <c r="U42" i="6"/>
  <c r="U41" i="6"/>
  <c r="U40" i="6"/>
  <c r="T50" i="6"/>
  <c r="T49" i="6"/>
  <c r="T48" i="6"/>
  <c r="T47" i="6"/>
  <c r="T46" i="6"/>
  <c r="T45" i="6"/>
  <c r="T44" i="6"/>
  <c r="T43" i="6"/>
  <c r="T42" i="6"/>
  <c r="T41" i="6"/>
  <c r="T40" i="6"/>
  <c r="S50" i="6"/>
  <c r="S49" i="6"/>
  <c r="S48" i="6"/>
  <c r="S47" i="6"/>
  <c r="S46" i="6"/>
  <c r="S45" i="6"/>
  <c r="S44" i="6"/>
  <c r="S43" i="6"/>
  <c r="S42" i="6"/>
  <c r="S41" i="6"/>
  <c r="S40" i="6"/>
  <c r="R50" i="6"/>
  <c r="R49" i="6"/>
  <c r="R48" i="6"/>
  <c r="R47" i="6"/>
  <c r="R46" i="6"/>
  <c r="R45" i="6"/>
  <c r="R44" i="6"/>
  <c r="R43" i="6"/>
  <c r="R42" i="6"/>
  <c r="R41" i="6"/>
  <c r="R40" i="6"/>
  <c r="Q50" i="6"/>
  <c r="Q49" i="6"/>
  <c r="Q48" i="6"/>
  <c r="Q47" i="6"/>
  <c r="Q46" i="6"/>
  <c r="Q45" i="6"/>
  <c r="Q44" i="6"/>
  <c r="Q43" i="6"/>
  <c r="Q42" i="6"/>
  <c r="Q41" i="6"/>
  <c r="Q40" i="6"/>
  <c r="K43" i="6" l="1"/>
  <c r="K47" i="6"/>
  <c r="K45" i="6"/>
  <c r="K44" i="6"/>
  <c r="K40" i="6"/>
  <c r="K41" i="6"/>
  <c r="K48" i="6"/>
  <c r="K49" i="6"/>
  <c r="BB20" i="8"/>
  <c r="P50" i="6"/>
  <c r="P49" i="6"/>
  <c r="P48" i="6"/>
  <c r="P47" i="6"/>
  <c r="P46" i="6"/>
  <c r="P45" i="6"/>
  <c r="P44" i="6"/>
  <c r="P43" i="6"/>
  <c r="P42" i="6"/>
  <c r="P41" i="6"/>
  <c r="P40" i="6"/>
  <c r="BB27" i="8" l="1"/>
  <c r="BB21" i="8"/>
  <c r="T59" i="12"/>
  <c r="BB32" i="8" l="1"/>
  <c r="BB33" i="8" s="1"/>
  <c r="BB28" i="8"/>
  <c r="O25" i="12"/>
  <c r="AD57" i="12"/>
  <c r="AD35" i="12"/>
  <c r="AD32" i="12"/>
  <c r="M5" i="7" l="1"/>
  <c r="AZ8" i="10"/>
  <c r="AK4" i="9"/>
  <c r="AK9" i="9" s="1"/>
  <c r="AP9" i="9"/>
  <c r="AK8" i="9"/>
  <c r="AY8" i="10"/>
  <c r="BA43" i="9"/>
  <c r="BA42" i="9"/>
  <c r="BA41" i="9"/>
  <c r="BA40" i="9"/>
  <c r="BA38" i="9"/>
  <c r="BA37" i="9"/>
  <c r="BA36" i="9"/>
  <c r="BA35" i="9"/>
  <c r="BA34" i="9"/>
  <c r="BA32" i="9"/>
  <c r="BA33" i="9"/>
  <c r="BA31" i="9"/>
  <c r="BA30" i="9"/>
  <c r="BA29" i="9"/>
  <c r="BA27" i="9"/>
  <c r="BA21" i="9" s="1"/>
  <c r="BA25" i="9"/>
  <c r="BA20" i="9"/>
  <c r="BA15" i="9"/>
  <c r="BA9" i="9"/>
  <c r="AY25" i="9"/>
  <c r="AY20" i="9"/>
  <c r="AY15" i="9"/>
  <c r="AY9" i="9"/>
  <c r="AY27" i="9" l="1"/>
  <c r="AY29" i="9"/>
  <c r="BA16" i="9"/>
  <c r="BA10" i="9"/>
  <c r="BA26" i="9"/>
  <c r="AY10" i="9"/>
  <c r="R5" i="7" l="1"/>
  <c r="W5" i="7"/>
  <c r="AB5" i="7"/>
  <c r="AG5" i="7"/>
  <c r="AL5" i="7"/>
  <c r="AQ5" i="7"/>
  <c r="AV5" i="7"/>
  <c r="BA5" i="7" l="1"/>
  <c r="BA6" i="7" l="1"/>
  <c r="BA10" i="8" l="1"/>
  <c r="AY10" i="8"/>
  <c r="BA5" i="8"/>
  <c r="BA29" i="8"/>
  <c r="BA25" i="8"/>
  <c r="BA24" i="8"/>
  <c r="BA23" i="8"/>
  <c r="BA19" i="8"/>
  <c r="BA17" i="8"/>
  <c r="BA16" i="8"/>
  <c r="BA15" i="8"/>
  <c r="BA14" i="8"/>
  <c r="AZ34" i="8"/>
  <c r="BA63" i="12"/>
  <c r="BA59" i="12"/>
  <c r="BA57" i="12"/>
  <c r="BA56" i="12"/>
  <c r="BA55" i="12"/>
  <c r="BA54" i="12"/>
  <c r="BA52" i="12"/>
  <c r="BA49" i="12"/>
  <c r="BA48" i="12"/>
  <c r="BA46" i="12"/>
  <c r="BA45" i="12"/>
  <c r="BA44" i="12"/>
  <c r="BA43" i="12"/>
  <c r="BA39" i="12"/>
  <c r="BA38" i="12"/>
  <c r="BA37" i="12"/>
  <c r="BA36" i="12"/>
  <c r="BA35" i="12"/>
  <c r="BA34" i="12"/>
  <c r="BA33" i="12"/>
  <c r="BA32" i="12"/>
  <c r="BA24" i="12"/>
  <c r="BA23" i="12"/>
  <c r="BA22" i="12"/>
  <c r="BA21" i="12"/>
  <c r="BA20" i="12"/>
  <c r="BA19" i="12"/>
  <c r="BA18" i="12"/>
  <c r="BA17" i="12"/>
  <c r="BA16" i="12"/>
  <c r="BA10" i="12"/>
  <c r="BA9" i="12"/>
  <c r="BA8" i="12"/>
  <c r="BA7" i="12"/>
  <c r="BA6" i="12"/>
  <c r="BA5" i="12"/>
  <c r="BA4" i="12"/>
  <c r="AY29" i="8"/>
  <c r="AY25" i="8"/>
  <c r="AY24" i="8"/>
  <c r="AY23" i="8"/>
  <c r="AY5" i="8"/>
  <c r="AY11" i="8" s="1"/>
  <c r="AY57" i="12"/>
  <c r="AZ57" i="12" s="1"/>
  <c r="AY59" i="12"/>
  <c r="AZ59" i="12" s="1"/>
  <c r="AY55" i="12"/>
  <c r="AZ55" i="12" s="1"/>
  <c r="AY52" i="12"/>
  <c r="AZ52" i="12" s="1"/>
  <c r="AY48" i="12"/>
  <c r="AZ48" i="12" s="1"/>
  <c r="AY45" i="12"/>
  <c r="AZ45" i="12" s="1"/>
  <c r="AY46" i="12"/>
  <c r="AZ46" i="12" s="1"/>
  <c r="AY49" i="12"/>
  <c r="AZ49" i="12" s="1"/>
  <c r="AY43" i="12"/>
  <c r="AZ43" i="12" s="1"/>
  <c r="AY37" i="12"/>
  <c r="AZ37" i="12" s="1"/>
  <c r="AY38" i="12"/>
  <c r="AZ38" i="12" s="1"/>
  <c r="AY34" i="12"/>
  <c r="AZ34" i="12" s="1"/>
  <c r="AY22" i="12"/>
  <c r="AZ22" i="12" s="1"/>
  <c r="AY19" i="12"/>
  <c r="AZ19" i="12" s="1"/>
  <c r="AY20" i="12"/>
  <c r="AZ20" i="12" s="1"/>
  <c r="AY18" i="12"/>
  <c r="AZ18" i="12" s="1"/>
  <c r="AY16" i="12"/>
  <c r="AZ16" i="12" s="1"/>
  <c r="AY17" i="12"/>
  <c r="AZ17" i="12" s="1"/>
  <c r="AY9" i="12"/>
  <c r="AZ9" i="12" s="1"/>
  <c r="AY10" i="12"/>
  <c r="AZ10" i="12" s="1"/>
  <c r="AY8" i="12"/>
  <c r="AZ8" i="12" s="1"/>
  <c r="AY6" i="12"/>
  <c r="AZ6" i="12" s="1"/>
  <c r="AY5" i="12"/>
  <c r="AZ5" i="12" s="1"/>
  <c r="AY19" i="8"/>
  <c r="AY17" i="8"/>
  <c r="AY16" i="8"/>
  <c r="AY15" i="8"/>
  <c r="AY14" i="8"/>
  <c r="AZ58" i="12"/>
  <c r="AZ53" i="12"/>
  <c r="AZ47" i="12"/>
  <c r="BA35" i="8"/>
  <c r="AY63" i="12"/>
  <c r="AZ63" i="12" s="1"/>
  <c r="AY56" i="12"/>
  <c r="AZ56" i="12" s="1"/>
  <c r="AY54" i="12"/>
  <c r="AZ54" i="12" s="1"/>
  <c r="AY44" i="12"/>
  <c r="AZ44" i="12" s="1"/>
  <c r="AY39" i="12"/>
  <c r="AZ39" i="12" s="1"/>
  <c r="AY36" i="12"/>
  <c r="AZ36" i="12" s="1"/>
  <c r="AY35" i="12"/>
  <c r="AZ35" i="12" s="1"/>
  <c r="AY33" i="12"/>
  <c r="AZ33" i="12" s="1"/>
  <c r="AY32" i="12"/>
  <c r="AZ32" i="12" s="1"/>
  <c r="AY24" i="12"/>
  <c r="AZ24" i="12" s="1"/>
  <c r="AY23" i="12"/>
  <c r="AZ23" i="12" s="1"/>
  <c r="AY21" i="12"/>
  <c r="AZ21" i="12" s="1"/>
  <c r="AY7" i="12"/>
  <c r="AZ7" i="12" s="1"/>
  <c r="AY4" i="12"/>
  <c r="AZ4" i="12" s="1"/>
  <c r="AY26" i="8" l="1"/>
  <c r="BA50" i="12"/>
  <c r="AY18" i="8"/>
  <c r="AY20" i="8" s="1"/>
  <c r="AY27" i="8" s="1"/>
  <c r="BA11" i="8"/>
  <c r="BA12" i="8" s="1"/>
  <c r="BA61" i="12"/>
  <c r="BA64" i="12" s="1"/>
  <c r="BE5" i="8"/>
  <c r="BE35" i="8" s="1"/>
  <c r="BA26" i="8"/>
  <c r="BA18" i="8"/>
  <c r="BA40" i="12"/>
  <c r="BA25" i="12"/>
  <c r="BA11" i="12"/>
  <c r="AZ25" i="12"/>
  <c r="AZ50" i="12"/>
  <c r="AZ11" i="12"/>
  <c r="AZ61" i="12"/>
  <c r="AZ64" i="12" s="1"/>
  <c r="AZ40" i="12"/>
  <c r="AK7" i="8"/>
  <c r="BA65" i="12" l="1"/>
  <c r="BE12" i="8"/>
  <c r="BA27" i="12"/>
  <c r="AY32" i="8"/>
  <c r="BA20" i="8"/>
  <c r="BA27" i="8" s="1"/>
  <c r="BA28" i="8" s="1"/>
  <c r="AZ27" i="12"/>
  <c r="AZ65" i="12"/>
  <c r="BA32" i="8" l="1"/>
  <c r="BA33" i="8" s="1"/>
  <c r="BA21" i="8"/>
  <c r="BE21" i="8"/>
  <c r="BE28" i="8" l="1"/>
  <c r="BE32" i="8"/>
  <c r="BE33" i="8" s="1"/>
  <c r="D8" i="10"/>
  <c r="C8" i="10"/>
  <c r="G8" i="10"/>
  <c r="F8" i="10"/>
  <c r="E8" i="10"/>
  <c r="I8" i="10" l="1"/>
  <c r="J8" i="10"/>
  <c r="K8" i="10"/>
  <c r="L8" i="10"/>
  <c r="M8" i="10"/>
  <c r="N8" i="10"/>
  <c r="O8" i="10"/>
  <c r="P8" i="10"/>
  <c r="H8" i="10"/>
  <c r="Q8" i="10" l="1"/>
  <c r="R8" i="10"/>
  <c r="S8" i="10"/>
  <c r="W8" i="10"/>
  <c r="X8" i="10"/>
  <c r="Y8" i="10"/>
  <c r="Z8" i="10"/>
  <c r="AA8" i="10"/>
  <c r="U8" i="10" l="1"/>
  <c r="V8" i="10"/>
  <c r="T8" i="10" l="1"/>
  <c r="AM8" i="10" l="1"/>
  <c r="AN8" i="10"/>
  <c r="AO8" i="10"/>
  <c r="AP8" i="10"/>
  <c r="AL8" i="10" l="1"/>
  <c r="AK8" i="10" l="1"/>
  <c r="AJ8" i="10"/>
  <c r="AI8" i="10" l="1"/>
  <c r="AC8" i="10" l="1"/>
  <c r="AD8" i="10"/>
  <c r="AH8" i="10"/>
  <c r="AB8" i="10" l="1"/>
  <c r="AG8" i="10"/>
  <c r="AF8" i="10" l="1"/>
  <c r="AE8" i="10"/>
  <c r="AW11" i="12" l="1"/>
  <c r="AU61" i="12"/>
  <c r="AU50" i="12"/>
  <c r="AU40" i="12"/>
  <c r="AU25" i="12"/>
  <c r="AU11" i="12"/>
  <c r="AU27" i="12" l="1"/>
  <c r="AN59" i="12"/>
  <c r="AN57" i="12"/>
  <c r="AN49" i="12"/>
  <c r="AN48" i="12"/>
  <c r="AN43" i="12"/>
  <c r="AN39" i="12"/>
  <c r="AN35" i="12"/>
  <c r="AN32" i="12"/>
  <c r="AM59" i="12" l="1"/>
  <c r="AM57" i="12"/>
  <c r="AM49" i="12"/>
  <c r="AM43" i="12"/>
  <c r="AM39" i="12"/>
  <c r="AM35" i="12"/>
  <c r="AM32" i="12"/>
  <c r="AL59" i="12" l="1"/>
  <c r="AL57" i="12"/>
  <c r="AL49" i="12"/>
  <c r="AL43" i="12"/>
  <c r="AL39" i="12"/>
  <c r="AL35" i="12"/>
  <c r="AL32" i="12"/>
  <c r="AK57" i="12" l="1"/>
  <c r="AK61" i="12" s="1"/>
  <c r="AK64" i="12" s="1"/>
  <c r="AK49" i="12"/>
  <c r="AK43" i="12"/>
  <c r="AK50" i="12" s="1"/>
  <c r="AK39" i="12"/>
  <c r="AK35" i="12"/>
  <c r="AK32" i="12"/>
  <c r="AK25" i="12"/>
  <c r="AK11" i="12"/>
  <c r="AJ57" i="12"/>
  <c r="AK40" i="12" l="1"/>
  <c r="AK27" i="12"/>
  <c r="AK65" i="12"/>
  <c r="AJ49" i="12"/>
  <c r="AJ43" i="12"/>
  <c r="AJ39" i="12"/>
  <c r="AJ35" i="12"/>
  <c r="AJ32" i="12"/>
  <c r="AI57" i="12" l="1"/>
  <c r="AI59" i="12"/>
  <c r="AI49" i="12"/>
  <c r="AI43" i="12"/>
  <c r="AI39" i="12"/>
  <c r="AI35" i="12"/>
  <c r="AI32" i="12"/>
  <c r="AI25" i="12" l="1"/>
  <c r="AD25" i="12" l="1"/>
  <c r="AC59" i="12" l="1"/>
  <c r="AC43" i="12"/>
  <c r="AC35" i="12"/>
  <c r="AC32" i="12"/>
  <c r="AB59" i="12" l="1"/>
  <c r="AB43" i="12"/>
  <c r="AB35" i="12"/>
  <c r="AB32" i="12"/>
  <c r="AB25" i="12"/>
  <c r="Z43" i="12" l="1"/>
  <c r="Z50" i="12" s="1"/>
  <c r="Z35" i="12"/>
  <c r="Z32" i="12"/>
  <c r="Z25" i="12"/>
  <c r="Y43" i="12" l="1"/>
  <c r="Y35" i="12"/>
  <c r="Y32" i="12"/>
  <c r="Y25" i="12"/>
  <c r="X43" i="12" l="1"/>
  <c r="X35" i="12"/>
  <c r="X32" i="12"/>
  <c r="X25" i="12"/>
  <c r="W43" i="12" l="1"/>
  <c r="W35" i="12"/>
  <c r="W32" i="12"/>
  <c r="W25" i="12"/>
  <c r="U43" i="12" l="1"/>
  <c r="U35" i="12"/>
  <c r="U32" i="12"/>
  <c r="U25" i="12"/>
  <c r="T61" i="12" l="1"/>
  <c r="T43" i="12"/>
  <c r="T35" i="12"/>
  <c r="T32" i="12"/>
  <c r="T25" i="12" l="1"/>
  <c r="T50" i="12"/>
  <c r="S40" i="12"/>
  <c r="S25" i="12"/>
  <c r="R43" i="12" l="1"/>
  <c r="R35" i="12"/>
  <c r="R32" i="12"/>
  <c r="R25" i="12" l="1"/>
  <c r="Q61" i="12" l="1"/>
  <c r="Q64" i="12" s="1"/>
  <c r="Q50" i="12"/>
  <c r="Q35" i="12"/>
  <c r="Q40" i="12" s="1"/>
  <c r="Q25" i="12"/>
  <c r="P35" i="12"/>
  <c r="P25" i="12"/>
  <c r="Q11" i="12"/>
  <c r="Q27" i="12" l="1"/>
  <c r="Q65" i="12"/>
  <c r="N25" i="12" l="1"/>
  <c r="M35" i="12" l="1"/>
  <c r="L35" i="12" l="1"/>
  <c r="L40" i="12" s="1"/>
  <c r="K35" i="12"/>
  <c r="L61" i="12" l="1"/>
  <c r="L64" i="12" s="1"/>
  <c r="L11" i="12"/>
  <c r="L50" i="12"/>
  <c r="L25" i="12"/>
  <c r="L27" i="12" s="1"/>
  <c r="J35" i="12"/>
  <c r="L65" i="12" l="1"/>
  <c r="J40" i="12"/>
  <c r="K40" i="12"/>
  <c r="M40" i="12"/>
  <c r="N40" i="12"/>
  <c r="O40" i="12"/>
  <c r="P40" i="12"/>
  <c r="R40" i="12"/>
  <c r="T40" i="12"/>
  <c r="U40" i="12"/>
  <c r="W40" i="12"/>
  <c r="X40" i="12"/>
  <c r="Y40" i="12"/>
  <c r="Z40" i="12"/>
  <c r="AB40" i="12"/>
  <c r="AC40" i="12"/>
  <c r="AD40" i="12"/>
  <c r="AE40" i="12"/>
  <c r="AG40" i="12"/>
  <c r="AH40" i="12"/>
  <c r="AI40" i="12"/>
  <c r="AJ40" i="12"/>
  <c r="AL40" i="12"/>
  <c r="AM40" i="12"/>
  <c r="AN40" i="12"/>
  <c r="AO40" i="12"/>
  <c r="AQ40" i="12"/>
  <c r="AR40" i="12"/>
  <c r="AS40" i="12"/>
  <c r="AT40" i="12"/>
  <c r="AV40" i="12"/>
  <c r="AW40" i="12"/>
  <c r="AX40" i="12"/>
  <c r="AY40" i="12"/>
  <c r="I35" i="12"/>
  <c r="I40" i="12" s="1"/>
  <c r="I50" i="12" l="1"/>
  <c r="J50" i="12"/>
  <c r="K50" i="12"/>
  <c r="M50" i="12"/>
  <c r="N50" i="12"/>
  <c r="O50" i="12"/>
  <c r="P50" i="12"/>
  <c r="R50" i="12"/>
  <c r="S50" i="12"/>
  <c r="U50" i="12"/>
  <c r="W50" i="12"/>
  <c r="X50" i="12"/>
  <c r="Y50" i="12"/>
  <c r="AB50" i="12"/>
  <c r="AC50" i="12"/>
  <c r="AD50" i="12"/>
  <c r="AE50" i="12"/>
  <c r="AG50" i="12"/>
  <c r="AH50" i="12"/>
  <c r="AI50" i="12"/>
  <c r="AJ50" i="12"/>
  <c r="AL50" i="12"/>
  <c r="AM50" i="12"/>
  <c r="AN50" i="12"/>
  <c r="AO50" i="12"/>
  <c r="AQ50" i="12"/>
  <c r="AR50" i="12"/>
  <c r="AS50" i="12"/>
  <c r="AT50" i="12"/>
  <c r="AV50" i="12"/>
  <c r="AW50" i="12"/>
  <c r="AX50" i="12"/>
  <c r="AY50" i="12"/>
  <c r="H40" i="12"/>
  <c r="H50" i="12" l="1"/>
  <c r="G50" i="12"/>
  <c r="G40" i="12"/>
  <c r="F50" i="12"/>
  <c r="F40" i="12"/>
  <c r="H25" i="12"/>
  <c r="I25" i="12"/>
  <c r="J25" i="12"/>
  <c r="K25" i="12"/>
  <c r="M25" i="12"/>
  <c r="AC25" i="12"/>
  <c r="AE25" i="12"/>
  <c r="AG25" i="12"/>
  <c r="AH25" i="12"/>
  <c r="AJ25" i="12"/>
  <c r="AL25" i="12"/>
  <c r="AM25" i="12"/>
  <c r="AN25" i="12"/>
  <c r="AO25" i="12"/>
  <c r="AQ25" i="12"/>
  <c r="AR25" i="12"/>
  <c r="AS25" i="12"/>
  <c r="AT25" i="12"/>
  <c r="AV25" i="12"/>
  <c r="AW25" i="12"/>
  <c r="AX25" i="12"/>
  <c r="AY25" i="12"/>
  <c r="H11" i="12"/>
  <c r="I11" i="12"/>
  <c r="J11" i="12"/>
  <c r="K11" i="12"/>
  <c r="M11" i="12"/>
  <c r="N11" i="12"/>
  <c r="O11" i="12"/>
  <c r="O27" i="12" s="1"/>
  <c r="P11" i="12"/>
  <c r="R11" i="12"/>
  <c r="S11" i="12"/>
  <c r="T11" i="12"/>
  <c r="U11" i="12"/>
  <c r="W11" i="12"/>
  <c r="X11" i="12"/>
  <c r="Y11" i="12"/>
  <c r="Z11" i="12"/>
  <c r="AB11" i="12"/>
  <c r="AC11" i="12"/>
  <c r="AD11" i="12"/>
  <c r="AE11" i="12"/>
  <c r="AG11" i="12"/>
  <c r="AH11" i="12"/>
  <c r="AI11" i="12"/>
  <c r="AJ11" i="12"/>
  <c r="AL11" i="12"/>
  <c r="AM11" i="12"/>
  <c r="AN11" i="12"/>
  <c r="AO11" i="12"/>
  <c r="AQ11" i="12"/>
  <c r="AR11" i="12"/>
  <c r="AS11" i="12"/>
  <c r="AT11" i="12"/>
  <c r="AV11" i="12"/>
  <c r="AX11" i="12"/>
  <c r="AY11" i="12"/>
  <c r="AO27" i="12" l="1"/>
  <c r="AD27" i="12"/>
  <c r="AC27" i="12"/>
  <c r="AS27" i="12"/>
  <c r="Y27" i="12"/>
  <c r="AR27" i="12"/>
  <c r="AQ27" i="12"/>
  <c r="AW27" i="12"/>
  <c r="AG27" i="12"/>
  <c r="AE27" i="12"/>
  <c r="AH27" i="12"/>
  <c r="AT27" i="12"/>
  <c r="R27" i="12"/>
  <c r="P27" i="12"/>
  <c r="AY27" i="12"/>
  <c r="AX27" i="12"/>
  <c r="AL27" i="12"/>
  <c r="Z27" i="12"/>
  <c r="AB27" i="12"/>
  <c r="AN27" i="12"/>
  <c r="AM27" i="12"/>
  <c r="AV27" i="12"/>
  <c r="AJ27" i="12"/>
  <c r="X27" i="12"/>
  <c r="AI27" i="12"/>
  <c r="W27" i="12"/>
  <c r="F25" i="12"/>
  <c r="F11" i="12"/>
  <c r="F27" i="12" s="1"/>
  <c r="I27" i="12"/>
  <c r="K27" i="12"/>
  <c r="T27" i="12"/>
  <c r="N27" i="12"/>
  <c r="M27" i="12"/>
  <c r="J27" i="12"/>
  <c r="U27" i="12"/>
  <c r="S27" i="12"/>
  <c r="H27" i="12"/>
  <c r="G61" i="12"/>
  <c r="G64" i="12" s="1"/>
  <c r="G65" i="12" s="1"/>
  <c r="G11" i="12"/>
  <c r="G25" i="12"/>
  <c r="G27" i="12" l="1"/>
  <c r="E61" i="12"/>
  <c r="F61" i="12"/>
  <c r="F64" i="12" s="1"/>
  <c r="F65" i="12" s="1"/>
  <c r="H61" i="12"/>
  <c r="I61" i="12"/>
  <c r="I64" i="12" s="1"/>
  <c r="I65" i="12" s="1"/>
  <c r="J61" i="12"/>
  <c r="J64" i="12" s="1"/>
  <c r="J65" i="12" s="1"/>
  <c r="K61" i="12"/>
  <c r="K64" i="12" s="1"/>
  <c r="K65" i="12" s="1"/>
  <c r="M61" i="12"/>
  <c r="M64" i="12" s="1"/>
  <c r="M65" i="12" s="1"/>
  <c r="N61" i="12"/>
  <c r="N64" i="12" s="1"/>
  <c r="N65" i="12" s="1"/>
  <c r="O61" i="12"/>
  <c r="O64" i="12" s="1"/>
  <c r="O65" i="12" s="1"/>
  <c r="P61" i="12"/>
  <c r="P64" i="12" s="1"/>
  <c r="P65" i="12" s="1"/>
  <c r="R61" i="12"/>
  <c r="R64" i="12" s="1"/>
  <c r="R65" i="12" s="1"/>
  <c r="S61" i="12"/>
  <c r="S64" i="12" s="1"/>
  <c r="S65" i="12" s="1"/>
  <c r="T64" i="12"/>
  <c r="T65" i="12" s="1"/>
  <c r="U61" i="12"/>
  <c r="U64" i="12" s="1"/>
  <c r="U65" i="12" s="1"/>
  <c r="W61" i="12"/>
  <c r="W64" i="12" s="1"/>
  <c r="W65" i="12" s="1"/>
  <c r="X61" i="12"/>
  <c r="X64" i="12" s="1"/>
  <c r="X65" i="12" s="1"/>
  <c r="Y61" i="12"/>
  <c r="Y64" i="12" s="1"/>
  <c r="Y65" i="12" s="1"/>
  <c r="Z61" i="12"/>
  <c r="Z64" i="12" s="1"/>
  <c r="Z65" i="12" s="1"/>
  <c r="AB61" i="12"/>
  <c r="AB64" i="12" s="1"/>
  <c r="AB65" i="12" s="1"/>
  <c r="AC61" i="12"/>
  <c r="AC64" i="12" s="1"/>
  <c r="AC65" i="12" s="1"/>
  <c r="AD61" i="12"/>
  <c r="AD64" i="12" s="1"/>
  <c r="AD65" i="12" s="1"/>
  <c r="AE61" i="12"/>
  <c r="AE64" i="12" s="1"/>
  <c r="AE65" i="12" s="1"/>
  <c r="AF65" i="12"/>
  <c r="AG61" i="12"/>
  <c r="AG64" i="12" s="1"/>
  <c r="AG65" i="12" s="1"/>
  <c r="AH61" i="12"/>
  <c r="AH64" i="12" s="1"/>
  <c r="AH65" i="12" s="1"/>
  <c r="AI61" i="12"/>
  <c r="AI64" i="12" s="1"/>
  <c r="AI65" i="12" s="1"/>
  <c r="AJ61" i="12"/>
  <c r="AJ64" i="12" s="1"/>
  <c r="AJ65" i="12" s="1"/>
  <c r="AL61" i="12"/>
  <c r="AL64" i="12" s="1"/>
  <c r="AL65" i="12" s="1"/>
  <c r="AM61" i="12"/>
  <c r="AM64" i="12" s="1"/>
  <c r="AM65" i="12" s="1"/>
  <c r="AN61" i="12"/>
  <c r="AN64" i="12" s="1"/>
  <c r="AN65" i="12" s="1"/>
  <c r="AO61" i="12"/>
  <c r="AO64" i="12" s="1"/>
  <c r="AO65" i="12" s="1"/>
  <c r="AQ61" i="12"/>
  <c r="AQ64" i="12" s="1"/>
  <c r="AQ65" i="12" s="1"/>
  <c r="AR61" i="12"/>
  <c r="AR64" i="12" s="1"/>
  <c r="AR65" i="12" s="1"/>
  <c r="AS61" i="12"/>
  <c r="AS64" i="12" s="1"/>
  <c r="AS65" i="12" s="1"/>
  <c r="AT61" i="12"/>
  <c r="AT64" i="12" s="1"/>
  <c r="AT65" i="12" s="1"/>
  <c r="AU64" i="12"/>
  <c r="AU65" i="12" s="1"/>
  <c r="AV61" i="12"/>
  <c r="AV64" i="12" s="1"/>
  <c r="AV65" i="12" s="1"/>
  <c r="AW61" i="12"/>
  <c r="AW64" i="12" s="1"/>
  <c r="AW65" i="12" s="1"/>
  <c r="AX61" i="12"/>
  <c r="AX64" i="12" s="1"/>
  <c r="AX65" i="12" s="1"/>
  <c r="AY61" i="12"/>
  <c r="AY64" i="12" s="1"/>
  <c r="AY65" i="12" s="1"/>
  <c r="E50" i="12"/>
  <c r="E40" i="12"/>
  <c r="E11" i="12" l="1"/>
  <c r="E25" i="12"/>
  <c r="H64" i="12"/>
  <c r="H65" i="12" s="1"/>
  <c r="E64" i="12"/>
  <c r="E65" i="12" s="1"/>
  <c r="E27" i="12"/>
  <c r="D61" i="12" l="1"/>
  <c r="D64" i="12" s="1"/>
  <c r="D50" i="12"/>
  <c r="D35" i="12" l="1"/>
  <c r="D40" i="12" s="1"/>
  <c r="D65" i="12" s="1"/>
  <c r="D25" i="12"/>
  <c r="D11" i="12"/>
  <c r="D27" i="12" l="1"/>
  <c r="C35" i="12"/>
  <c r="C25" i="12" l="1"/>
  <c r="C50" i="12"/>
  <c r="C40" i="12"/>
  <c r="C61" i="12"/>
  <c r="C64" i="12" s="1"/>
  <c r="C11" i="12"/>
  <c r="C27" i="12" l="1"/>
  <c r="C65" i="12"/>
  <c r="AL7" i="7"/>
  <c r="AK7" i="7"/>
  <c r="AJ7" i="7" l="1"/>
  <c r="AI7" i="7" l="1"/>
  <c r="AH7" i="7" l="1"/>
  <c r="AE7" i="7" l="1"/>
  <c r="Z7" i="7"/>
  <c r="AD7" i="7" l="1"/>
  <c r="Y7" i="7"/>
  <c r="AC7" i="7" l="1"/>
  <c r="AB7" i="7"/>
  <c r="AA7" i="7"/>
  <c r="X7" i="7"/>
  <c r="W7" i="7" l="1"/>
  <c r="V7" i="7"/>
  <c r="R7" i="7"/>
  <c r="Q7" i="7"/>
  <c r="U7" i="7" l="1"/>
  <c r="P7" i="7"/>
  <c r="T7" i="7" l="1"/>
  <c r="O7" i="7"/>
  <c r="N7" i="7" l="1"/>
  <c r="S7" i="7"/>
  <c r="D7" i="7" l="1"/>
  <c r="I7" i="7"/>
  <c r="J7" i="7" l="1"/>
  <c r="E7" i="7"/>
  <c r="K7" i="7" l="1"/>
  <c r="F7" i="7"/>
  <c r="L7" i="7"/>
  <c r="M7" i="7"/>
  <c r="G7" i="7" l="1"/>
  <c r="H7" i="7"/>
  <c r="AY7" i="7" l="1"/>
  <c r="AV6" i="7" l="1"/>
  <c r="AQ6" i="7"/>
  <c r="AL6" i="7"/>
  <c r="AG6" i="7"/>
  <c r="AB6" i="7"/>
  <c r="W6" i="7"/>
  <c r="R6" i="7"/>
  <c r="M6" i="7"/>
  <c r="H6" i="7"/>
  <c r="BA3" i="7"/>
  <c r="AV3" i="7"/>
  <c r="AQ3" i="7"/>
  <c r="AL3" i="7"/>
  <c r="AG3" i="7"/>
  <c r="AB3" i="7"/>
  <c r="W3" i="7"/>
  <c r="R3" i="7"/>
  <c r="M3" i="7"/>
  <c r="H3" i="7"/>
  <c r="AU8" i="10"/>
  <c r="AU7" i="10"/>
  <c r="AU6" i="10"/>
  <c r="AU5" i="10"/>
  <c r="AU4" i="10"/>
  <c r="AU3" i="10"/>
  <c r="AY31" i="9" l="1"/>
  <c r="AY32" i="9" s="1"/>
  <c r="AY33" i="9"/>
  <c r="AY34" i="9" s="1"/>
  <c r="AY35" i="9"/>
  <c r="AY36" i="9" s="1"/>
  <c r="AY37" i="9"/>
  <c r="AY38" i="9" s="1"/>
  <c r="AY26" i="9"/>
  <c r="AY21" i="9"/>
  <c r="AY16" i="9"/>
  <c r="AY42" i="9" l="1"/>
  <c r="AY43" i="9" s="1"/>
  <c r="AX9" i="9"/>
  <c r="AX25" i="9"/>
  <c r="AX15" i="9"/>
  <c r="AX20" i="9"/>
  <c r="AY40" i="9"/>
  <c r="AY41" i="9" s="1"/>
  <c r="AY30" i="9"/>
  <c r="AX27" i="9" l="1"/>
  <c r="AX26" i="9"/>
  <c r="AX21" i="9" l="1"/>
  <c r="AX16" i="9"/>
  <c r="AX10" i="9"/>
  <c r="AW20" i="9" l="1"/>
  <c r="AW9" i="9"/>
  <c r="AW15" i="9"/>
  <c r="AW25" i="9"/>
  <c r="AW27" i="9" l="1"/>
  <c r="AW26" i="9" s="1"/>
  <c r="AW29" i="9"/>
  <c r="AW30" i="9" s="1"/>
  <c r="AX29" i="9"/>
  <c r="AX30" i="9" s="1"/>
  <c r="AW31" i="9"/>
  <c r="AX31" i="9"/>
  <c r="AX32" i="9" s="1"/>
  <c r="AW33" i="9"/>
  <c r="AX33" i="9"/>
  <c r="AX34" i="9" s="1"/>
  <c r="AW35" i="9"/>
  <c r="AX35" i="9"/>
  <c r="AX36" i="9" s="1"/>
  <c r="AW37" i="9"/>
  <c r="AW38" i="9" s="1"/>
  <c r="AX37" i="9"/>
  <c r="AX38" i="9" s="1"/>
  <c r="AZ24" i="9"/>
  <c r="AZ22" i="9"/>
  <c r="AZ19" i="9"/>
  <c r="AZ18" i="9"/>
  <c r="AZ14" i="9"/>
  <c r="AZ13" i="9"/>
  <c r="AZ12" i="9"/>
  <c r="AZ8" i="9"/>
  <c r="AZ7" i="9"/>
  <c r="AZ35" i="9" s="1"/>
  <c r="AZ6" i="9"/>
  <c r="AZ5" i="9"/>
  <c r="AW21" i="9" l="1"/>
  <c r="AW16" i="9"/>
  <c r="AW10" i="9"/>
  <c r="AW42" i="9"/>
  <c r="AW43" i="9" s="1"/>
  <c r="AW32" i="9"/>
  <c r="AW36" i="9"/>
  <c r="AZ37" i="9"/>
  <c r="AV29" i="9"/>
  <c r="AV33" i="9"/>
  <c r="AV31" i="9"/>
  <c r="AV15" i="9"/>
  <c r="AZ15" i="9" s="1"/>
  <c r="AZ11" i="9"/>
  <c r="AV35" i="9"/>
  <c r="AV37" i="9"/>
  <c r="AV20" i="9"/>
  <c r="AZ20" i="9" s="1"/>
  <c r="AZ17" i="9"/>
  <c r="AV9" i="9"/>
  <c r="AZ9" i="9" s="1"/>
  <c r="AZ4" i="9"/>
  <c r="AV25" i="9"/>
  <c r="AZ25" i="9" s="1"/>
  <c r="AZ23" i="9"/>
  <c r="AZ31" i="9" s="1"/>
  <c r="AZ33" i="9"/>
  <c r="AX42" i="9"/>
  <c r="AX43" i="9" s="1"/>
  <c r="AW34" i="9"/>
  <c r="AW40" i="9"/>
  <c r="AW41" i="9" s="1"/>
  <c r="AX40" i="9"/>
  <c r="AX41" i="9" s="1"/>
  <c r="AV42" i="9" l="1"/>
  <c r="AZ29" i="9"/>
  <c r="AZ40" i="9" s="1"/>
  <c r="AV40" i="9"/>
  <c r="AV27" i="9"/>
  <c r="AV41" i="9" s="1"/>
  <c r="AZ42" i="9"/>
  <c r="AZ27" i="9"/>
  <c r="AZ10" i="9" s="1"/>
  <c r="AV34" i="9"/>
  <c r="AV26" i="9"/>
  <c r="AV21" i="9"/>
  <c r="AV10" i="9"/>
  <c r="AV30" i="9" l="1"/>
  <c r="AV32" i="9"/>
  <c r="AZ30" i="9"/>
  <c r="AV38" i="9"/>
  <c r="AV36" i="9"/>
  <c r="AT25" i="9"/>
  <c r="AT15" i="9"/>
  <c r="AT29" i="9"/>
  <c r="AV43" i="9"/>
  <c r="AZ32" i="9"/>
  <c r="AZ41" i="9"/>
  <c r="AZ36" i="9"/>
  <c r="AZ38" i="9"/>
  <c r="AZ26" i="9"/>
  <c r="AZ34" i="9"/>
  <c r="AZ21" i="9"/>
  <c r="AZ16" i="9"/>
  <c r="AV16" i="9"/>
  <c r="AZ43" i="9"/>
  <c r="AT9" i="9"/>
  <c r="AT31" i="9"/>
  <c r="AT20" i="9"/>
  <c r="AT27" i="9" l="1"/>
  <c r="AT16" i="9" s="1"/>
  <c r="AT10" i="9"/>
  <c r="AQ9" i="9"/>
  <c r="AR9" i="9"/>
  <c r="AS9" i="9"/>
  <c r="AQ15" i="9"/>
  <c r="AR15" i="9"/>
  <c r="AS15" i="9"/>
  <c r="AQ20" i="9"/>
  <c r="AQ27" i="9" s="1"/>
  <c r="AR20" i="9"/>
  <c r="AR27" i="9" s="1"/>
  <c r="AS20" i="9"/>
  <c r="AQ25" i="9"/>
  <c r="AR25" i="9"/>
  <c r="AS25" i="9"/>
  <c r="AQ29" i="9"/>
  <c r="AR29" i="9"/>
  <c r="AS29" i="9"/>
  <c r="AQ31" i="9"/>
  <c r="AR31" i="9"/>
  <c r="AS31" i="9"/>
  <c r="AQ33" i="9"/>
  <c r="AR33" i="9"/>
  <c r="AS33" i="9"/>
  <c r="AT33" i="9"/>
  <c r="AQ35" i="9"/>
  <c r="AR35" i="9"/>
  <c r="AS35" i="9"/>
  <c r="AT35" i="9"/>
  <c r="AQ37" i="9"/>
  <c r="AR37" i="9"/>
  <c r="AS37" i="9"/>
  <c r="AT37" i="9"/>
  <c r="AT21" i="9" l="1"/>
  <c r="AT26" i="9"/>
  <c r="AR34" i="9"/>
  <c r="AS27" i="9"/>
  <c r="AS21" i="9" s="1"/>
  <c r="AQ36" i="9"/>
  <c r="AQ34" i="9"/>
  <c r="AR38" i="9"/>
  <c r="AS32" i="9"/>
  <c r="AR32" i="9"/>
  <c r="AS30" i="9"/>
  <c r="AS16" i="9"/>
  <c r="AR16" i="9"/>
  <c r="AQ30" i="9"/>
  <c r="AR10" i="9"/>
  <c r="AQ10" i="9"/>
  <c r="AS26" i="9"/>
  <c r="AS38" i="9"/>
  <c r="AQ32" i="9"/>
  <c r="AS36" i="9"/>
  <c r="AQ16" i="9"/>
  <c r="AR26" i="9"/>
  <c r="AQ38" i="9"/>
  <c r="AR30" i="9"/>
  <c r="AR36" i="9"/>
  <c r="AQ26" i="9"/>
  <c r="AT38" i="9"/>
  <c r="AS34" i="9"/>
  <c r="AR21" i="9"/>
  <c r="AS40" i="9"/>
  <c r="AS41" i="9" s="1"/>
  <c r="AQ21" i="9"/>
  <c r="AT40" i="9"/>
  <c r="AR40" i="9"/>
  <c r="AR41" i="9" s="1"/>
  <c r="AQ40" i="9"/>
  <c r="AQ41" i="9" s="1"/>
  <c r="AT42" i="9"/>
  <c r="AT43" i="9" s="1"/>
  <c r="AS42" i="9"/>
  <c r="AS43" i="9" s="1"/>
  <c r="AR42" i="9"/>
  <c r="AR43" i="9" s="1"/>
  <c r="AQ42" i="9"/>
  <c r="AQ43" i="9" s="1"/>
  <c r="AS10" i="9" l="1"/>
  <c r="AT34" i="9"/>
  <c r="AT30" i="9"/>
  <c r="AT36" i="9"/>
  <c r="AT41" i="9"/>
  <c r="AT32" i="9"/>
  <c r="AO37" i="9" l="1"/>
  <c r="AN37" i="9"/>
  <c r="AM37" i="9"/>
  <c r="AL37" i="9"/>
  <c r="AJ37" i="9"/>
  <c r="AI37" i="9"/>
  <c r="AH37" i="9"/>
  <c r="AG37" i="9"/>
  <c r="AF37" i="9"/>
  <c r="AE37" i="9"/>
  <c r="AD37" i="9"/>
  <c r="AD42" i="9" s="1"/>
  <c r="AC37" i="9"/>
  <c r="AB37" i="9"/>
  <c r="AA37" i="9"/>
  <c r="Z37" i="9"/>
  <c r="Y37" i="9"/>
  <c r="X37" i="9"/>
  <c r="W37" i="9"/>
  <c r="V37" i="9"/>
  <c r="U37" i="9"/>
  <c r="T37" i="9"/>
  <c r="S37" i="9"/>
  <c r="R37" i="9"/>
  <c r="Q37" i="9"/>
  <c r="P37" i="9"/>
  <c r="O37" i="9"/>
  <c r="N37" i="9"/>
  <c r="M37" i="9"/>
  <c r="L37" i="9"/>
  <c r="K37" i="9"/>
  <c r="J37" i="9"/>
  <c r="I37" i="9"/>
  <c r="H37" i="9"/>
  <c r="G37" i="9"/>
  <c r="F37" i="9"/>
  <c r="F42" i="9" s="1"/>
  <c r="E37" i="9"/>
  <c r="D37" i="9"/>
  <c r="C37" i="9"/>
  <c r="AO35" i="9"/>
  <c r="AN35" i="9"/>
  <c r="AM35" i="9"/>
  <c r="AL35" i="9"/>
  <c r="AJ35" i="9"/>
  <c r="AI35" i="9"/>
  <c r="AH35" i="9"/>
  <c r="AG35" i="9"/>
  <c r="AF35" i="9"/>
  <c r="AE35" i="9"/>
  <c r="AD35" i="9"/>
  <c r="AC35" i="9"/>
  <c r="AB35" i="9"/>
  <c r="AA35" i="9"/>
  <c r="Z35" i="9"/>
  <c r="Y35" i="9"/>
  <c r="X35" i="9"/>
  <c r="W35" i="9"/>
  <c r="V35" i="9"/>
  <c r="U35" i="9"/>
  <c r="T35" i="9"/>
  <c r="S35" i="9"/>
  <c r="R35" i="9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AO33" i="9"/>
  <c r="AN33" i="9"/>
  <c r="AM33" i="9"/>
  <c r="AL33" i="9"/>
  <c r="AJ33" i="9"/>
  <c r="AI33" i="9"/>
  <c r="AH33" i="9"/>
  <c r="AG33" i="9"/>
  <c r="AF33" i="9"/>
  <c r="AE33" i="9"/>
  <c r="AD33" i="9"/>
  <c r="AC33" i="9"/>
  <c r="AB33" i="9"/>
  <c r="AA33" i="9"/>
  <c r="Z33" i="9"/>
  <c r="Y33" i="9"/>
  <c r="X33" i="9"/>
  <c r="W33" i="9"/>
  <c r="V33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C33" i="9"/>
  <c r="AO31" i="9"/>
  <c r="AN31" i="9"/>
  <c r="AM31" i="9"/>
  <c r="AL31" i="9"/>
  <c r="AJ31" i="9"/>
  <c r="AI31" i="9"/>
  <c r="AH31" i="9"/>
  <c r="AG31" i="9"/>
  <c r="AF31" i="9"/>
  <c r="AE31" i="9"/>
  <c r="AD31" i="9"/>
  <c r="AC31" i="9"/>
  <c r="AB31" i="9"/>
  <c r="AA31" i="9"/>
  <c r="Z31" i="9"/>
  <c r="Y31" i="9"/>
  <c r="X31" i="9"/>
  <c r="W31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AO29" i="9"/>
  <c r="AN29" i="9"/>
  <c r="AM29" i="9"/>
  <c r="AL29" i="9"/>
  <c r="AJ29" i="9"/>
  <c r="AI29" i="9"/>
  <c r="AH29" i="9"/>
  <c r="AG29" i="9"/>
  <c r="AF29" i="9"/>
  <c r="AE29" i="9"/>
  <c r="AD29" i="9"/>
  <c r="AC29" i="9"/>
  <c r="AB29" i="9"/>
  <c r="AA29" i="9"/>
  <c r="Z29" i="9"/>
  <c r="Y29" i="9"/>
  <c r="X29" i="9"/>
  <c r="W29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AL27" i="9"/>
  <c r="AO25" i="9"/>
  <c r="AN25" i="9"/>
  <c r="AM25" i="9"/>
  <c r="AL25" i="9"/>
  <c r="AJ25" i="9"/>
  <c r="AI25" i="9"/>
  <c r="AH25" i="9"/>
  <c r="AG25" i="9"/>
  <c r="AF25" i="9"/>
  <c r="AE25" i="9"/>
  <c r="AD25" i="9"/>
  <c r="AC25" i="9"/>
  <c r="AB25" i="9"/>
  <c r="AA25" i="9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AU24" i="9"/>
  <c r="AP24" i="9"/>
  <c r="AK24" i="9"/>
  <c r="AU23" i="9"/>
  <c r="AP23" i="9"/>
  <c r="AK23" i="9"/>
  <c r="AU22" i="9"/>
  <c r="AP22" i="9"/>
  <c r="AK22" i="9"/>
  <c r="AO20" i="9"/>
  <c r="AN20" i="9"/>
  <c r="AM20" i="9"/>
  <c r="AL20" i="9"/>
  <c r="AJ20" i="9"/>
  <c r="AI20" i="9"/>
  <c r="AH20" i="9"/>
  <c r="AG20" i="9"/>
  <c r="AF20" i="9"/>
  <c r="AE20" i="9"/>
  <c r="AD20" i="9"/>
  <c r="AC20" i="9"/>
  <c r="AB20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AU19" i="9"/>
  <c r="AP19" i="9"/>
  <c r="AK19" i="9"/>
  <c r="AU18" i="9"/>
  <c r="AP18" i="9"/>
  <c r="AK18" i="9"/>
  <c r="AU17" i="9"/>
  <c r="AP17" i="9"/>
  <c r="AK17" i="9"/>
  <c r="AO15" i="9"/>
  <c r="AN15" i="9"/>
  <c r="AM15" i="9"/>
  <c r="AL15" i="9"/>
  <c r="AJ15" i="9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AU14" i="9"/>
  <c r="AP14" i="9"/>
  <c r="AK14" i="9"/>
  <c r="AU13" i="9"/>
  <c r="AP13" i="9"/>
  <c r="AK13" i="9"/>
  <c r="AU12" i="9"/>
  <c r="AP12" i="9"/>
  <c r="AK12" i="9"/>
  <c r="AU11" i="9"/>
  <c r="AP11" i="9"/>
  <c r="AK11" i="9"/>
  <c r="AO9" i="9"/>
  <c r="AN9" i="9"/>
  <c r="AM9" i="9"/>
  <c r="AL9" i="9"/>
  <c r="AJ9" i="9"/>
  <c r="AI9" i="9"/>
  <c r="AH9" i="9"/>
  <c r="AG9" i="9"/>
  <c r="AF9" i="9"/>
  <c r="AE9" i="9"/>
  <c r="AD9" i="9"/>
  <c r="AC9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L27" i="9" s="1"/>
  <c r="K9" i="9"/>
  <c r="J9" i="9"/>
  <c r="I9" i="9"/>
  <c r="H9" i="9"/>
  <c r="G9" i="9"/>
  <c r="F9" i="9"/>
  <c r="E9" i="9"/>
  <c r="D9" i="9"/>
  <c r="C9" i="9"/>
  <c r="AU8" i="9"/>
  <c r="AP8" i="9"/>
  <c r="AK37" i="9"/>
  <c r="AU7" i="9"/>
  <c r="AU35" i="9" s="1"/>
  <c r="AP7" i="9"/>
  <c r="AP35" i="9" s="1"/>
  <c r="AK7" i="9"/>
  <c r="AK35" i="9" s="1"/>
  <c r="AU6" i="9"/>
  <c r="AP6" i="9"/>
  <c r="AK6" i="9"/>
  <c r="AU5" i="9"/>
  <c r="AP5" i="9"/>
  <c r="AK5" i="9"/>
  <c r="AU4" i="9"/>
  <c r="AP4" i="9"/>
  <c r="AY12" i="8"/>
  <c r="AY21" i="8"/>
  <c r="AY28" i="8"/>
  <c r="AY33" i="8"/>
  <c r="AY35" i="8"/>
  <c r="AZ30" i="8"/>
  <c r="AZ29" i="8"/>
  <c r="AZ25" i="8"/>
  <c r="AZ24" i="8"/>
  <c r="AZ23" i="8"/>
  <c r="AZ19" i="8"/>
  <c r="AZ17" i="8"/>
  <c r="AZ16" i="8"/>
  <c r="AZ15" i="8"/>
  <c r="AZ14" i="8"/>
  <c r="AX26" i="8" l="1"/>
  <c r="AL30" i="9"/>
  <c r="AK33" i="9"/>
  <c r="AP20" i="9"/>
  <c r="T40" i="9"/>
  <c r="D42" i="9"/>
  <c r="AB42" i="9"/>
  <c r="AO42" i="9"/>
  <c r="E42" i="9"/>
  <c r="AC42" i="9"/>
  <c r="M27" i="9"/>
  <c r="M10" i="9" s="1"/>
  <c r="N27" i="9"/>
  <c r="N34" i="9" s="1"/>
  <c r="AM27" i="9"/>
  <c r="AM30" i="9" s="1"/>
  <c r="AX18" i="8"/>
  <c r="AU37" i="9"/>
  <c r="AX35" i="8"/>
  <c r="AH27" i="9"/>
  <c r="AH32" i="9" s="1"/>
  <c r="AI27" i="9"/>
  <c r="AI34" i="9" s="1"/>
  <c r="AJ27" i="9"/>
  <c r="AJ26" i="9" s="1"/>
  <c r="Y27" i="9"/>
  <c r="Y36" i="9" s="1"/>
  <c r="N42" i="9"/>
  <c r="N43" i="9" s="1"/>
  <c r="O42" i="9"/>
  <c r="O43" i="9" s="1"/>
  <c r="AA42" i="9"/>
  <c r="Z27" i="9"/>
  <c r="Z36" i="9" s="1"/>
  <c r="O27" i="9"/>
  <c r="O10" i="9" s="1"/>
  <c r="AA27" i="9"/>
  <c r="AA30" i="9" s="1"/>
  <c r="AN27" i="9"/>
  <c r="AN16" i="9" s="1"/>
  <c r="AJ40" i="9"/>
  <c r="H42" i="9"/>
  <c r="T42" i="9"/>
  <c r="AF42" i="9"/>
  <c r="I42" i="9"/>
  <c r="U42" i="9"/>
  <c r="AG42" i="9"/>
  <c r="L36" i="9"/>
  <c r="AP15" i="9"/>
  <c r="N40" i="9"/>
  <c r="Z40" i="9"/>
  <c r="V42" i="9"/>
  <c r="AH42" i="9"/>
  <c r="H40" i="9"/>
  <c r="AP33" i="9"/>
  <c r="AK20" i="9"/>
  <c r="C40" i="9"/>
  <c r="O40" i="9"/>
  <c r="AA40" i="9"/>
  <c r="AA41" i="9" s="1"/>
  <c r="AN40" i="9"/>
  <c r="AP25" i="9"/>
  <c r="L42" i="9"/>
  <c r="L43" i="9" s="1"/>
  <c r="AP31" i="9"/>
  <c r="Q40" i="9"/>
  <c r="AU31" i="9"/>
  <c r="K27" i="9"/>
  <c r="K32" i="9" s="1"/>
  <c r="AM42" i="9"/>
  <c r="V27" i="9"/>
  <c r="V10" i="9" s="1"/>
  <c r="C42" i="9"/>
  <c r="AN42" i="9"/>
  <c r="AL38" i="9"/>
  <c r="AE27" i="9"/>
  <c r="AE36" i="9" s="1"/>
  <c r="AD40" i="9"/>
  <c r="AL34" i="9"/>
  <c r="Q42" i="9"/>
  <c r="AL36" i="9"/>
  <c r="Z42" i="9"/>
  <c r="AF40" i="9"/>
  <c r="R42" i="9"/>
  <c r="K42" i="9"/>
  <c r="AL40" i="9"/>
  <c r="AL41" i="9" s="1"/>
  <c r="I40" i="9"/>
  <c r="G42" i="9"/>
  <c r="S42" i="9"/>
  <c r="AE42" i="9"/>
  <c r="AU20" i="9"/>
  <c r="AU33" i="9"/>
  <c r="AU15" i="9"/>
  <c r="T27" i="9"/>
  <c r="T10" i="9" s="1"/>
  <c r="AG27" i="9"/>
  <c r="AG10" i="9" s="1"/>
  <c r="AG26" i="9"/>
  <c r="U40" i="9"/>
  <c r="AG40" i="9"/>
  <c r="H27" i="9"/>
  <c r="H36" i="9" s="1"/>
  <c r="I27" i="9"/>
  <c r="I21" i="9" s="1"/>
  <c r="W40" i="9"/>
  <c r="G40" i="9"/>
  <c r="D27" i="9"/>
  <c r="D21" i="9"/>
  <c r="E40" i="9"/>
  <c r="AC40" i="9"/>
  <c r="S27" i="9"/>
  <c r="S16" i="9" s="1"/>
  <c r="S40" i="9"/>
  <c r="AF27" i="9"/>
  <c r="AF26" i="9" s="1"/>
  <c r="AA21" i="9"/>
  <c r="AA32" i="9"/>
  <c r="AA36" i="9"/>
  <c r="AI40" i="9"/>
  <c r="AI41" i="9" s="1"/>
  <c r="G27" i="9"/>
  <c r="AE40" i="9"/>
  <c r="AU25" i="9"/>
  <c r="AU29" i="9"/>
  <c r="U27" i="9"/>
  <c r="AK42" i="9"/>
  <c r="AA16" i="9"/>
  <c r="AB27" i="9"/>
  <c r="AB43" i="9" s="1"/>
  <c r="L21" i="9"/>
  <c r="L26" i="9"/>
  <c r="L10" i="9"/>
  <c r="J40" i="9"/>
  <c r="AH40" i="9"/>
  <c r="AH41" i="9" s="1"/>
  <c r="AP29" i="9"/>
  <c r="AP37" i="9"/>
  <c r="AL21" i="9"/>
  <c r="AL26" i="9"/>
  <c r="K40" i="9"/>
  <c r="O32" i="9"/>
  <c r="AI42" i="9"/>
  <c r="AL32" i="9"/>
  <c r="AU9" i="9"/>
  <c r="AL10" i="9"/>
  <c r="AL16" i="9"/>
  <c r="W27" i="9"/>
  <c r="W34" i="9" s="1"/>
  <c r="X27" i="9"/>
  <c r="X16" i="9" s="1"/>
  <c r="L30" i="9"/>
  <c r="L40" i="9"/>
  <c r="L41" i="9" s="1"/>
  <c r="L34" i="9"/>
  <c r="X42" i="9"/>
  <c r="AJ42" i="9"/>
  <c r="V40" i="9"/>
  <c r="M42" i="9"/>
  <c r="AL42" i="9"/>
  <c r="AL43" i="9" s="1"/>
  <c r="L38" i="9"/>
  <c r="P40" i="9"/>
  <c r="AO40" i="9"/>
  <c r="L16" i="9"/>
  <c r="Y42" i="9"/>
  <c r="AK15" i="9"/>
  <c r="P27" i="9"/>
  <c r="P36" i="9" s="1"/>
  <c r="X40" i="9"/>
  <c r="E27" i="9"/>
  <c r="E30" i="9" s="1"/>
  <c r="J27" i="9"/>
  <c r="J32" i="9" s="1"/>
  <c r="O34" i="9"/>
  <c r="AA34" i="9"/>
  <c r="L32" i="9"/>
  <c r="AK31" i="9"/>
  <c r="C27" i="9"/>
  <c r="C10" i="9" s="1"/>
  <c r="O26" i="9"/>
  <c r="AA26" i="9"/>
  <c r="AM40" i="9"/>
  <c r="F27" i="9"/>
  <c r="F43" i="9" s="1"/>
  <c r="AP27" i="9"/>
  <c r="AP21" i="9" s="1"/>
  <c r="AK29" i="9"/>
  <c r="AK25" i="9"/>
  <c r="R27" i="9"/>
  <c r="R32" i="9" s="1"/>
  <c r="AD27" i="9"/>
  <c r="AD41" i="9" s="1"/>
  <c r="D40" i="9"/>
  <c r="AB40" i="9"/>
  <c r="F40" i="9"/>
  <c r="W42" i="9"/>
  <c r="P42" i="9"/>
  <c r="M40" i="9"/>
  <c r="Y40" i="9"/>
  <c r="R40" i="9"/>
  <c r="Q27" i="9"/>
  <c r="Q30" i="9" s="1"/>
  <c r="AC27" i="9"/>
  <c r="AC36" i="9" s="1"/>
  <c r="AO27" i="9"/>
  <c r="AO32" i="9" s="1"/>
  <c r="Y30" i="9"/>
  <c r="AN36" i="9"/>
  <c r="AH38" i="9"/>
  <c r="J42" i="9"/>
  <c r="AZ35" i="8"/>
  <c r="AX11" i="8"/>
  <c r="AX12" i="8" s="1"/>
  <c r="AI10" i="9" l="1"/>
  <c r="AI16" i="9"/>
  <c r="AI43" i="9"/>
  <c r="AI21" i="9"/>
  <c r="AI26" i="9"/>
  <c r="AI30" i="9"/>
  <c r="AI36" i="9"/>
  <c r="AJ16" i="9"/>
  <c r="AJ30" i="9"/>
  <c r="I26" i="9"/>
  <c r="AU42" i="9"/>
  <c r="N36" i="9"/>
  <c r="N21" i="9"/>
  <c r="V16" i="9"/>
  <c r="N10" i="9"/>
  <c r="AJ43" i="9"/>
  <c r="AH16" i="9"/>
  <c r="AJ34" i="9"/>
  <c r="AH36" i="9"/>
  <c r="AE43" i="9"/>
  <c r="N30" i="9"/>
  <c r="K21" i="9"/>
  <c r="AM10" i="9"/>
  <c r="V30" i="9"/>
  <c r="AC30" i="9"/>
  <c r="K26" i="9"/>
  <c r="V26" i="9"/>
  <c r="K36" i="9"/>
  <c r="K10" i="9"/>
  <c r="Q43" i="9"/>
  <c r="K16" i="9"/>
  <c r="AH30" i="9"/>
  <c r="G26" i="9"/>
  <c r="N16" i="9"/>
  <c r="AH21" i="9"/>
  <c r="V21" i="9"/>
  <c r="AH10" i="9"/>
  <c r="AH43" i="9"/>
  <c r="V38" i="9"/>
  <c r="AH26" i="9"/>
  <c r="N26" i="9"/>
  <c r="K30" i="9"/>
  <c r="AH34" i="9"/>
  <c r="I41" i="9"/>
  <c r="V32" i="9"/>
  <c r="AM43" i="9"/>
  <c r="V43" i="9"/>
  <c r="V34" i="9"/>
  <c r="AM34" i="9"/>
  <c r="N38" i="9"/>
  <c r="N32" i="9"/>
  <c r="E10" i="9"/>
  <c r="Z10" i="9"/>
  <c r="U43" i="9"/>
  <c r="AE41" i="9"/>
  <c r="M32" i="9"/>
  <c r="M26" i="9"/>
  <c r="Z38" i="9"/>
  <c r="K38" i="9"/>
  <c r="AJ38" i="9"/>
  <c r="M30" i="9"/>
  <c r="R43" i="9"/>
  <c r="Y38" i="9"/>
  <c r="T43" i="9"/>
  <c r="AM21" i="9"/>
  <c r="AM32" i="9"/>
  <c r="M16" i="9"/>
  <c r="Y10" i="9"/>
  <c r="Z32" i="9"/>
  <c r="AM36" i="9"/>
  <c r="M41" i="9"/>
  <c r="AD36" i="9"/>
  <c r="M38" i="9"/>
  <c r="K34" i="9"/>
  <c r="AM38" i="9"/>
  <c r="AI32" i="9"/>
  <c r="V36" i="9"/>
  <c r="M36" i="9"/>
  <c r="AF41" i="9"/>
  <c r="Z30" i="9"/>
  <c r="U36" i="9"/>
  <c r="AM26" i="9"/>
  <c r="M34" i="9"/>
  <c r="Q41" i="9"/>
  <c r="S26" i="9"/>
  <c r="Z43" i="9"/>
  <c r="Z41" i="9"/>
  <c r="AJ41" i="9"/>
  <c r="Y34" i="9"/>
  <c r="Y32" i="9"/>
  <c r="N41" i="9"/>
  <c r="AM16" i="9"/>
  <c r="AM41" i="9"/>
  <c r="M43" i="9"/>
  <c r="W30" i="9"/>
  <c r="Q36" i="9"/>
  <c r="M21" i="9"/>
  <c r="Q32" i="9"/>
  <c r="K41" i="9"/>
  <c r="AJ32" i="9"/>
  <c r="Q21" i="9"/>
  <c r="Y16" i="9"/>
  <c r="AN41" i="9"/>
  <c r="AJ10" i="9"/>
  <c r="AX20" i="8"/>
  <c r="AA10" i="9"/>
  <c r="O16" i="9"/>
  <c r="O21" i="9"/>
  <c r="Z16" i="9"/>
  <c r="Y43" i="9"/>
  <c r="R21" i="9"/>
  <c r="AN43" i="9"/>
  <c r="O36" i="9"/>
  <c r="AA43" i="9"/>
  <c r="AJ21" i="9"/>
  <c r="Y26" i="9"/>
  <c r="AJ36" i="9"/>
  <c r="AN26" i="9"/>
  <c r="AI38" i="9"/>
  <c r="AC21" i="9"/>
  <c r="Y21" i="9"/>
  <c r="AN32" i="9"/>
  <c r="AN10" i="9"/>
  <c r="AN34" i="9"/>
  <c r="O41" i="9"/>
  <c r="AA38" i="9"/>
  <c r="AD32" i="9"/>
  <c r="T32" i="9"/>
  <c r="Z26" i="9"/>
  <c r="O38" i="9"/>
  <c r="AN30" i="9"/>
  <c r="H32" i="9"/>
  <c r="Z34" i="9"/>
  <c r="AN21" i="9"/>
  <c r="Y41" i="9"/>
  <c r="O30" i="9"/>
  <c r="Z21" i="9"/>
  <c r="AN38" i="9"/>
  <c r="AC43" i="9"/>
  <c r="H26" i="9"/>
  <c r="K43" i="9"/>
  <c r="J38" i="9"/>
  <c r="AE34" i="9"/>
  <c r="AE38" i="9"/>
  <c r="AE30" i="9"/>
  <c r="F32" i="9"/>
  <c r="E32" i="9"/>
  <c r="AF36" i="9"/>
  <c r="AG16" i="9"/>
  <c r="U10" i="9"/>
  <c r="T26" i="9"/>
  <c r="AG21" i="9"/>
  <c r="I16" i="9"/>
  <c r="S43" i="9"/>
  <c r="E21" i="9"/>
  <c r="G30" i="9"/>
  <c r="F26" i="9"/>
  <c r="U16" i="9"/>
  <c r="AO34" i="9"/>
  <c r="AD43" i="9"/>
  <c r="AG32" i="9"/>
  <c r="AD21" i="9"/>
  <c r="U26" i="9"/>
  <c r="E36" i="9"/>
  <c r="V41" i="9"/>
  <c r="AG41" i="9"/>
  <c r="AE10" i="9"/>
  <c r="AE32" i="9"/>
  <c r="AF16" i="9"/>
  <c r="T16" i="9"/>
  <c r="AE16" i="9"/>
  <c r="AE26" i="9"/>
  <c r="U41" i="9"/>
  <c r="AE21" i="9"/>
  <c r="R41" i="9"/>
  <c r="C41" i="9"/>
  <c r="AO38" i="9"/>
  <c r="T36" i="9"/>
  <c r="AO21" i="9"/>
  <c r="AP16" i="9"/>
  <c r="U32" i="9"/>
  <c r="P30" i="9"/>
  <c r="P10" i="9"/>
  <c r="AU27" i="9"/>
  <c r="AU10" i="9" s="1"/>
  <c r="F21" i="9"/>
  <c r="G41" i="9"/>
  <c r="H30" i="9"/>
  <c r="H38" i="9"/>
  <c r="H34" i="9"/>
  <c r="H21" i="9"/>
  <c r="H43" i="9"/>
  <c r="E26" i="9"/>
  <c r="E16" i="9"/>
  <c r="E34" i="9"/>
  <c r="E38" i="9"/>
  <c r="AO41" i="9"/>
  <c r="AP38" i="9"/>
  <c r="E43" i="9"/>
  <c r="G16" i="9"/>
  <c r="AB21" i="9"/>
  <c r="AK27" i="9"/>
  <c r="AK32" i="9" s="1"/>
  <c r="J30" i="9"/>
  <c r="J21" i="9"/>
  <c r="P34" i="9"/>
  <c r="X43" i="9"/>
  <c r="D26" i="9"/>
  <c r="D10" i="9"/>
  <c r="D38" i="9"/>
  <c r="D34" i="9"/>
  <c r="I36" i="9"/>
  <c r="AP26" i="9"/>
  <c r="AF30" i="9"/>
  <c r="AF38" i="9"/>
  <c r="AF34" i="9"/>
  <c r="AF43" i="9"/>
  <c r="AF21" i="9"/>
  <c r="AF32" i="9"/>
  <c r="J34" i="9"/>
  <c r="P43" i="9"/>
  <c r="AB41" i="9"/>
  <c r="P41" i="9"/>
  <c r="D32" i="9"/>
  <c r="H16" i="9"/>
  <c r="AP40" i="9"/>
  <c r="AP41" i="9" s="1"/>
  <c r="AP30" i="9"/>
  <c r="AP42" i="9"/>
  <c r="AP43" i="9" s="1"/>
  <c r="P21" i="9"/>
  <c r="H10" i="9"/>
  <c r="X36" i="9"/>
  <c r="X32" i="9"/>
  <c r="S32" i="9"/>
  <c r="S38" i="9"/>
  <c r="S34" i="9"/>
  <c r="AB16" i="9"/>
  <c r="AK40" i="9"/>
  <c r="S21" i="9"/>
  <c r="I30" i="9"/>
  <c r="I38" i="9"/>
  <c r="I34" i="9"/>
  <c r="G32" i="9"/>
  <c r="G38" i="9"/>
  <c r="G34" i="9"/>
  <c r="G21" i="9"/>
  <c r="C21" i="9"/>
  <c r="C36" i="9"/>
  <c r="C38" i="9"/>
  <c r="C16" i="9"/>
  <c r="C30" i="9"/>
  <c r="C34" i="9"/>
  <c r="C43" i="9"/>
  <c r="C32" i="9"/>
  <c r="X34" i="9"/>
  <c r="W10" i="9"/>
  <c r="W21" i="9"/>
  <c r="W16" i="9"/>
  <c r="W26" i="9"/>
  <c r="W36" i="9"/>
  <c r="AU40" i="9"/>
  <c r="S10" i="9"/>
  <c r="D16" i="9"/>
  <c r="D30" i="9"/>
  <c r="AP36" i="9"/>
  <c r="AP34" i="9"/>
  <c r="D41" i="9"/>
  <c r="J36" i="9"/>
  <c r="U34" i="9"/>
  <c r="U30" i="9"/>
  <c r="U38" i="9"/>
  <c r="J43" i="9"/>
  <c r="AD38" i="9"/>
  <c r="AD34" i="9"/>
  <c r="AD10" i="9"/>
  <c r="AD30" i="9"/>
  <c r="AD26" i="9"/>
  <c r="AD16" i="9"/>
  <c r="P38" i="9"/>
  <c r="AP32" i="9"/>
  <c r="U21" i="9"/>
  <c r="S30" i="9"/>
  <c r="AC41" i="9"/>
  <c r="W46" i="9"/>
  <c r="W41" i="9"/>
  <c r="G10" i="9"/>
  <c r="X26" i="9"/>
  <c r="X21" i="9"/>
  <c r="X10" i="9"/>
  <c r="AB10" i="9"/>
  <c r="AB34" i="9"/>
  <c r="AB30" i="9"/>
  <c r="AB26" i="9"/>
  <c r="AB32" i="9"/>
  <c r="AB38" i="9"/>
  <c r="AP10" i="9"/>
  <c r="P26" i="9"/>
  <c r="S36" i="9"/>
  <c r="P32" i="9"/>
  <c r="G43" i="9"/>
  <c r="F16" i="9"/>
  <c r="F34" i="9"/>
  <c r="F30" i="9"/>
  <c r="F38" i="9"/>
  <c r="F10" i="9"/>
  <c r="I43" i="9"/>
  <c r="X41" i="9"/>
  <c r="D36" i="9"/>
  <c r="P16" i="9"/>
  <c r="G36" i="9"/>
  <c r="I32" i="9"/>
  <c r="AO16" i="9"/>
  <c r="AO43" i="9"/>
  <c r="AO10" i="9"/>
  <c r="AO30" i="9"/>
  <c r="AO26" i="9"/>
  <c r="X30" i="9"/>
  <c r="J26" i="9"/>
  <c r="F36" i="9"/>
  <c r="AG30" i="9"/>
  <c r="AG36" i="9"/>
  <c r="AG34" i="9"/>
  <c r="AG43" i="9"/>
  <c r="AG38" i="9"/>
  <c r="AC10" i="9"/>
  <c r="AC38" i="9"/>
  <c r="AC34" i="9"/>
  <c r="AC26" i="9"/>
  <c r="AC16" i="9"/>
  <c r="W48" i="9"/>
  <c r="W43" i="9"/>
  <c r="X38" i="9"/>
  <c r="W38" i="9"/>
  <c r="Q26" i="9"/>
  <c r="Q38" i="9"/>
  <c r="Q16" i="9"/>
  <c r="Q10" i="9"/>
  <c r="Q34" i="9"/>
  <c r="F41" i="9"/>
  <c r="R30" i="9"/>
  <c r="R38" i="9"/>
  <c r="R16" i="9"/>
  <c r="R26" i="9"/>
  <c r="R34" i="9"/>
  <c r="R10" i="9"/>
  <c r="AC32" i="9"/>
  <c r="AB36" i="9"/>
  <c r="C26" i="9"/>
  <c r="AO36" i="9"/>
  <c r="R36" i="9"/>
  <c r="D43" i="9"/>
  <c r="J41" i="9"/>
  <c r="H41" i="9"/>
  <c r="I10" i="9"/>
  <c r="J10" i="9"/>
  <c r="S41" i="9"/>
  <c r="E41" i="9"/>
  <c r="W32" i="9"/>
  <c r="J16" i="9"/>
  <c r="T38" i="9"/>
  <c r="T34" i="9"/>
  <c r="T21" i="9"/>
  <c r="T41" i="9"/>
  <c r="T30" i="9"/>
  <c r="AF10" i="9"/>
  <c r="AK16" i="9" l="1"/>
  <c r="AX21" i="8"/>
  <c r="AX27" i="8"/>
  <c r="AU26" i="9"/>
  <c r="AK43" i="9"/>
  <c r="AK10" i="9"/>
  <c r="AU41" i="9"/>
  <c r="AU30" i="9"/>
  <c r="AK30" i="9"/>
  <c r="AU43" i="9"/>
  <c r="AK41" i="9"/>
  <c r="AK26" i="9"/>
  <c r="AU36" i="9"/>
  <c r="AU16" i="9"/>
  <c r="AU32" i="9"/>
  <c r="AU21" i="9"/>
  <c r="AU34" i="9"/>
  <c r="AU38" i="9"/>
  <c r="AK36" i="9"/>
  <c r="AK34" i="9"/>
  <c r="AK38" i="9"/>
  <c r="AK21" i="9"/>
  <c r="AX28" i="8"/>
  <c r="AX32" i="8" l="1"/>
  <c r="AX33" i="8" s="1"/>
  <c r="AV35" i="8" l="1"/>
  <c r="AT35" i="8"/>
  <c r="AS35" i="8"/>
  <c r="AR35" i="8"/>
  <c r="AQ35" i="8"/>
  <c r="AO35" i="8"/>
  <c r="AN35" i="8"/>
  <c r="AM35" i="8"/>
  <c r="AL35" i="8"/>
  <c r="AJ35" i="8"/>
  <c r="AI35" i="8"/>
  <c r="AH35" i="8"/>
  <c r="AE35" i="8"/>
  <c r="AD35" i="8"/>
  <c r="AC35" i="8"/>
  <c r="Z35" i="8"/>
  <c r="Y35" i="8"/>
  <c r="X35" i="8"/>
  <c r="W35" i="8"/>
  <c r="U35" i="8"/>
  <c r="T35" i="8"/>
  <c r="S35" i="8"/>
  <c r="R35" i="8"/>
  <c r="P35" i="8"/>
  <c r="O35" i="8"/>
  <c r="N35" i="8"/>
  <c r="M35" i="8"/>
  <c r="K35" i="8"/>
  <c r="J35" i="8"/>
  <c r="I35" i="8"/>
  <c r="H35" i="8"/>
  <c r="F35" i="8"/>
  <c r="E35" i="8"/>
  <c r="D35" i="8"/>
  <c r="C35" i="8"/>
  <c r="AU34" i="8"/>
  <c r="AP34" i="8"/>
  <c r="AK34" i="8"/>
  <c r="AF34" i="8"/>
  <c r="AA34" i="8"/>
  <c r="V34" i="8"/>
  <c r="Q34" i="8"/>
  <c r="L34" i="8"/>
  <c r="G34" i="8"/>
  <c r="AU30" i="8"/>
  <c r="AP30" i="8"/>
  <c r="AK30" i="8"/>
  <c r="AF30" i="8"/>
  <c r="AA30" i="8"/>
  <c r="V30" i="8"/>
  <c r="Q30" i="8"/>
  <c r="L30" i="8"/>
  <c r="G30" i="8"/>
  <c r="AU29" i="8"/>
  <c r="AP29" i="8"/>
  <c r="AK29" i="8"/>
  <c r="AF29" i="8"/>
  <c r="AA29" i="8"/>
  <c r="V29" i="8"/>
  <c r="Q29" i="8"/>
  <c r="L29" i="8"/>
  <c r="G29" i="8"/>
  <c r="AV26" i="8"/>
  <c r="AZ26" i="8" s="1"/>
  <c r="AT26" i="8"/>
  <c r="AS26" i="8"/>
  <c r="AR26" i="8"/>
  <c r="AQ26" i="8"/>
  <c r="AO26" i="8"/>
  <c r="AN26" i="8"/>
  <c r="AM26" i="8"/>
  <c r="AL26" i="8"/>
  <c r="AJ26" i="8"/>
  <c r="AI26" i="8"/>
  <c r="AH26" i="8"/>
  <c r="AE26" i="8"/>
  <c r="AD26" i="8"/>
  <c r="AC26" i="8"/>
  <c r="Z26" i="8"/>
  <c r="Y26" i="8"/>
  <c r="X26" i="8"/>
  <c r="W26" i="8"/>
  <c r="U26" i="8"/>
  <c r="T26" i="8"/>
  <c r="S26" i="8"/>
  <c r="R26" i="8"/>
  <c r="P26" i="8"/>
  <c r="O26" i="8"/>
  <c r="N26" i="8"/>
  <c r="M26" i="8"/>
  <c r="K26" i="8"/>
  <c r="J26" i="8"/>
  <c r="I26" i="8"/>
  <c r="H26" i="8"/>
  <c r="F26" i="8"/>
  <c r="E26" i="8"/>
  <c r="D26" i="8"/>
  <c r="C26" i="8"/>
  <c r="AU25" i="8"/>
  <c r="AP25" i="8"/>
  <c r="AK25" i="8"/>
  <c r="AF25" i="8"/>
  <c r="AA25" i="8"/>
  <c r="V25" i="8"/>
  <c r="Q25" i="8"/>
  <c r="L25" i="8"/>
  <c r="G25" i="8"/>
  <c r="AU24" i="8"/>
  <c r="AP24" i="8"/>
  <c r="AK24" i="8"/>
  <c r="AF24" i="8"/>
  <c r="AA24" i="8"/>
  <c r="V24" i="8"/>
  <c r="Q24" i="8"/>
  <c r="L24" i="8"/>
  <c r="G24" i="8"/>
  <c r="AU23" i="8"/>
  <c r="AP23" i="8"/>
  <c r="AK23" i="8"/>
  <c r="AF23" i="8"/>
  <c r="AA23" i="8"/>
  <c r="V23" i="8"/>
  <c r="Q23" i="8"/>
  <c r="L23" i="8"/>
  <c r="G23" i="8"/>
  <c r="AU19" i="8"/>
  <c r="AP19" i="8"/>
  <c r="AK19" i="8"/>
  <c r="AF19" i="8"/>
  <c r="AA19" i="8"/>
  <c r="V19" i="8"/>
  <c r="Q19" i="8"/>
  <c r="L19" i="8"/>
  <c r="G19" i="8"/>
  <c r="AV18" i="8"/>
  <c r="AZ18" i="8" s="1"/>
  <c r="AT18" i="8"/>
  <c r="AS18" i="8"/>
  <c r="AR18" i="8"/>
  <c r="AQ18" i="8"/>
  <c r="AO18" i="8"/>
  <c r="AN18" i="8"/>
  <c r="AM18" i="8"/>
  <c r="AL18" i="8"/>
  <c r="AJ18" i="8"/>
  <c r="AI18" i="8"/>
  <c r="AH18" i="8"/>
  <c r="AE18" i="8"/>
  <c r="AE20" i="8" s="1"/>
  <c r="AE21" i="8" s="1"/>
  <c r="AD18" i="8"/>
  <c r="AC18" i="8"/>
  <c r="Z18" i="8"/>
  <c r="Y18" i="8"/>
  <c r="X18" i="8"/>
  <c r="W18" i="8"/>
  <c r="U18" i="8"/>
  <c r="T18" i="8"/>
  <c r="T20" i="8" s="1"/>
  <c r="T21" i="8" s="1"/>
  <c r="S18" i="8"/>
  <c r="R18" i="8"/>
  <c r="P18" i="8"/>
  <c r="O18" i="8"/>
  <c r="N18" i="8"/>
  <c r="M18" i="8"/>
  <c r="K18" i="8"/>
  <c r="J18" i="8"/>
  <c r="I18" i="8"/>
  <c r="H18" i="8"/>
  <c r="F18" i="8"/>
  <c r="E18" i="8"/>
  <c r="D18" i="8"/>
  <c r="C18" i="8"/>
  <c r="AU17" i="8"/>
  <c r="AP17" i="8"/>
  <c r="AK17" i="8"/>
  <c r="AF17" i="8"/>
  <c r="AA17" i="8"/>
  <c r="V17" i="8"/>
  <c r="Q17" i="8"/>
  <c r="L17" i="8"/>
  <c r="G17" i="8"/>
  <c r="AU16" i="8"/>
  <c r="AP16" i="8"/>
  <c r="AK16" i="8"/>
  <c r="AF16" i="8"/>
  <c r="AA16" i="8"/>
  <c r="V16" i="8"/>
  <c r="Q16" i="8"/>
  <c r="L16" i="8"/>
  <c r="G16" i="8"/>
  <c r="AU15" i="8"/>
  <c r="AP15" i="8"/>
  <c r="AK15" i="8"/>
  <c r="AF15" i="8"/>
  <c r="AA15" i="8"/>
  <c r="V15" i="8"/>
  <c r="Q15" i="8"/>
  <c r="L15" i="8"/>
  <c r="G15" i="8"/>
  <c r="AU14" i="8"/>
  <c r="AP14" i="8"/>
  <c r="AK14" i="8"/>
  <c r="AF14" i="8"/>
  <c r="AA14" i="8"/>
  <c r="V14" i="8"/>
  <c r="Q14" i="8"/>
  <c r="L14" i="8"/>
  <c r="G14" i="8"/>
  <c r="AE12" i="8"/>
  <c r="T12" i="8"/>
  <c r="AJ11" i="8"/>
  <c r="AJ12" i="8" s="1"/>
  <c r="AH11" i="8"/>
  <c r="AH12" i="8" s="1"/>
  <c r="Z11" i="8"/>
  <c r="Z12" i="8" s="1"/>
  <c r="AV10" i="8"/>
  <c r="AT10" i="8"/>
  <c r="AT11" i="8" s="1"/>
  <c r="AT12" i="8" s="1"/>
  <c r="AS10" i="8"/>
  <c r="AS11" i="8" s="1"/>
  <c r="AS12" i="8" s="1"/>
  <c r="AR10" i="8"/>
  <c r="AR11" i="8" s="1"/>
  <c r="AQ10" i="8"/>
  <c r="AQ11" i="8" s="1"/>
  <c r="AQ12" i="8" s="1"/>
  <c r="AO10" i="8"/>
  <c r="AO11" i="8" s="1"/>
  <c r="AO12" i="8" s="1"/>
  <c r="AN10" i="8"/>
  <c r="AN11" i="8" s="1"/>
  <c r="AN12" i="8" s="1"/>
  <c r="AM10" i="8"/>
  <c r="AM11" i="8" s="1"/>
  <c r="AM12" i="8" s="1"/>
  <c r="AL10" i="8"/>
  <c r="AL11" i="8" s="1"/>
  <c r="AI10" i="8"/>
  <c r="AK10" i="8" s="1"/>
  <c r="AD10" i="8"/>
  <c r="AD11" i="8" s="1"/>
  <c r="AD12" i="8" s="1"/>
  <c r="AC10" i="8"/>
  <c r="AC11" i="8" s="1"/>
  <c r="AC12" i="8" s="1"/>
  <c r="Y10" i="8"/>
  <c r="Y11" i="8" s="1"/>
  <c r="X10" i="8"/>
  <c r="X11" i="8" s="1"/>
  <c r="W10" i="8"/>
  <c r="W11" i="8" s="1"/>
  <c r="U10" i="8"/>
  <c r="U11" i="8" s="1"/>
  <c r="T10" i="8"/>
  <c r="S10" i="8"/>
  <c r="S11" i="8" s="1"/>
  <c r="S12" i="8" s="1"/>
  <c r="R10" i="8"/>
  <c r="R11" i="8" s="1"/>
  <c r="R12" i="8" s="1"/>
  <c r="P10" i="8"/>
  <c r="P11" i="8" s="1"/>
  <c r="P12" i="8" s="1"/>
  <c r="O10" i="8"/>
  <c r="O11" i="8" s="1"/>
  <c r="O12" i="8" s="1"/>
  <c r="N10" i="8"/>
  <c r="N11" i="8" s="1"/>
  <c r="N12" i="8" s="1"/>
  <c r="M10" i="8"/>
  <c r="K10" i="8"/>
  <c r="K11" i="8" s="1"/>
  <c r="K12" i="8" s="1"/>
  <c r="J10" i="8"/>
  <c r="J11" i="8" s="1"/>
  <c r="J20" i="8" s="1"/>
  <c r="I10" i="8"/>
  <c r="I11" i="8" s="1"/>
  <c r="I12" i="8" s="1"/>
  <c r="H10" i="8"/>
  <c r="H11" i="8" s="1"/>
  <c r="F10" i="8"/>
  <c r="F11" i="8" s="1"/>
  <c r="F12" i="8" s="1"/>
  <c r="E10" i="8"/>
  <c r="E11" i="8" s="1"/>
  <c r="E12" i="8" s="1"/>
  <c r="D10" i="8"/>
  <c r="D11" i="8" s="1"/>
  <c r="D12" i="8" s="1"/>
  <c r="C10" i="8"/>
  <c r="C11" i="8" s="1"/>
  <c r="C12" i="8" s="1"/>
  <c r="AU9" i="8"/>
  <c r="AP9" i="8"/>
  <c r="AK9" i="8"/>
  <c r="AF9" i="8"/>
  <c r="AA9" i="8"/>
  <c r="V9" i="8"/>
  <c r="Q9" i="8"/>
  <c r="L9" i="8"/>
  <c r="G9" i="8"/>
  <c r="AU8" i="8"/>
  <c r="AP8" i="8"/>
  <c r="AK8" i="8"/>
  <c r="AF8" i="8"/>
  <c r="AA8" i="8"/>
  <c r="V8" i="8"/>
  <c r="Q8" i="8"/>
  <c r="L8" i="8"/>
  <c r="G8" i="8"/>
  <c r="AU7" i="8"/>
  <c r="AP7" i="8"/>
  <c r="AF7" i="8"/>
  <c r="AA7" i="8"/>
  <c r="V7" i="8"/>
  <c r="Q7" i="8"/>
  <c r="L7" i="8"/>
  <c r="G7" i="8"/>
  <c r="AU5" i="8"/>
  <c r="AP5" i="8"/>
  <c r="AK5" i="8"/>
  <c r="AF5" i="8"/>
  <c r="AA5" i="8"/>
  <c r="V5" i="8"/>
  <c r="Q5" i="8"/>
  <c r="L5" i="8"/>
  <c r="G5" i="8"/>
  <c r="AV11" i="8" l="1"/>
  <c r="AZ11" i="8" s="1"/>
  <c r="AK18" i="8"/>
  <c r="AK35" i="8"/>
  <c r="Q18" i="8"/>
  <c r="AF18" i="8"/>
  <c r="V18" i="8"/>
  <c r="G18" i="8"/>
  <c r="AU35" i="8"/>
  <c r="L35" i="8"/>
  <c r="Y20" i="8"/>
  <c r="Y27" i="8" s="1"/>
  <c r="Q26" i="8"/>
  <c r="C20" i="8"/>
  <c r="C27" i="8" s="1"/>
  <c r="G35" i="8"/>
  <c r="X20" i="8"/>
  <c r="X27" i="8" s="1"/>
  <c r="AF35" i="8"/>
  <c r="Q10" i="8"/>
  <c r="AJ20" i="8"/>
  <c r="AJ21" i="8" s="1"/>
  <c r="AP10" i="8"/>
  <c r="F20" i="8"/>
  <c r="F27" i="8" s="1"/>
  <c r="AP18" i="8"/>
  <c r="Z20" i="8"/>
  <c r="Z21" i="8" s="1"/>
  <c r="AF10" i="8"/>
  <c r="AI11" i="8"/>
  <c r="AI12" i="8" s="1"/>
  <c r="AK26" i="8"/>
  <c r="G26" i="8"/>
  <c r="AV20" i="8"/>
  <c r="V10" i="8"/>
  <c r="AA18" i="8"/>
  <c r="Q35" i="8"/>
  <c r="AF11" i="8"/>
  <c r="AF12" i="8" s="1"/>
  <c r="AF26" i="8"/>
  <c r="L26" i="8"/>
  <c r="S20" i="8"/>
  <c r="S21" i="8" s="1"/>
  <c r="AN20" i="8"/>
  <c r="AN27" i="8" s="1"/>
  <c r="V35" i="8"/>
  <c r="V26" i="8"/>
  <c r="AA26" i="8"/>
  <c r="AE27" i="8"/>
  <c r="AE32" i="8" s="1"/>
  <c r="AE33" i="8" s="1"/>
  <c r="AA35" i="8"/>
  <c r="AP26" i="8"/>
  <c r="AM20" i="8"/>
  <c r="R20" i="8"/>
  <c r="R27" i="8" s="1"/>
  <c r="AM27" i="8"/>
  <c r="AM21" i="8"/>
  <c r="J27" i="8"/>
  <c r="J21" i="8"/>
  <c r="U12" i="8"/>
  <c r="V11" i="8"/>
  <c r="V12" i="8" s="1"/>
  <c r="U20" i="8"/>
  <c r="H12" i="8"/>
  <c r="L11" i="8"/>
  <c r="L12" i="8" s="1"/>
  <c r="AA11" i="8"/>
  <c r="AA12" i="8" s="1"/>
  <c r="W12" i="8"/>
  <c r="W20" i="8"/>
  <c r="AR12" i="8"/>
  <c r="AR20" i="8"/>
  <c r="Z27" i="8"/>
  <c r="AP11" i="8"/>
  <c r="AP12" i="8" s="1"/>
  <c r="AL12" i="8"/>
  <c r="AL20" i="8"/>
  <c r="K20" i="8"/>
  <c r="M11" i="8"/>
  <c r="X12" i="8"/>
  <c r="AU18" i="8"/>
  <c r="AA10" i="8"/>
  <c r="J12" i="8"/>
  <c r="Y12" i="8"/>
  <c r="N20" i="8"/>
  <c r="AO20" i="8"/>
  <c r="AU26" i="8"/>
  <c r="AU10" i="8"/>
  <c r="O20" i="8"/>
  <c r="AC20" i="8"/>
  <c r="AP35" i="8"/>
  <c r="P20" i="8"/>
  <c r="AD20" i="8"/>
  <c r="AQ20" i="8"/>
  <c r="L18" i="8"/>
  <c r="D20" i="8"/>
  <c r="AJ27" i="8"/>
  <c r="E20" i="8"/>
  <c r="AS20" i="8"/>
  <c r="AH20" i="8"/>
  <c r="G11" i="8"/>
  <c r="G12" i="8" s="1"/>
  <c r="AU11" i="8"/>
  <c r="AU12" i="8" s="1"/>
  <c r="I20" i="8"/>
  <c r="L10" i="8"/>
  <c r="AT20" i="8"/>
  <c r="H20" i="8"/>
  <c r="T27" i="8"/>
  <c r="G10" i="8"/>
  <c r="Y21" i="8" l="1"/>
  <c r="AZ20" i="8"/>
  <c r="AZ21" i="8" s="1"/>
  <c r="AV12" i="8"/>
  <c r="AZ12" i="8"/>
  <c r="AN21" i="8"/>
  <c r="C21" i="8"/>
  <c r="F21" i="8"/>
  <c r="X21" i="8"/>
  <c r="R21" i="8"/>
  <c r="AV21" i="8"/>
  <c r="AV27" i="8"/>
  <c r="G20" i="8"/>
  <c r="G21" i="8" s="1"/>
  <c r="AK11" i="8"/>
  <c r="AK12" i="8" s="1"/>
  <c r="S27" i="8"/>
  <c r="S32" i="8" s="1"/>
  <c r="S33" i="8" s="1"/>
  <c r="AE28" i="8"/>
  <c r="AI20" i="8"/>
  <c r="AK20" i="8" s="1"/>
  <c r="AK21" i="8" s="1"/>
  <c r="I21" i="8"/>
  <c r="I27" i="8"/>
  <c r="P27" i="8"/>
  <c r="P21" i="8"/>
  <c r="F32" i="8"/>
  <c r="F33" i="8" s="1"/>
  <c r="F28" i="8"/>
  <c r="AC27" i="8"/>
  <c r="AF20" i="8"/>
  <c r="AF21" i="8" s="1"/>
  <c r="AC21" i="8"/>
  <c r="U21" i="8"/>
  <c r="U27" i="8"/>
  <c r="AH21" i="8"/>
  <c r="AH27" i="8"/>
  <c r="K21" i="8"/>
  <c r="K27" i="8"/>
  <c r="T28" i="8"/>
  <c r="T32" i="8"/>
  <c r="T33" i="8" s="1"/>
  <c r="AS21" i="8"/>
  <c r="AS27" i="8"/>
  <c r="AL21" i="8"/>
  <c r="AP20" i="8"/>
  <c r="AP21" i="8" s="1"/>
  <c r="AL27" i="8"/>
  <c r="H21" i="8"/>
  <c r="H27" i="8"/>
  <c r="L20" i="8"/>
  <c r="L21" i="8" s="1"/>
  <c r="E27" i="8"/>
  <c r="E21" i="8"/>
  <c r="AJ32" i="8"/>
  <c r="AJ33" i="8" s="1"/>
  <c r="AJ28" i="8"/>
  <c r="AT21" i="8"/>
  <c r="AT27" i="8"/>
  <c r="W21" i="8"/>
  <c r="AA20" i="8"/>
  <c r="AA21" i="8" s="1"/>
  <c r="W27" i="8"/>
  <c r="V20" i="8"/>
  <c r="V21" i="8" s="1"/>
  <c r="C32" i="8"/>
  <c r="C28" i="8"/>
  <c r="N27" i="8"/>
  <c r="N21" i="8"/>
  <c r="Z32" i="8"/>
  <c r="Z33" i="8" s="1"/>
  <c r="Z28" i="8"/>
  <c r="R32" i="8"/>
  <c r="R28" i="8"/>
  <c r="M12" i="8"/>
  <c r="Q11" i="8"/>
  <c r="Q12" i="8" s="1"/>
  <c r="M20" i="8"/>
  <c r="AN32" i="8"/>
  <c r="AN33" i="8" s="1"/>
  <c r="AN28" i="8"/>
  <c r="O27" i="8"/>
  <c r="O21" i="8"/>
  <c r="AR27" i="8"/>
  <c r="AR21" i="8"/>
  <c r="X28" i="8"/>
  <c r="X32" i="8"/>
  <c r="X33" i="8" s="1"/>
  <c r="AO27" i="8"/>
  <c r="AO21" i="8"/>
  <c r="J32" i="8"/>
  <c r="J33" i="8" s="1"/>
  <c r="J28" i="8"/>
  <c r="D27" i="8"/>
  <c r="D21" i="8"/>
  <c r="AQ27" i="8"/>
  <c r="AU20" i="8"/>
  <c r="AU21" i="8" s="1"/>
  <c r="AQ21" i="8"/>
  <c r="Y28" i="8"/>
  <c r="Y32" i="8"/>
  <c r="Y33" i="8" s="1"/>
  <c r="AD27" i="8"/>
  <c r="AD21" i="8"/>
  <c r="AM32" i="8"/>
  <c r="AM33" i="8" s="1"/>
  <c r="AM28" i="8"/>
  <c r="AZ27" i="8" l="1"/>
  <c r="AZ28" i="8" s="1"/>
  <c r="G27" i="8"/>
  <c r="G28" i="8" s="1"/>
  <c r="S28" i="8"/>
  <c r="V27" i="8"/>
  <c r="V28" i="8" s="1"/>
  <c r="AI21" i="8"/>
  <c r="AI27" i="8"/>
  <c r="AV28" i="8"/>
  <c r="AV32" i="8"/>
  <c r="AZ32" i="8" s="1"/>
  <c r="AO32" i="8"/>
  <c r="AO33" i="8" s="1"/>
  <c r="AO28" i="8"/>
  <c r="AA27" i="8"/>
  <c r="AA28" i="8" s="1"/>
  <c r="W28" i="8"/>
  <c r="W32" i="8"/>
  <c r="U28" i="8"/>
  <c r="U32" i="8"/>
  <c r="U33" i="8" s="1"/>
  <c r="R33" i="8"/>
  <c r="AR32" i="8"/>
  <c r="AR33" i="8" s="1"/>
  <c r="AR28" i="8"/>
  <c r="AT28" i="8"/>
  <c r="AT32" i="8"/>
  <c r="AT33" i="8" s="1"/>
  <c r="AS32" i="8"/>
  <c r="AS33" i="8" s="1"/>
  <c r="AS28" i="8"/>
  <c r="AC32" i="8"/>
  <c r="AC28" i="8"/>
  <c r="AF27" i="8"/>
  <c r="AF28" i="8" s="1"/>
  <c r="AQ32" i="8"/>
  <c r="AQ28" i="8"/>
  <c r="AU27" i="8"/>
  <c r="AU28" i="8" s="1"/>
  <c r="O32" i="8"/>
  <c r="O33" i="8" s="1"/>
  <c r="O28" i="8"/>
  <c r="D32" i="8"/>
  <c r="D33" i="8" s="1"/>
  <c r="D28" i="8"/>
  <c r="N32" i="8"/>
  <c r="N33" i="8" s="1"/>
  <c r="N28" i="8"/>
  <c r="K32" i="8"/>
  <c r="K33" i="8" s="1"/>
  <c r="K28" i="8"/>
  <c r="Q20" i="8"/>
  <c r="Q21" i="8" s="1"/>
  <c r="M27" i="8"/>
  <c r="M21" i="8"/>
  <c r="E32" i="8"/>
  <c r="E33" i="8" s="1"/>
  <c r="E28" i="8"/>
  <c r="P32" i="8"/>
  <c r="P33" i="8" s="1"/>
  <c r="P28" i="8"/>
  <c r="AP27" i="8"/>
  <c r="AP28" i="8" s="1"/>
  <c r="AL32" i="8"/>
  <c r="AL28" i="8"/>
  <c r="I28" i="8"/>
  <c r="I32" i="8"/>
  <c r="I33" i="8" s="1"/>
  <c r="AD32" i="8"/>
  <c r="AD33" i="8" s="1"/>
  <c r="AD28" i="8"/>
  <c r="C33" i="8"/>
  <c r="H28" i="8"/>
  <c r="L27" i="8"/>
  <c r="L28" i="8" s="1"/>
  <c r="H32" i="8"/>
  <c r="AH28" i="8"/>
  <c r="AK27" i="8"/>
  <c r="AK28" i="8" s="1"/>
  <c r="AH32" i="8"/>
  <c r="V32" i="8" l="1"/>
  <c r="V33" i="8" s="1"/>
  <c r="AV33" i="8"/>
  <c r="AZ33" i="8"/>
  <c r="AI28" i="8"/>
  <c r="AI32" i="8"/>
  <c r="AI33" i="8" s="1"/>
  <c r="G32" i="8"/>
  <c r="G33" i="8" s="1"/>
  <c r="Q27" i="8"/>
  <c r="Q28" i="8" s="1"/>
  <c r="M32" i="8"/>
  <c r="M28" i="8"/>
  <c r="AU32" i="8"/>
  <c r="AU33" i="8" s="1"/>
  <c r="AQ33" i="8"/>
  <c r="W33" i="8"/>
  <c r="AA32" i="8"/>
  <c r="AA33" i="8" s="1"/>
  <c r="AF32" i="8"/>
  <c r="AF33" i="8" s="1"/>
  <c r="AC33" i="8"/>
  <c r="AH33" i="8"/>
  <c r="H33" i="8"/>
  <c r="L32" i="8"/>
  <c r="L33" i="8" s="1"/>
  <c r="AP32" i="8"/>
  <c r="AP33" i="8" s="1"/>
  <c r="AL33" i="8"/>
  <c r="AK32" i="8" l="1"/>
  <c r="AK33" i="8" s="1"/>
  <c r="Q32" i="8"/>
  <c r="Q33" i="8" s="1"/>
  <c r="M33" i="8"/>
  <c r="C186" i="4" l="1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Isabele Goncalves (Maxion Hub Services)</author>
  </authors>
  <commentList>
    <comment ref="A24" authorId="0" shapeId="0" xr:uid="{D92ECD0D-A474-4DC8-96F8-97B294B83DD2}">
      <text>
        <r>
          <rPr>
            <b/>
            <sz val="9"/>
            <color indexed="81"/>
            <rFont val="Segoe UI"/>
            <family val="2"/>
          </rPr>
          <t>Isabele Goncalves (Maxion Hub Services):</t>
        </r>
        <r>
          <rPr>
            <sz val="9"/>
            <color indexed="81"/>
            <rFont val="Segoe UI"/>
            <family val="2"/>
          </rPr>
          <t xml:space="preserve">
Em setembro/2022 esta conta foi utilzada para "Outros Créditos" nas grades CVM</t>
        </r>
      </text>
    </comment>
    <comment ref="A25" authorId="0" shapeId="0" xr:uid="{42DF225A-4ADF-444F-98D2-CC850EED38A8}">
      <text>
        <r>
          <rPr>
            <b/>
            <sz val="9"/>
            <color indexed="81"/>
            <rFont val="Segoe UI"/>
            <family val="2"/>
          </rPr>
          <t>Isabele Goncalves (Maxion Hub Services):</t>
        </r>
        <r>
          <rPr>
            <sz val="9"/>
            <color indexed="81"/>
            <rFont val="Segoe UI"/>
            <family val="2"/>
          </rPr>
          <t xml:space="preserve">
Em setembro/2022 esta conta foi utilizada para "Instrumentos financeiros" nas grades CVM</t>
        </r>
      </text>
    </comment>
  </commentList>
</comments>
</file>

<file path=xl/sharedStrings.xml><?xml version="1.0" encoding="utf-8"?>
<sst xmlns="http://schemas.openxmlformats.org/spreadsheetml/2006/main" count="1417" uniqueCount="692">
  <si>
    <t>Codigo Conta</t>
  </si>
  <si>
    <t>Descricao Conta</t>
  </si>
  <si>
    <t>1</t>
  </si>
  <si>
    <t>Ativo Total</t>
  </si>
  <si>
    <t>1.01</t>
  </si>
  <si>
    <t>Ativo Circulante</t>
  </si>
  <si>
    <t>1.01.01</t>
  </si>
  <si>
    <t>Caixa e Equivalentes de Caixa</t>
  </si>
  <si>
    <t>1.01.02</t>
  </si>
  <si>
    <t>Aplicações Financeiras</t>
  </si>
  <si>
    <t>1.01.02.01</t>
  </si>
  <si>
    <t>Aplicações Financeiras Avaliadas a Valor Justo através do Resultado</t>
  </si>
  <si>
    <t>1.01.02.01.01</t>
  </si>
  <si>
    <t>Títulos para Negociação</t>
  </si>
  <si>
    <t>1.01.02.01.02</t>
  </si>
  <si>
    <t>Títulos Designados a Valor Justo</t>
  </si>
  <si>
    <t>1.01.02.02</t>
  </si>
  <si>
    <t>Aplicações Financeiras Avaliadas a Valor Justo através de Outros Resultados Abrangentes</t>
  </si>
  <si>
    <t>1.01.02.03</t>
  </si>
  <si>
    <t>Aplicações Financeiras Avaliadas ao Custo Amortizado</t>
  </si>
  <si>
    <t>1.01.03</t>
  </si>
  <si>
    <t>Contas a Receber</t>
  </si>
  <si>
    <t>1.01.03.01</t>
  </si>
  <si>
    <t>Clientes</t>
  </si>
  <si>
    <t>1.01.03.02</t>
  </si>
  <si>
    <t>Outras Contas a Receber</t>
  </si>
  <si>
    <t>1.01.04</t>
  </si>
  <si>
    <t>Estoques</t>
  </si>
  <si>
    <t>1.01.05</t>
  </si>
  <si>
    <t>Ativos Biológicos</t>
  </si>
  <si>
    <t>1.01.06</t>
  </si>
  <si>
    <t>Tributos a Recuperar</t>
  </si>
  <si>
    <t>1.01.06.01</t>
  </si>
  <si>
    <t>Tributos Correntes a Recuperar</t>
  </si>
  <si>
    <t>1.01.07</t>
  </si>
  <si>
    <t>Despesas Antecipadas</t>
  </si>
  <si>
    <t>1.01.08</t>
  </si>
  <si>
    <t>Outros Ativos Circulantes</t>
  </si>
  <si>
    <t>1.01.08.01</t>
  </si>
  <si>
    <t>Ativos Não-Correntes a Venda</t>
  </si>
  <si>
    <t>1.01.08.02</t>
  </si>
  <si>
    <t>Ativos de Operações Descontinuadas</t>
  </si>
  <si>
    <t>1.01.08.03</t>
  </si>
  <si>
    <t>Outros</t>
  </si>
  <si>
    <t>1.01.08.03.01</t>
  </si>
  <si>
    <t>Dividendos a Receber</t>
  </si>
  <si>
    <t>1.01.08.03.02</t>
  </si>
  <si>
    <t>Outros Créditos</t>
  </si>
  <si>
    <t>1.01.08.03.03</t>
  </si>
  <si>
    <t>Instrumentos Financeiros Derivativos</t>
  </si>
  <si>
    <t>1.02</t>
  </si>
  <si>
    <t>Ativo Não Circulante</t>
  </si>
  <si>
    <t>1.02.01</t>
  </si>
  <si>
    <t>Ativo Realizável a Longo Prazo</t>
  </si>
  <si>
    <t>1.02.01.01</t>
  </si>
  <si>
    <t>1.02.01.01.01</t>
  </si>
  <si>
    <t>1.02.01.02</t>
  </si>
  <si>
    <t>1.02.01.03</t>
  </si>
  <si>
    <t>1.02.01.04</t>
  </si>
  <si>
    <t>1.02.01.04.01</t>
  </si>
  <si>
    <t>1.02.01.04.02</t>
  </si>
  <si>
    <t>1.02.01.05</t>
  </si>
  <si>
    <t>1.02.01.06</t>
  </si>
  <si>
    <t>1.02.01.07</t>
  </si>
  <si>
    <t>Tributos Diferidos</t>
  </si>
  <si>
    <t>1.02.01.07.01</t>
  </si>
  <si>
    <t>Imposto de Renda e Contribuição Social Diferidos</t>
  </si>
  <si>
    <t>1.02.01.08</t>
  </si>
  <si>
    <t>1.02.01.09</t>
  </si>
  <si>
    <t>Créditos com Partes Relacionadas</t>
  </si>
  <si>
    <t>1.02.01.09.01</t>
  </si>
  <si>
    <t>Créditos com Coligadas</t>
  </si>
  <si>
    <t>1.02.01.09.03</t>
  </si>
  <si>
    <t>Créditos com Controladores</t>
  </si>
  <si>
    <t>1.02.01.09.04</t>
  </si>
  <si>
    <t>Créditos com Outras Partes Relacionadas</t>
  </si>
  <si>
    <t>1.02.01.10</t>
  </si>
  <si>
    <t>Outros Ativos Não Circulantes</t>
  </si>
  <si>
    <t>1.02.01.10.01</t>
  </si>
  <si>
    <t>1.02.01.10.02</t>
  </si>
  <si>
    <t>1.02.01.10.03</t>
  </si>
  <si>
    <t>Impostos a Recuperar</t>
  </si>
  <si>
    <t>1.02.01.10.04</t>
  </si>
  <si>
    <t>Depósitos Judiciais</t>
  </si>
  <si>
    <t>1.02.01.10.05</t>
  </si>
  <si>
    <t>1.02.01.10.06</t>
  </si>
  <si>
    <t>Instrumento financeiro derivativo</t>
  </si>
  <si>
    <t>1.02.02</t>
  </si>
  <si>
    <t>Investimentos</t>
  </si>
  <si>
    <t>1.02.02.01</t>
  </si>
  <si>
    <t>Participações Societárias</t>
  </si>
  <si>
    <t>1.02.02.01.01</t>
  </si>
  <si>
    <t>Participações em Coligadas</t>
  </si>
  <si>
    <t>Participações em Controladas em Conjunto</t>
  </si>
  <si>
    <t>1.02.02.01.04</t>
  </si>
  <si>
    <t>Outros Investimentos</t>
  </si>
  <si>
    <t>1.02.02.02</t>
  </si>
  <si>
    <t>Propriedades para Investimento</t>
  </si>
  <si>
    <t>1.02.03</t>
  </si>
  <si>
    <t>Imobilizado</t>
  </si>
  <si>
    <t>1.02.03.01</t>
  </si>
  <si>
    <t>Imobilizado em Operação</t>
  </si>
  <si>
    <t>1.02.03.02</t>
  </si>
  <si>
    <t>Direito de Uso em Arrendamento</t>
  </si>
  <si>
    <t>1.02.03.03</t>
  </si>
  <si>
    <t>Imobilizado em Andamento</t>
  </si>
  <si>
    <t>1.02.04</t>
  </si>
  <si>
    <t>Intangível</t>
  </si>
  <si>
    <t>1.02.04.01</t>
  </si>
  <si>
    <t>Intangíveis</t>
  </si>
  <si>
    <t>1.02.04.01.01</t>
  </si>
  <si>
    <t>Contrato de Concessão</t>
  </si>
  <si>
    <t>1.02.04.01.02</t>
  </si>
  <si>
    <t>1.02.04.01.03</t>
  </si>
  <si>
    <t>Software</t>
  </si>
  <si>
    <t>2</t>
  </si>
  <si>
    <t>Passivo Total</t>
  </si>
  <si>
    <t>2.01</t>
  </si>
  <si>
    <t>Passivo Circulante</t>
  </si>
  <si>
    <t>2.01.01</t>
  </si>
  <si>
    <t>Obrigações Sociais e Trabalhistas</t>
  </si>
  <si>
    <t>2.01.01.01</t>
  </si>
  <si>
    <t>Obrigações Sociais</t>
  </si>
  <si>
    <t>2.01.01.02</t>
  </si>
  <si>
    <t>Obrigações Trabalhistas</t>
  </si>
  <si>
    <t>2.01.01.02.01</t>
  </si>
  <si>
    <t>Obrigações trabalhistas e previdênciárias</t>
  </si>
  <si>
    <t>2.01.01.02.02</t>
  </si>
  <si>
    <t>Provisão de férias e encargos</t>
  </si>
  <si>
    <t>2.01.02</t>
  </si>
  <si>
    <t>Fornecedores</t>
  </si>
  <si>
    <t>2.01.02.01</t>
  </si>
  <si>
    <t>Fornecedores Nacionais</t>
  </si>
  <si>
    <t>2.01.02.02</t>
  </si>
  <si>
    <t>Fornecedores Estrangeiros</t>
  </si>
  <si>
    <t>2.01.02.02.01</t>
  </si>
  <si>
    <t>Fornecedores no exterior</t>
  </si>
  <si>
    <t>2.01.02.02.02</t>
  </si>
  <si>
    <t>Partes relacionadas no exterior</t>
  </si>
  <si>
    <t>2.01.03</t>
  </si>
  <si>
    <t>Obrigações Fiscais</t>
  </si>
  <si>
    <t>2.01.03.01</t>
  </si>
  <si>
    <t>Obrigações Fiscais Federais</t>
  </si>
  <si>
    <t>2.01.03.01.01</t>
  </si>
  <si>
    <t>Imposto de Renda e Contribuição Social a Pagar</t>
  </si>
  <si>
    <t>2.01.03.02</t>
  </si>
  <si>
    <t>Obrigações Fiscais Estaduais</t>
  </si>
  <si>
    <t>2.01.03.03</t>
  </si>
  <si>
    <t>Obrigações Fiscais Municipais</t>
  </si>
  <si>
    <t>2.01.04</t>
  </si>
  <si>
    <t>Empréstimos e Financiamentos</t>
  </si>
  <si>
    <t>2.01.04.01</t>
  </si>
  <si>
    <t>2.01.04.01.01</t>
  </si>
  <si>
    <t>Em Moeda Nacional</t>
  </si>
  <si>
    <t>2.01.04.01.02</t>
  </si>
  <si>
    <t>Em Moeda Estrangeira</t>
  </si>
  <si>
    <t>2.01.04.02</t>
  </si>
  <si>
    <t>Debêntures</t>
  </si>
  <si>
    <t>2.01.04.03</t>
  </si>
  <si>
    <t>Financiamento por Arrendamento</t>
  </si>
  <si>
    <t>2.01.05</t>
  </si>
  <si>
    <t>Outras Obrigações</t>
  </si>
  <si>
    <t>2.01.05.01</t>
  </si>
  <si>
    <t>Passivos com Partes Relacionadas</t>
  </si>
  <si>
    <t>2.01.05.01.01</t>
  </si>
  <si>
    <t>Débitos com Coligadas</t>
  </si>
  <si>
    <t>2.01.05.01.03</t>
  </si>
  <si>
    <t>Débitos com Controladores</t>
  </si>
  <si>
    <t>2.01.05.01.04</t>
  </si>
  <si>
    <t>Débitos com Outras Partes Relacionadas</t>
  </si>
  <si>
    <t>2.01.05.02</t>
  </si>
  <si>
    <t>2.01.05.02.01</t>
  </si>
  <si>
    <t>Dividendos e JCP a Pagar</t>
  </si>
  <si>
    <t>2.01.05.02.02</t>
  </si>
  <si>
    <t>Dividendo Mínimo Obrigatório a Pagar</t>
  </si>
  <si>
    <t>2.01.05.02.03</t>
  </si>
  <si>
    <t>Obrigações por Pagamentos Baseados em Ações</t>
  </si>
  <si>
    <t>2.01.05.02.04</t>
  </si>
  <si>
    <t>Adiantamentos de Clientes</t>
  </si>
  <si>
    <t>2.01.05.02.05</t>
  </si>
  <si>
    <t>2.01.05.02.06</t>
  </si>
  <si>
    <t>2.01.06</t>
  </si>
  <si>
    <t>Provisões</t>
  </si>
  <si>
    <t>2.01.06.01</t>
  </si>
  <si>
    <t>Provisões Fiscais Previdenciárias Trabalhistas e Cíveis</t>
  </si>
  <si>
    <t>2.01.06.01.01</t>
  </si>
  <si>
    <t>Provisões Fiscais</t>
  </si>
  <si>
    <t>2.01.06.01.02</t>
  </si>
  <si>
    <t>Provisões Previdenciárias e Trabalhistas</t>
  </si>
  <si>
    <t>2.01.06.01.03</t>
  </si>
  <si>
    <t>Provisões para Benefícios a Empregados</t>
  </si>
  <si>
    <t>2.01.06.01.04</t>
  </si>
  <si>
    <t>Provisões Cíveis</t>
  </si>
  <si>
    <t>2.01.06.02</t>
  </si>
  <si>
    <t>Outras Provisões</t>
  </si>
  <si>
    <t>2.01.06.02.01</t>
  </si>
  <si>
    <t>Provisões para Garantias</t>
  </si>
  <si>
    <t>2.01.06.02.02</t>
  </si>
  <si>
    <t>Provisões para Reestruturação</t>
  </si>
  <si>
    <t>2.01.06.02.03</t>
  </si>
  <si>
    <t>Provisões para Passivos Ambientais e de Desativação</t>
  </si>
  <si>
    <t>2.01.07</t>
  </si>
  <si>
    <t>Passivos sobre Ativos Não-Correntes a Venda e Descontinuados</t>
  </si>
  <si>
    <t>2.01.07.01</t>
  </si>
  <si>
    <t>Passivos sobre Ativos Não-Correntes a Venda</t>
  </si>
  <si>
    <t>2.01.07.02</t>
  </si>
  <si>
    <t>Passivos sobre Ativos de Operações Descontinuadas</t>
  </si>
  <si>
    <t>2.02</t>
  </si>
  <si>
    <t>Passivo Não Circulante</t>
  </si>
  <si>
    <t>2.02.01</t>
  </si>
  <si>
    <t>2.02.01.01</t>
  </si>
  <si>
    <t>2.02.01.01.01</t>
  </si>
  <si>
    <t>2.02.01.01.02</t>
  </si>
  <si>
    <t>2.02.01.02</t>
  </si>
  <si>
    <t>2.02.01.03</t>
  </si>
  <si>
    <t>2.02.02</t>
  </si>
  <si>
    <t>2.02.02.01</t>
  </si>
  <si>
    <t>2.02.02.01.01</t>
  </si>
  <si>
    <t>2.02.02.01.03</t>
  </si>
  <si>
    <t>2.02.02.01.04</t>
  </si>
  <si>
    <t>2.02.02.02</t>
  </si>
  <si>
    <t>2.02.02.02.01</t>
  </si>
  <si>
    <t>2.02.02.02.02</t>
  </si>
  <si>
    <t>Adiantamento para Futuro Aumento de Capital</t>
  </si>
  <si>
    <t>2.02.02.02.03</t>
  </si>
  <si>
    <t>Outras Contas a Pagar</t>
  </si>
  <si>
    <t>2.02.02.02.04</t>
  </si>
  <si>
    <t>2.02.02.02.05</t>
  </si>
  <si>
    <t>2.02.03</t>
  </si>
  <si>
    <t>2.02.03.01</t>
  </si>
  <si>
    <t>2.02.04</t>
  </si>
  <si>
    <t>2.02.04.01</t>
  </si>
  <si>
    <t>2.02.04.01.01</t>
  </si>
  <si>
    <t>2.02.04.01.02</t>
  </si>
  <si>
    <t>2.02.04.01.03</t>
  </si>
  <si>
    <t>2.02.04.01.04</t>
  </si>
  <si>
    <t>2.02.04.02</t>
  </si>
  <si>
    <t>2.02.04.02.01</t>
  </si>
  <si>
    <t>2.02.04.02.02</t>
  </si>
  <si>
    <t>2.02.04.02.03</t>
  </si>
  <si>
    <t>2.02.05</t>
  </si>
  <si>
    <t>2.02.05.01</t>
  </si>
  <si>
    <t>2.02.05.02</t>
  </si>
  <si>
    <t>2.02.06</t>
  </si>
  <si>
    <t>Lucros e Receitas a Apropriar</t>
  </si>
  <si>
    <t>2.02.06.01</t>
  </si>
  <si>
    <t>Lucros a Apropriar</t>
  </si>
  <si>
    <t>2.02.06.02</t>
  </si>
  <si>
    <t>Receitas a Apropriar</t>
  </si>
  <si>
    <t>2.02.06.03</t>
  </si>
  <si>
    <t>Subvenções de Investimento a Apropriar</t>
  </si>
  <si>
    <t>2.03</t>
  </si>
  <si>
    <t>2.03.01</t>
  </si>
  <si>
    <t>Capital Social Realizado</t>
  </si>
  <si>
    <t>2.03.02</t>
  </si>
  <si>
    <t>Reservas de Capital</t>
  </si>
  <si>
    <t>2.03.02.01</t>
  </si>
  <si>
    <t>Ágio na Emissão de Ações</t>
  </si>
  <si>
    <t>2.03.02.02</t>
  </si>
  <si>
    <t>Reserva Especial de Ágio na Incorporação</t>
  </si>
  <si>
    <t>2.03.02.03</t>
  </si>
  <si>
    <t>Alienação de Bônus de Subscrição</t>
  </si>
  <si>
    <t>2.03.02.04</t>
  </si>
  <si>
    <t>Opções Outorgadas</t>
  </si>
  <si>
    <t>2.03.02.05</t>
  </si>
  <si>
    <t>Ações em Tesouraria</t>
  </si>
  <si>
    <t>2.03.02.06</t>
  </si>
  <si>
    <t>2.03.02.07</t>
  </si>
  <si>
    <t>Reserva de capital</t>
  </si>
  <si>
    <t>2.03.03</t>
  </si>
  <si>
    <t>Reservas de Reavaliação</t>
  </si>
  <si>
    <t>2.03.04</t>
  </si>
  <si>
    <t>Reservas de Lucros</t>
  </si>
  <si>
    <t>2.03.04.01</t>
  </si>
  <si>
    <t>Reserva Legal</t>
  </si>
  <si>
    <t>2.03.04.02</t>
  </si>
  <si>
    <t>Reserva Estatutária</t>
  </si>
  <si>
    <t>2.03.04.03</t>
  </si>
  <si>
    <t>Reserva para Contingências</t>
  </si>
  <si>
    <t>2.03.04.04</t>
  </si>
  <si>
    <t>Reserva de Lucros a Realizar</t>
  </si>
  <si>
    <t>2.03.04.05</t>
  </si>
  <si>
    <t>Reserva de Retenção de Lucros</t>
  </si>
  <si>
    <t>2.03.04.06</t>
  </si>
  <si>
    <t>Reserva Especial para Dividendos Não Distribuídos</t>
  </si>
  <si>
    <t>2.03.04.07</t>
  </si>
  <si>
    <t>Reserva de Incentivos Fiscais</t>
  </si>
  <si>
    <t>2.03.04.08</t>
  </si>
  <si>
    <t>Dividendo Adicional Proposto</t>
  </si>
  <si>
    <t>2.03.04.09</t>
  </si>
  <si>
    <t>2.03.04.10</t>
  </si>
  <si>
    <t>2.03.05</t>
  </si>
  <si>
    <t>Lucros/Prejuízos Acumulados</t>
  </si>
  <si>
    <t>2.03.06</t>
  </si>
  <si>
    <t>Ajustes de Avaliação Patrimonial</t>
  </si>
  <si>
    <t>2.03.06.01</t>
  </si>
  <si>
    <t>Ajuste de Custo Atribuído ao Imobilizado</t>
  </si>
  <si>
    <t>2.03.06.02</t>
  </si>
  <si>
    <t>Mensuração de Instrumentos Financeiros, líquidos</t>
  </si>
  <si>
    <t>2.03.07</t>
  </si>
  <si>
    <t>Ajustes Acumulados de Conversão</t>
  </si>
  <si>
    <t>2.03.07.01</t>
  </si>
  <si>
    <t>Variação Cambial sobre Investimentos no Exterior</t>
  </si>
  <si>
    <t>2.03.08</t>
  </si>
  <si>
    <t>Outros Resultados Abrangentes</t>
  </si>
  <si>
    <t>2.03.08.01</t>
  </si>
  <si>
    <t>Outros Resultados Abrangentes - Hedge Accounting</t>
  </si>
  <si>
    <t>2.03.08.02</t>
  </si>
  <si>
    <t>3.01</t>
  </si>
  <si>
    <t>Receita de Venda de Bens e/ou Serviços</t>
  </si>
  <si>
    <t>3.02</t>
  </si>
  <si>
    <t>Custo dos Bens e/ou Serviços Vendidos</t>
  </si>
  <si>
    <t>3.03</t>
  </si>
  <si>
    <t>Resultado Bruto</t>
  </si>
  <si>
    <t>3.04</t>
  </si>
  <si>
    <t>Despesas/Receitas Operacionais</t>
  </si>
  <si>
    <t>3.04.01</t>
  </si>
  <si>
    <t>Despesas com Vendas</t>
  </si>
  <si>
    <t>3.04.02</t>
  </si>
  <si>
    <t>Despesas Gerais e Administrativas</t>
  </si>
  <si>
    <t>3.04.02.01</t>
  </si>
  <si>
    <t>3.04.02.02</t>
  </si>
  <si>
    <t>Honorários da Administração</t>
  </si>
  <si>
    <t>3.04.03</t>
  </si>
  <si>
    <t>Perdas pela Não Recuperabilidade de Ativos</t>
  </si>
  <si>
    <t>3.04.04</t>
  </si>
  <si>
    <t>Outras Receitas Operacionais</t>
  </si>
  <si>
    <t>3.04.05</t>
  </si>
  <si>
    <t>Outras Despesas Operacionais</t>
  </si>
  <si>
    <t>3.04.06</t>
  </si>
  <si>
    <t>Resultado de Equivalência Patrimonial</t>
  </si>
  <si>
    <t>3.05</t>
  </si>
  <si>
    <t>Resultado Antes do Resultado Financeiro e dos Tributos</t>
  </si>
  <si>
    <t>3.06</t>
  </si>
  <si>
    <t>Resultado Financeiro</t>
  </si>
  <si>
    <t>3.06.01</t>
  </si>
  <si>
    <t>Receitas Financeiras</t>
  </si>
  <si>
    <t>3.06.01.01</t>
  </si>
  <si>
    <t>3.06.01.02</t>
  </si>
  <si>
    <t>3.06.02</t>
  </si>
  <si>
    <t>Despesas Financeiras</t>
  </si>
  <si>
    <t>3.06.02.01</t>
  </si>
  <si>
    <t>3.06.02.02</t>
  </si>
  <si>
    <t>3.07</t>
  </si>
  <si>
    <t>Resultado Antes dos Tributos sobre o Lucro</t>
  </si>
  <si>
    <t>3.08</t>
  </si>
  <si>
    <t>Imposto de Renda e Contribuição Social sobre o Lucro</t>
  </si>
  <si>
    <t>3.08.01</t>
  </si>
  <si>
    <t>Corrente</t>
  </si>
  <si>
    <t>3.08.02</t>
  </si>
  <si>
    <t>Diferido</t>
  </si>
  <si>
    <t>3.09</t>
  </si>
  <si>
    <t>Resultado Líquido das Operações Continuadas</t>
  </si>
  <si>
    <t>3.10</t>
  </si>
  <si>
    <t>Resultado Líquido de Operações Descontinuadas</t>
  </si>
  <si>
    <t>3.10.01</t>
  </si>
  <si>
    <t>Lucro/Prejuízo Líquido das Operações Descontinuadas</t>
  </si>
  <si>
    <t>3.10.02</t>
  </si>
  <si>
    <t>Ganhos/Perdas Líquidas sobre Ativos de Operações Descontinuadas</t>
  </si>
  <si>
    <t>3.11</t>
  </si>
  <si>
    <t>3.99</t>
  </si>
  <si>
    <t>Lucro por Ação - (Reais / Ação)</t>
  </si>
  <si>
    <t>3.99.01</t>
  </si>
  <si>
    <t>Lucro Básico por Ação</t>
  </si>
  <si>
    <t>3.99.01.01</t>
  </si>
  <si>
    <t>ON</t>
  </si>
  <si>
    <t>3.99.02</t>
  </si>
  <si>
    <t>Lucro Diluído por Ação</t>
  </si>
  <si>
    <t>3.99.02.01</t>
  </si>
  <si>
    <t>1.02.02.01.05</t>
  </si>
  <si>
    <t>Ágio na Aquisição de Participação</t>
  </si>
  <si>
    <t>1.02.04.01.04</t>
  </si>
  <si>
    <t>Outros Intangíveis</t>
  </si>
  <si>
    <t>1.02.04.02</t>
  </si>
  <si>
    <t>Goodwill</t>
  </si>
  <si>
    <t>Outras obrigações</t>
  </si>
  <si>
    <t>Passivo a descoberto de controladas em conjunto</t>
  </si>
  <si>
    <t>2.02.04.02.04</t>
  </si>
  <si>
    <t>Passivo atuarial de planos de pensão</t>
  </si>
  <si>
    <t>Patrimônio Líquido Consolidado</t>
  </si>
  <si>
    <t>Dividendos intermediários</t>
  </si>
  <si>
    <t>2.03.09</t>
  </si>
  <si>
    <t>Participação dos Acionistas Não Controladores</t>
  </si>
  <si>
    <t>Variação cambial líquida</t>
  </si>
  <si>
    <t>Lucro/Prejuízo Consolidado do Período</t>
  </si>
  <si>
    <t>3.11.01</t>
  </si>
  <si>
    <t>Atribuído a Sócios da Empresa Controladora</t>
  </si>
  <si>
    <t>3.11.02</t>
  </si>
  <si>
    <t>Atribuído a Sócios Não Controladores</t>
  </si>
  <si>
    <t>3.01Receita de Venda de Bens e/ou Serviços</t>
  </si>
  <si>
    <t>3.02Custo dos Bens e/ou Serviços Vendidos</t>
  </si>
  <si>
    <t>3.03Resultado Bruto</t>
  </si>
  <si>
    <t>3.04Despesas/Receitas Operacionais</t>
  </si>
  <si>
    <t>3.04.01Despesas com Vendas</t>
  </si>
  <si>
    <t>3.04.02Despesas Gerais e Administrativas</t>
  </si>
  <si>
    <t>3.04.02.01Despesas Gerais e Administrativas</t>
  </si>
  <si>
    <t>3.04.02.02Honorários da Administração</t>
  </si>
  <si>
    <t>3.04.03Perdas pela Não Recuperabilidade de Ativos</t>
  </si>
  <si>
    <t>3.04.04Outras Receitas Operacionais</t>
  </si>
  <si>
    <t>3.04.05Outras Despesas Operacionais</t>
  </si>
  <si>
    <t>3.04.06Resultado de Equivalência Patrimonial</t>
  </si>
  <si>
    <t>3.05Resultado Antes do Resultado Financeiro e dos Tributos</t>
  </si>
  <si>
    <t>3.06Resultado Financeiro</t>
  </si>
  <si>
    <t>3.06.01Receitas Financeiras</t>
  </si>
  <si>
    <t>3.06.01.01Receitas Financeiras</t>
  </si>
  <si>
    <t>3.06.01.02Variação cambial líquida</t>
  </si>
  <si>
    <t>3.06.02Despesas Financeiras</t>
  </si>
  <si>
    <t>3.06.02.01Despesas Financeiras</t>
  </si>
  <si>
    <t>3.07Resultado Antes dos Tributos sobre o Lucro</t>
  </si>
  <si>
    <t>3.08Imposto de Renda e Contribuição Social sobre o Lucro</t>
  </si>
  <si>
    <t>3.08.01Corrente</t>
  </si>
  <si>
    <t>3.08.02Diferido</t>
  </si>
  <si>
    <t>3.09Resultado Líquido das Operações Continuadas</t>
  </si>
  <si>
    <t>3.10Resultado Líquido de Operações Descontinuadas</t>
  </si>
  <si>
    <t>3.10.01Lucro/Prejuízo Líquido das Operações Descontinuadas</t>
  </si>
  <si>
    <t>3.10.02Ganhos/Perdas Líquidas sobre Ativos de Operações Descontinuadas</t>
  </si>
  <si>
    <t>3.11Lucro/Prejuízo Consolidado do Período</t>
  </si>
  <si>
    <t>3.11.01Atribuído a Sócios da Empresa Controladora</t>
  </si>
  <si>
    <t>3.11.02Atribuído a Sócios Não Controladores</t>
  </si>
  <si>
    <t>3.99Lucro por Ação - (Reais / Ação)</t>
  </si>
  <si>
    <t>3.99.01Lucro Básico por Ação</t>
  </si>
  <si>
    <t>3.99.01.01ON</t>
  </si>
  <si>
    <t>3.99.02Lucro Diluído por Ação</t>
  </si>
  <si>
    <t>3.99.02.01ON</t>
  </si>
  <si>
    <t>2.01.05.02.06Instrumentos Financeiros a Pagar</t>
  </si>
  <si>
    <t>2.02.02.02.05Instrumento financeiro derivativo</t>
  </si>
  <si>
    <t>3.06.02.02Variação cambial líquida</t>
  </si>
  <si>
    <t>3T24</t>
  </si>
  <si>
    <t>1T24</t>
  </si>
  <si>
    <t>2T24</t>
  </si>
  <si>
    <t>Principais Indicadores</t>
  </si>
  <si>
    <t>Receita Líquida</t>
  </si>
  <si>
    <t>Lucro Bruto</t>
  </si>
  <si>
    <t>EBITDA</t>
  </si>
  <si>
    <t>Alavancagem</t>
  </si>
  <si>
    <t>Liquidez</t>
  </si>
  <si>
    <t>1Q24</t>
  </si>
  <si>
    <t>2Q24</t>
  </si>
  <si>
    <t>3Q24</t>
  </si>
  <si>
    <t>Consolidado</t>
  </si>
  <si>
    <t>DRE - R$ mil</t>
  </si>
  <si>
    <t>1T15</t>
  </si>
  <si>
    <t>2T15</t>
  </si>
  <si>
    <t>3T15</t>
  </si>
  <si>
    <t>4T15</t>
  </si>
  <si>
    <t>1T16</t>
  </si>
  <si>
    <t>2T16</t>
  </si>
  <si>
    <t>3T16</t>
  </si>
  <si>
    <t>4T16</t>
  </si>
  <si>
    <t>1T17</t>
  </si>
  <si>
    <t>2T17</t>
  </si>
  <si>
    <t>3T17</t>
  </si>
  <si>
    <t>4T17</t>
  </si>
  <si>
    <t>1T18</t>
  </si>
  <si>
    <t>2T18</t>
  </si>
  <si>
    <t>3T18</t>
  </si>
  <si>
    <t>4T18</t>
  </si>
  <si>
    <t>1T19</t>
  </si>
  <si>
    <t>2T19</t>
  </si>
  <si>
    <t>3T19</t>
  </si>
  <si>
    <t>4T19</t>
  </si>
  <si>
    <t>1T20</t>
  </si>
  <si>
    <t>2T20</t>
  </si>
  <si>
    <t>3T20</t>
  </si>
  <si>
    <t>4T20</t>
  </si>
  <si>
    <t>1T21</t>
  </si>
  <si>
    <t>2T21</t>
  </si>
  <si>
    <t>3T21</t>
  </si>
  <si>
    <t>4T21</t>
  </si>
  <si>
    <t>1T22</t>
  </si>
  <si>
    <t>2T22</t>
  </si>
  <si>
    <t>3T22</t>
  </si>
  <si>
    <t>4T22</t>
  </si>
  <si>
    <t>1T23</t>
  </si>
  <si>
    <t>2T23</t>
  </si>
  <si>
    <t>3T23</t>
  </si>
  <si>
    <t>4T23</t>
  </si>
  <si>
    <t>Receita Operacional Líquida</t>
  </si>
  <si>
    <t>Custo dos Produtos Vendidos</t>
  </si>
  <si>
    <t>Matéria Prima</t>
  </si>
  <si>
    <t>Mão de Obra</t>
  </si>
  <si>
    <t>Lucro (Prejuízo) Bruto</t>
  </si>
  <si>
    <t>Despesas Operacionais</t>
  </si>
  <si>
    <t>Com vendas</t>
  </si>
  <si>
    <t>Gerais e Administrativas</t>
  </si>
  <si>
    <t>Outras Despesas/Receitas</t>
  </si>
  <si>
    <t>Lucro (Prejuízo) Operacional (EBIT)</t>
  </si>
  <si>
    <t>Lucro (Prejuízo) antes do Imp. de Renda e da CS</t>
  </si>
  <si>
    <t>Imp. de Renda / Contrib. Social</t>
  </si>
  <si>
    <t>Participação de Não Controladores</t>
  </si>
  <si>
    <t>Lucro Líquido (Prejuízo)</t>
  </si>
  <si>
    <t>4T24</t>
  </si>
  <si>
    <t>Net Operating Revenue</t>
  </si>
  <si>
    <t>Cost of Goods Sold</t>
  </si>
  <si>
    <t>Raw Material</t>
  </si>
  <si>
    <t>Labor</t>
  </si>
  <si>
    <t>Others</t>
  </si>
  <si>
    <t>Gross Profit</t>
  </si>
  <si>
    <t>Operating Expenses</t>
  </si>
  <si>
    <t>Selling expenses</t>
  </si>
  <si>
    <t>General and administrative</t>
  </si>
  <si>
    <t>Management fees</t>
  </si>
  <si>
    <t>Other</t>
  </si>
  <si>
    <t>Equity Income</t>
  </si>
  <si>
    <t>Operating Income (EBIT)</t>
  </si>
  <si>
    <t>Financial Results</t>
  </si>
  <si>
    <t>Financial Revenue</t>
  </si>
  <si>
    <t>Financial Expenses</t>
  </si>
  <si>
    <t>Foreing exchange gains (losses)</t>
  </si>
  <si>
    <t>Earnings After Financial Results</t>
  </si>
  <si>
    <t>Income Taxes</t>
  </si>
  <si>
    <t>Minority Shareholders</t>
  </si>
  <si>
    <t>Net Income (Loss)</t>
  </si>
  <si>
    <t>I.S - R$ thousand</t>
  </si>
  <si>
    <t>Consolidated</t>
  </si>
  <si>
    <t>Receita Operacional Líquida - R$ mil</t>
  </si>
  <si>
    <t>1Q20</t>
  </si>
  <si>
    <t>2Q20</t>
  </si>
  <si>
    <t>3Q20</t>
  </si>
  <si>
    <t>4Q20</t>
  </si>
  <si>
    <t>1Q21</t>
  </si>
  <si>
    <t>2Q21</t>
  </si>
  <si>
    <t>3Q21</t>
  </si>
  <si>
    <t>4Q21</t>
  </si>
  <si>
    <t>1Q22</t>
  </si>
  <si>
    <t>2Q22</t>
  </si>
  <si>
    <t>3Q22</t>
  </si>
  <si>
    <t>4Q22</t>
  </si>
  <si>
    <t>1Q23</t>
  </si>
  <si>
    <t>2Q23</t>
  </si>
  <si>
    <t>3Q23</t>
  </si>
  <si>
    <t>4Q23</t>
  </si>
  <si>
    <t>Rodas Alumínio (Veículos Leves)</t>
  </si>
  <si>
    <t>Rodas Aço (Veículos Leves)</t>
  </si>
  <si>
    <t>Rodas Aço (Veículos Comerciais)</t>
  </si>
  <si>
    <t>Comp. Estruturais (Veículos Leves)</t>
  </si>
  <si>
    <t>Comp. Estruturais (Veículos Comerciais)</t>
  </si>
  <si>
    <t>América do Sul</t>
  </si>
  <si>
    <t>América do Norte</t>
  </si>
  <si>
    <t>Europa</t>
  </si>
  <si>
    <t>Ásia + Outros</t>
  </si>
  <si>
    <t xml:space="preserve">Rodas de alumínio </t>
  </si>
  <si>
    <t>Rodas de aço (veículos leves)</t>
  </si>
  <si>
    <t>Rodas de aço (veículos comerciais)</t>
  </si>
  <si>
    <t>Comp. Estruturais (veículos leves)</t>
  </si>
  <si>
    <t>Comp. Estruturais (veículos comerciais)</t>
  </si>
  <si>
    <t>Veículos leves</t>
  </si>
  <si>
    <t>Veículos comerciais</t>
  </si>
  <si>
    <t>Aluminum Wheels (Light vehicles)</t>
  </si>
  <si>
    <t>Steel Wheels (Light vehicles)</t>
  </si>
  <si>
    <t>Steel Wheels (Commercial vehicles)</t>
  </si>
  <si>
    <t>Structural Components (Light vehicles)</t>
  </si>
  <si>
    <t>Structural Components (Commercial vehicles)</t>
  </si>
  <si>
    <t>South America</t>
  </si>
  <si>
    <t>North America</t>
  </si>
  <si>
    <t>Europe</t>
  </si>
  <si>
    <t>Asia + Others</t>
  </si>
  <si>
    <t>Net Operating Revenue- R$ thousand</t>
  </si>
  <si>
    <t>Aluminum Wheels</t>
  </si>
  <si>
    <t>Steel Wheels (Light Vehicles)</t>
  </si>
  <si>
    <t>Steel Wheels (Commercial Vehicles)</t>
  </si>
  <si>
    <t>Light Vehicles</t>
  </si>
  <si>
    <t>Commercial Vehicles</t>
  </si>
  <si>
    <t>Structural Comp. (Commercial Vehicles)</t>
  </si>
  <si>
    <t>Structural Comp. (Light Vehicles)</t>
  </si>
  <si>
    <t>4Q24</t>
  </si>
  <si>
    <t>Lucro líquido (Prejuízo)</t>
  </si>
  <si>
    <t>Não Controladores</t>
  </si>
  <si>
    <t>Depreciação / Amortização</t>
  </si>
  <si>
    <t>Conciliação do EBITDA - R$ mil</t>
  </si>
  <si>
    <t>Income Taxes and Social Contribution</t>
  </si>
  <si>
    <t>Depreciation / Amortization</t>
  </si>
  <si>
    <t>EBITDA Reconciliation - R$ Thousand</t>
  </si>
  <si>
    <t xml:space="preserve">Iochpe-Maxion </t>
  </si>
  <si>
    <t>Iochpe-Maxion</t>
  </si>
  <si>
    <t>Net Revenue</t>
  </si>
  <si>
    <t>Leverage</t>
  </si>
  <si>
    <t>Liquidity Ratio</t>
  </si>
  <si>
    <t>Main KPIs</t>
  </si>
  <si>
    <t>R$ mil</t>
  </si>
  <si>
    <t>ATIVO</t>
  </si>
  <si>
    <t>CIRCULANTE</t>
  </si>
  <si>
    <t>Contas a Receber de Clientes</t>
  </si>
  <si>
    <t>Instrumento Financeiro Derivativo</t>
  </si>
  <si>
    <t>NÃO CIRCULANTE</t>
  </si>
  <si>
    <t>Imposto de Renda e Contribuição Social diferidos</t>
  </si>
  <si>
    <t>Direito de uso</t>
  </si>
  <si>
    <t>PASSIVO E PATRIMÔNIO LÍQUIDO</t>
  </si>
  <si>
    <t>Empréstimos, financiamentos e debêntures</t>
  </si>
  <si>
    <t>Dividendos e Juros Sobre Capital Próprio a Pagar</t>
  </si>
  <si>
    <t>Provisão para riscos tributários, cíveis e trabalhistas</t>
  </si>
  <si>
    <t>Passivo Atuarial de Plano de Pensão</t>
  </si>
  <si>
    <t>PATRIMONIO LÍQUIDO</t>
  </si>
  <si>
    <t>Capital social</t>
  </si>
  <si>
    <t>Opções outorgadas reconhecidas</t>
  </si>
  <si>
    <t>Reservas de lucros</t>
  </si>
  <si>
    <t>Ações em tesouraria</t>
  </si>
  <si>
    <t>Ajuste de avaliação patrimonial</t>
  </si>
  <si>
    <t>Resultado do Período</t>
  </si>
  <si>
    <t>Patrimônio Líquido Atribuído aos Acionistas Controladores</t>
  </si>
  <si>
    <t>Participação dos Acionistas não Controladores</t>
  </si>
  <si>
    <t>TOTAL DO ATIVO</t>
  </si>
  <si>
    <t>TOTAL DO PASSIVO E PATRIMÔNIO LÍQUIDO</t>
  </si>
  <si>
    <t>R$ thousand</t>
  </si>
  <si>
    <t>ASSETS</t>
  </si>
  <si>
    <t>CURRENT</t>
  </si>
  <si>
    <t>Cash and Cash Equivalents</t>
  </si>
  <si>
    <t>Trade Receivables</t>
  </si>
  <si>
    <t>Inventory</t>
  </si>
  <si>
    <t>Recoverable Taxes</t>
  </si>
  <si>
    <t>Prepaid Expenses</t>
  </si>
  <si>
    <t xml:space="preserve">Derivative Financial Instruments </t>
  </si>
  <si>
    <t>LONG TERM</t>
  </si>
  <si>
    <t>Recoverable taxes</t>
  </si>
  <si>
    <t>Deferred income tax and social contribution</t>
  </si>
  <si>
    <t>Escrow deposits</t>
  </si>
  <si>
    <t>Other receivables</t>
  </si>
  <si>
    <t>Investments</t>
  </si>
  <si>
    <t>Property, plant and equipment</t>
  </si>
  <si>
    <t>Intangible assets</t>
  </si>
  <si>
    <t>Right of use</t>
  </si>
  <si>
    <t>TOTAL ASSETS</t>
  </si>
  <si>
    <t>LIABILITIES</t>
  </si>
  <si>
    <t>Borrowings, Financing and Debentures</t>
  </si>
  <si>
    <t>Trade Payables</t>
  </si>
  <si>
    <t>Tax obligations</t>
  </si>
  <si>
    <t>Social and Labor Obligations</t>
  </si>
  <si>
    <t>Advances from Customers</t>
  </si>
  <si>
    <t>Dividends and Interests on Capital</t>
  </si>
  <si>
    <t>Provision for tax, civil and labor risks</t>
  </si>
  <si>
    <t>Deferred Income Tax and Social Contribution</t>
  </si>
  <si>
    <t>Pension Plan Liabilities</t>
  </si>
  <si>
    <t>EQUITY</t>
  </si>
  <si>
    <t>Issued Capital</t>
  </si>
  <si>
    <t>Stock Options</t>
  </si>
  <si>
    <t>Earning reserves</t>
  </si>
  <si>
    <t>Capital reserves</t>
  </si>
  <si>
    <t>Treasury Shares</t>
  </si>
  <si>
    <t>Equity valuation adjustment</t>
  </si>
  <si>
    <t>Period result</t>
  </si>
  <si>
    <t>Shareholders' Equity Attributed to Controlling Shareholders</t>
  </si>
  <si>
    <t>Noncontrolling Interests in Subsidiaries' Equity</t>
  </si>
  <si>
    <t>TOTAL LIABILITIES</t>
  </si>
  <si>
    <t>1Q19</t>
  </si>
  <si>
    <t>2Q19</t>
  </si>
  <si>
    <t>3Q19</t>
  </si>
  <si>
    <t>4Q19</t>
  </si>
  <si>
    <t>1Q18</t>
  </si>
  <si>
    <t>2Q18</t>
  </si>
  <si>
    <t>3Q18</t>
  </si>
  <si>
    <t>4Q18</t>
  </si>
  <si>
    <t>1Q17</t>
  </si>
  <si>
    <t>2Q17</t>
  </si>
  <si>
    <t>3Q17</t>
  </si>
  <si>
    <t>4Q17</t>
  </si>
  <si>
    <t>1Q16</t>
  </si>
  <si>
    <t>2Q16</t>
  </si>
  <si>
    <t>3Q16</t>
  </si>
  <si>
    <t>4Q16</t>
  </si>
  <si>
    <t>1Q15</t>
  </si>
  <si>
    <t>2Q15</t>
  </si>
  <si>
    <t>3Q15</t>
  </si>
  <si>
    <t>4Q15</t>
  </si>
  <si>
    <t>-</t>
  </si>
  <si>
    <t>Passivo a descoberto de controladas</t>
  </si>
  <si>
    <t>Unsecured Liabilities in Subsidiaries</t>
  </si>
  <si>
    <t>Partes Relacionadas</t>
  </si>
  <si>
    <t>Outros resultados abrangentes Plano de Pensão</t>
  </si>
  <si>
    <t>Contas a receber de clientes</t>
  </si>
  <si>
    <t>INDICADORES / KPI</t>
  </si>
  <si>
    <t>Acumulado</t>
  </si>
  <si>
    <t>1T25</t>
  </si>
  <si>
    <t>1Q25</t>
  </si>
  <si>
    <t>2T25</t>
  </si>
  <si>
    <t>3T25</t>
  </si>
  <si>
    <t>4T25</t>
  </si>
  <si>
    <t>BS CONSOLIDADO</t>
  </si>
  <si>
    <t>P&amp;l  CONSOLIDADO</t>
  </si>
  <si>
    <t>Lucro (Prejuízo) Líquido</t>
  </si>
  <si>
    <t xml:space="preserve"> BALANÇO / BALANCE SHEET</t>
  </si>
  <si>
    <t>RECEITA / REVENUE</t>
  </si>
  <si>
    <t>DRE /INCOME STATEMENT</t>
  </si>
  <si>
    <t>Dados Históricos / Historical Data</t>
  </si>
  <si>
    <t>Accounts receivable from customers</t>
  </si>
  <si>
    <t>Related Parties</t>
  </si>
  <si>
    <t>2Q25</t>
  </si>
  <si>
    <t>3Q25</t>
  </si>
  <si>
    <t>4Q25</t>
  </si>
  <si>
    <t>1Q26</t>
  </si>
  <si>
    <t>1T26</t>
  </si>
  <si>
    <t>2Q26</t>
  </si>
  <si>
    <t>2T26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</si>
</sst>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-* #,##0_-;\-* #,##0_-;_-* &quot;-&quot;??_-;_-@_-"/>
    <numFmt numFmtId="167" formatCode="_-* #,##0.00000_-;\-* #,##0.00000_-;_-* &quot;-&quot;??_-;_-@_-"/>
    <numFmt numFmtId="168" formatCode="dd/mm/yy;@"/>
    <numFmt numFmtId="169" formatCode="_-* #,##0.000000_-;\-* #,##0.000000_-;_-* &quot;-&quot;??_-;_-@_-"/>
    <numFmt numFmtId="170" formatCode="_(* #,##0_);_(* \(#,##0\);_(* &quot;-&quot;??_);_(@_)"/>
    <numFmt numFmtId="171" formatCode="_([$€-2]* #,##0.00_);_([$€-2]* \(#,##0.00\);_([$€-2]* &quot;-&quot;??_)"/>
    <numFmt numFmtId="172" formatCode="0.0%"/>
    <numFmt numFmtId="173" formatCode="d/m/yy;@"/>
    <numFmt numFmtId="174" formatCode="0.00000"/>
  </numFmts>
  <fonts count="4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  <font>
      <sz val="11"/>
      <color indexed="8"/>
      <name val="Calibri"/>
      <family val="2"/>
    </font>
    <font>
      <sz val="8"/>
      <name val="Calibri"/>
      <family val="2"/>
      <scheme val="minor"/>
    </font>
    <font>
      <b/>
      <sz val="10"/>
      <name val="Century Gothic"/>
      <family val="2"/>
    </font>
    <font>
      <b/>
      <i/>
      <sz val="10"/>
      <color rgb="FF0083BF"/>
      <name val="Century Gothic"/>
      <family val="2"/>
    </font>
    <font>
      <b/>
      <sz val="11"/>
      <name val="Century Gothic"/>
      <family val="2"/>
    </font>
    <font>
      <sz val="11"/>
      <name val="Century Gothic"/>
      <family val="2"/>
    </font>
    <font>
      <sz val="10"/>
      <name val="Century Gothic"/>
      <family val="2"/>
    </font>
    <font>
      <b/>
      <i/>
      <sz val="11"/>
      <name val="Century Gothic"/>
      <family val="2"/>
    </font>
    <font>
      <b/>
      <i/>
      <sz val="10"/>
      <name val="Century Gothic"/>
      <family val="2"/>
    </font>
    <font>
      <b/>
      <sz val="11"/>
      <color rgb="FF0083BF"/>
      <name val="Century Gothic"/>
      <family val="2"/>
    </font>
    <font>
      <b/>
      <sz val="11"/>
      <color theme="0"/>
      <name val="Century Gothic"/>
      <family val="2"/>
    </font>
    <font>
      <sz val="11"/>
      <color theme="0"/>
      <name val="Century Gothic"/>
      <family val="2"/>
    </font>
    <font>
      <sz val="12"/>
      <color theme="0"/>
      <name val="Calibri"/>
      <family val="2"/>
      <scheme val="minor"/>
    </font>
    <font>
      <b/>
      <sz val="12"/>
      <color theme="0"/>
      <name val="Century Gothic"/>
      <family val="2"/>
    </font>
    <font>
      <sz val="12"/>
      <color theme="0"/>
      <name val="Century Gothic"/>
      <family val="2"/>
    </font>
    <font>
      <b/>
      <i/>
      <sz val="11"/>
      <color rgb="FF0083BF"/>
      <name val="Century Gothic"/>
      <family val="2"/>
    </font>
    <font>
      <sz val="11"/>
      <color theme="0"/>
      <name val="Calibri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i/>
      <sz val="11"/>
      <color theme="1"/>
      <name val="Century Gothic"/>
      <family val="2"/>
    </font>
    <font>
      <b/>
      <i/>
      <sz val="9"/>
      <color theme="1"/>
      <name val="Century Gothic"/>
      <family val="2"/>
    </font>
    <font>
      <b/>
      <sz val="10"/>
      <color theme="0"/>
      <name val="Century Gothic"/>
      <family val="2"/>
    </font>
    <font>
      <b/>
      <sz val="10"/>
      <color rgb="FF0083BF"/>
      <name val="Century Gothic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0"/>
      <name val="Century Gothic"/>
      <family val="2"/>
    </font>
    <font>
      <b/>
      <sz val="16"/>
      <color rgb="FF0083BF"/>
      <name val="Century Gothic"/>
      <family val="2"/>
    </font>
    <font>
      <b/>
      <sz val="20"/>
      <color rgb="FF0083BF"/>
      <name val="Century Gothic"/>
      <family val="2"/>
    </font>
    <font>
      <b/>
      <sz val="14"/>
      <color theme="0"/>
      <name val="Calibri"/>
      <family val="2"/>
      <scheme val="minor"/>
    </font>
    <font>
      <sz val="12"/>
      <color theme="1"/>
      <name val="Century Gothic"/>
      <family val="2"/>
    </font>
    <font>
      <sz val="11"/>
      <color rgb="FF000000"/>
      <name val="Calibri"/>
      <family val="2"/>
      <scheme val="minor"/>
    </font>
    <font>
      <b/>
      <sz val="10"/>
      <color rgb="FFFFFFFF"/>
      <name val="Century Gothic"/>
      <family val="2"/>
    </font>
    <font>
      <b/>
      <sz val="11"/>
      <color rgb="FFFFFFFF"/>
      <name val="Century Gothic"/>
      <family val="2"/>
    </font>
    <font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sz val="11"/>
      <color rgb="FF000000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rgb="FF0083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83BF"/>
        <bgColor rgb="FF000000"/>
      </patternFill>
    </fill>
    <fill>
      <patternFill patternType="solid">
        <fgColor rgb="FFFFFFFF"/>
        <bgColor rgb="FF000000"/>
      </patternFill>
    </fill>
  </fills>
  <borders count="4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rgb="FF0083BF"/>
      </bottom>
      <diagonal/>
    </border>
    <border>
      <left/>
      <right/>
      <top style="medium">
        <color rgb="FF0083BF"/>
      </top>
      <bottom style="medium">
        <color rgb="FF0083BF"/>
      </bottom>
      <diagonal/>
    </border>
    <border>
      <left/>
      <right style="thick">
        <color rgb="FF0083BF"/>
      </right>
      <top/>
      <bottom/>
      <diagonal/>
    </border>
    <border>
      <left/>
      <right style="thick">
        <color rgb="FF0083BF"/>
      </right>
      <top/>
      <bottom style="medium">
        <color rgb="FF0083BF"/>
      </bottom>
      <diagonal/>
    </border>
    <border>
      <left style="medium">
        <color rgb="FF0083BF"/>
      </left>
      <right style="thick">
        <color rgb="FF0083BF"/>
      </right>
      <top style="medium">
        <color rgb="FF0083BF"/>
      </top>
      <bottom style="medium">
        <color rgb="FF0083BF"/>
      </bottom>
      <diagonal/>
    </border>
    <border>
      <left style="thick">
        <color rgb="FF0083BF"/>
      </left>
      <right style="thick">
        <color rgb="FF0083BF"/>
      </right>
      <top/>
      <bottom/>
      <diagonal/>
    </border>
    <border>
      <left style="thick">
        <color rgb="FF0083BF"/>
      </left>
      <right style="thick">
        <color rgb="FF0083BF"/>
      </right>
      <top/>
      <bottom style="medium">
        <color rgb="FF0083BF"/>
      </bottom>
      <diagonal/>
    </border>
    <border>
      <left style="thick">
        <color rgb="FF0083BF"/>
      </left>
      <right style="thick">
        <color rgb="FF0083BF"/>
      </right>
      <top style="medium">
        <color rgb="FF0083BF"/>
      </top>
      <bottom style="medium">
        <color rgb="FF0083BF"/>
      </bottom>
      <diagonal/>
    </border>
    <border>
      <left/>
      <right/>
      <top/>
      <bottom style="thick">
        <color rgb="FF0083BF"/>
      </bottom>
      <diagonal/>
    </border>
    <border>
      <left/>
      <right style="thick">
        <color rgb="FF0083BF"/>
      </right>
      <top/>
      <bottom style="thick">
        <color rgb="FF0083BF"/>
      </bottom>
      <diagonal/>
    </border>
    <border>
      <left style="thick">
        <color rgb="FF0083BF"/>
      </left>
      <right style="thick">
        <color rgb="FF0083BF"/>
      </right>
      <top/>
      <bottom style="thick">
        <color rgb="FF0083BF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medium">
        <color rgb="FF0083BF"/>
      </left>
      <right/>
      <top style="medium">
        <color rgb="FF0083BF"/>
      </top>
      <bottom style="medium">
        <color rgb="FF0083BF"/>
      </bottom>
      <diagonal/>
    </border>
    <border>
      <left style="medium">
        <color rgb="FF0083BF"/>
      </left>
      <right style="medium">
        <color rgb="FF0083BF"/>
      </right>
      <top style="medium">
        <color rgb="FF0083BF"/>
      </top>
      <bottom/>
      <diagonal/>
    </border>
    <border>
      <left/>
      <right/>
      <top style="medium">
        <color rgb="FF0083BF"/>
      </top>
      <bottom/>
      <diagonal/>
    </border>
    <border>
      <left/>
      <right/>
      <top/>
      <bottom style="thin">
        <color rgb="FF0083BF"/>
      </bottom>
      <diagonal/>
    </border>
    <border>
      <left/>
      <right/>
      <top style="thin">
        <color rgb="FF0083BF"/>
      </top>
      <bottom/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rgb="FF0083BF"/>
      </left>
      <right style="thick">
        <color rgb="FF0083BF"/>
      </right>
      <top style="thick">
        <color rgb="FF0083BF"/>
      </top>
      <bottom/>
      <diagonal/>
    </border>
    <border>
      <left style="thick">
        <color rgb="FF0083BF"/>
      </left>
      <right/>
      <top style="thick">
        <color rgb="FF0083BF"/>
      </top>
      <bottom/>
      <diagonal/>
    </border>
    <border>
      <left/>
      <right/>
      <top style="thick">
        <color rgb="FF0083BF"/>
      </top>
      <bottom/>
      <diagonal/>
    </border>
    <border>
      <left/>
      <right style="thick">
        <color rgb="FF0083BF"/>
      </right>
      <top style="thick">
        <color rgb="FF0083BF"/>
      </top>
      <bottom/>
      <diagonal/>
    </border>
    <border>
      <left style="thick">
        <color rgb="FF0083BF"/>
      </left>
      <right/>
      <top/>
      <bottom/>
      <diagonal/>
    </border>
    <border>
      <left style="thick">
        <color rgb="FF0083BF"/>
      </left>
      <right/>
      <top/>
      <bottom style="thick">
        <color rgb="FF0083BF"/>
      </bottom>
      <diagonal/>
    </border>
    <border>
      <left style="thick">
        <color rgb="FF0083BF"/>
      </left>
      <right/>
      <top style="thick">
        <color rgb="FF0083BF"/>
      </top>
      <bottom style="thick">
        <color rgb="FF0083BF"/>
      </bottom>
      <diagonal/>
    </border>
    <border>
      <left/>
      <right/>
      <top style="thick">
        <color rgb="FF0083BF"/>
      </top>
      <bottom style="thick">
        <color rgb="FF0083BF"/>
      </bottom>
      <diagonal/>
    </border>
    <border>
      <left style="thick">
        <color rgb="FF0083BF"/>
      </left>
      <right/>
      <top style="medium">
        <color rgb="FF0083BF"/>
      </top>
      <bottom style="medium">
        <color rgb="FF0083BF"/>
      </bottom>
      <diagonal/>
    </border>
    <border>
      <left style="thick">
        <color rgb="FF0083BF"/>
      </left>
      <right/>
      <top style="medium">
        <color rgb="FF0083BF"/>
      </top>
      <bottom/>
      <diagonal/>
    </border>
    <border>
      <left style="thick">
        <color rgb="FF0083BF"/>
      </left>
      <right/>
      <top/>
      <bottom style="medium">
        <color rgb="FF0083BF"/>
      </bottom>
      <diagonal/>
    </border>
    <border>
      <left style="thick">
        <color rgb="FF0083BF"/>
      </left>
      <right/>
      <top/>
      <bottom style="thin">
        <color auto="1"/>
      </bottom>
      <diagonal/>
    </border>
    <border>
      <left style="thick">
        <color rgb="FF0083BF"/>
      </left>
      <right/>
      <top style="thin">
        <color auto="1"/>
      </top>
      <bottom style="thin">
        <color auto="1"/>
      </bottom>
      <diagonal/>
    </border>
    <border>
      <left style="thick">
        <color rgb="FF0083BF"/>
      </left>
      <right/>
      <top style="thin">
        <color auto="1"/>
      </top>
      <bottom style="medium">
        <color rgb="FF0083BF"/>
      </bottom>
      <diagonal/>
    </border>
    <border>
      <left style="thick">
        <color rgb="FF0083BF"/>
      </left>
      <right style="thick">
        <color rgb="FF0083BF"/>
      </right>
      <top style="thick">
        <color rgb="FF0083BF"/>
      </top>
      <bottom style="medium">
        <color rgb="FF0083BF"/>
      </bottom>
      <diagonal/>
    </border>
    <border>
      <left style="thick">
        <color rgb="FF0083BF"/>
      </left>
      <right style="thick">
        <color rgb="FF0083BF"/>
      </right>
      <top style="medium">
        <color rgb="FF0083BF"/>
      </top>
      <bottom/>
      <diagonal/>
    </border>
  </borders>
  <cellStyleXfs count="8">
    <xf numFmtId="0" fontId="0" fillId="0" borderId="0"/>
    <xf numFmtId="43" fontId="3" fillId="0" borderId="0" applyFont="0" applyFill="0" applyBorder="0" applyAlignment="0" applyProtection="0"/>
    <xf numFmtId="0" fontId="2" fillId="0" borderId="0"/>
    <xf numFmtId="9" fontId="6" fillId="0" borderId="0" applyFont="0" applyFill="0" applyBorder="0" applyAlignment="0" applyProtection="0"/>
    <xf numFmtId="9" fontId="9" fillId="0" borderId="0" applyFont="0" applyFill="0" applyBorder="0" applyAlignment="0" applyProtection="0"/>
    <xf numFmtId="173" fontId="6" fillId="0" borderId="0"/>
    <xf numFmtId="173" fontId="32" fillId="0" borderId="0"/>
    <xf numFmtId="0" fontId="36" fillId="0" borderId="0" applyNumberFormat="0" applyFill="0" applyBorder="0" applyAlignment="0" applyProtection="0"/>
  </cellStyleXfs>
  <cellXfs count="256">
    <xf numFmtId="0" fontId="0" fillId="0" borderId="0" xfId="0"/>
    <xf numFmtId="170" fontId="7" fillId="0" borderId="0" xfId="0" applyNumberFormat="1" applyFont="1"/>
    <xf numFmtId="0" fontId="21" fillId="2" borderId="0" xfId="0" applyFont="1" applyFill="1"/>
    <xf numFmtId="171" fontId="22" fillId="2" borderId="0" xfId="0" applyNumberFormat="1" applyFont="1" applyFill="1"/>
    <xf numFmtId="0" fontId="23" fillId="2" borderId="0" xfId="0" applyFont="1" applyFill="1"/>
    <xf numFmtId="170" fontId="19" fillId="2" borderId="0" xfId="0" applyNumberFormat="1" applyFont="1" applyFill="1"/>
    <xf numFmtId="171" fontId="19" fillId="2" borderId="5" xfId="0" applyNumberFormat="1" applyFont="1" applyFill="1" applyBorder="1"/>
    <xf numFmtId="171" fontId="19" fillId="2" borderId="8" xfId="0" applyNumberFormat="1" applyFont="1" applyFill="1" applyBorder="1"/>
    <xf numFmtId="0" fontId="0" fillId="2" borderId="0" xfId="0" applyFill="1"/>
    <xf numFmtId="164" fontId="19" fillId="2" borderId="1" xfId="0" applyNumberFormat="1" applyFont="1" applyFill="1" applyBorder="1"/>
    <xf numFmtId="0" fontId="19" fillId="2" borderId="0" xfId="0" applyFont="1" applyFill="1" applyAlignment="1">
      <alignment horizontal="center" vertical="center" wrapText="1"/>
    </xf>
    <xf numFmtId="171" fontId="15" fillId="0" borderId="0" xfId="5" applyNumberFormat="1" applyFont="1"/>
    <xf numFmtId="171" fontId="7" fillId="0" borderId="0" xfId="5" applyNumberFormat="1" applyFont="1"/>
    <xf numFmtId="164" fontId="8" fillId="0" borderId="0" xfId="0" applyNumberFormat="1" applyFont="1"/>
    <xf numFmtId="0" fontId="25" fillId="2" borderId="0" xfId="0" applyFont="1" applyFill="1"/>
    <xf numFmtId="0" fontId="19" fillId="2" borderId="0" xfId="0" applyFont="1" applyFill="1"/>
    <xf numFmtId="0" fontId="18" fillId="3" borderId="4" xfId="0" applyFont="1" applyFill="1" applyBorder="1" applyAlignment="1">
      <alignment horizontal="center" vertical="center" wrapText="1"/>
    </xf>
    <xf numFmtId="0" fontId="25" fillId="2" borderId="17" xfId="0" applyFont="1" applyFill="1" applyBorder="1"/>
    <xf numFmtId="0" fontId="22" fillId="2" borderId="0" xfId="0" applyFont="1" applyFill="1"/>
    <xf numFmtId="171" fontId="30" fillId="2" borderId="15" xfId="0" applyNumberFormat="1" applyFont="1" applyFill="1" applyBorder="1" applyAlignment="1">
      <alignment horizontal="center" vertical="center"/>
    </xf>
    <xf numFmtId="171" fontId="31" fillId="3" borderId="16" xfId="0" applyNumberFormat="1" applyFont="1" applyFill="1" applyBorder="1" applyAlignment="1">
      <alignment horizontal="center" vertical="center"/>
    </xf>
    <xf numFmtId="171" fontId="31" fillId="3" borderId="4" xfId="0" applyNumberFormat="1" applyFont="1" applyFill="1" applyBorder="1" applyAlignment="1">
      <alignment horizontal="center" vertical="center"/>
    </xf>
    <xf numFmtId="17" fontId="31" fillId="3" borderId="4" xfId="0" applyNumberFormat="1" applyFont="1" applyFill="1" applyBorder="1" applyAlignment="1">
      <alignment horizontal="center" vertical="center"/>
    </xf>
    <xf numFmtId="0" fontId="18" fillId="3" borderId="4" xfId="0" applyFont="1" applyFill="1" applyBorder="1"/>
    <xf numFmtId="171" fontId="11" fillId="0" borderId="16" xfId="5" applyNumberFormat="1" applyFont="1" applyBorder="1" applyAlignment="1">
      <alignment horizontal="left" indent="1"/>
    </xf>
    <xf numFmtId="164" fontId="8" fillId="0" borderId="4" xfId="0" applyNumberFormat="1" applyFont="1" applyBorder="1"/>
    <xf numFmtId="0" fontId="19" fillId="2" borderId="4" xfId="0" applyFont="1" applyFill="1" applyBorder="1" applyAlignment="1">
      <alignment horizontal="center" vertical="center" wrapText="1"/>
    </xf>
    <xf numFmtId="0" fontId="19" fillId="2" borderId="0" xfId="0" applyFont="1" applyFill="1" applyAlignment="1">
      <alignment horizontal="center"/>
    </xf>
    <xf numFmtId="0" fontId="18" fillId="3" borderId="0" xfId="0" applyFont="1" applyFill="1"/>
    <xf numFmtId="0" fontId="18" fillId="3" borderId="3" xfId="0" applyFont="1" applyFill="1" applyBorder="1"/>
    <xf numFmtId="166" fontId="26" fillId="0" borderId="0" xfId="1" applyNumberFormat="1" applyFont="1"/>
    <xf numFmtId="166" fontId="19" fillId="2" borderId="0" xfId="1" applyNumberFormat="1" applyFont="1" applyFill="1"/>
    <xf numFmtId="0" fontId="31" fillId="3" borderId="4" xfId="0" applyFont="1" applyFill="1" applyBorder="1" applyAlignment="1">
      <alignment horizontal="center" vertical="center"/>
    </xf>
    <xf numFmtId="171" fontId="30" fillId="2" borderId="0" xfId="0" applyNumberFormat="1" applyFont="1" applyFill="1" applyAlignment="1">
      <alignment horizontal="center" vertical="center"/>
    </xf>
    <xf numFmtId="0" fontId="0" fillId="3" borderId="0" xfId="0" applyFill="1"/>
    <xf numFmtId="0" fontId="19" fillId="2" borderId="4" xfId="0" applyFont="1" applyFill="1" applyBorder="1"/>
    <xf numFmtId="170" fontId="7" fillId="0" borderId="11" xfId="0" applyNumberFormat="1" applyFont="1" applyBorder="1"/>
    <xf numFmtId="0" fontId="38" fillId="3" borderId="0" xfId="0" applyFont="1" applyFill="1" applyAlignment="1">
      <alignment horizontal="center"/>
    </xf>
    <xf numFmtId="0" fontId="0" fillId="3" borderId="21" xfId="0" applyFill="1" applyBorder="1"/>
    <xf numFmtId="0" fontId="0" fillId="3" borderId="22" xfId="0" applyFill="1" applyBorder="1"/>
    <xf numFmtId="0" fontId="0" fillId="3" borderId="23" xfId="0" applyFill="1" applyBorder="1"/>
    <xf numFmtId="0" fontId="0" fillId="3" borderId="24" xfId="0" applyFill="1" applyBorder="1"/>
    <xf numFmtId="0" fontId="38" fillId="3" borderId="25" xfId="0" applyFont="1" applyFill="1" applyBorder="1" applyAlignment="1">
      <alignment horizontal="center"/>
    </xf>
    <xf numFmtId="0" fontId="0" fillId="3" borderId="25" xfId="0" applyFill="1" applyBorder="1"/>
    <xf numFmtId="0" fontId="0" fillId="3" borderId="26" xfId="0" applyFill="1" applyBorder="1"/>
    <xf numFmtId="0" fontId="0" fillId="3" borderId="27" xfId="0" applyFill="1" applyBorder="1"/>
    <xf numFmtId="0" fontId="0" fillId="3" borderId="28" xfId="0" applyFill="1" applyBorder="1"/>
    <xf numFmtId="0" fontId="39" fillId="3" borderId="0" xfId="0" applyFont="1" applyFill="1"/>
    <xf numFmtId="0" fontId="30" fillId="2" borderId="15" xfId="0" applyFont="1" applyFill="1" applyBorder="1" applyAlignment="1">
      <alignment horizontal="center" vertical="center"/>
    </xf>
    <xf numFmtId="0" fontId="30" fillId="2" borderId="0" xfId="0" applyFont="1" applyFill="1" applyAlignment="1">
      <alignment horizontal="center" vertical="center"/>
    </xf>
    <xf numFmtId="0" fontId="19" fillId="3" borderId="0" xfId="0" applyFont="1" applyFill="1"/>
    <xf numFmtId="1" fontId="18" fillId="3" borderId="3" xfId="0" applyNumberFormat="1" applyFont="1" applyFill="1" applyBorder="1" applyAlignment="1">
      <alignment horizontal="center" vertical="center"/>
    </xf>
    <xf numFmtId="17" fontId="18" fillId="3" borderId="3" xfId="0" applyNumberFormat="1" applyFont="1" applyFill="1" applyBorder="1" applyAlignment="1">
      <alignment horizontal="center" vertical="center"/>
    </xf>
    <xf numFmtId="0" fontId="26" fillId="3" borderId="0" xfId="0" applyFont="1" applyFill="1"/>
    <xf numFmtId="170" fontId="14" fillId="3" borderId="0" xfId="0" applyNumberFormat="1" applyFont="1" applyFill="1"/>
    <xf numFmtId="165" fontId="14" fillId="3" borderId="0" xfId="0" applyNumberFormat="1" applyFont="1" applyFill="1"/>
    <xf numFmtId="165" fontId="0" fillId="3" borderId="0" xfId="0" applyNumberFormat="1" applyFill="1"/>
    <xf numFmtId="171" fontId="18" fillId="3" borderId="6" xfId="0" applyNumberFormat="1" applyFont="1" applyFill="1" applyBorder="1" applyAlignment="1">
      <alignment horizontal="center" vertical="center"/>
    </xf>
    <xf numFmtId="171" fontId="18" fillId="3" borderId="9" xfId="0" applyNumberFormat="1" applyFont="1" applyFill="1" applyBorder="1" applyAlignment="1">
      <alignment horizontal="center" vertical="center"/>
    </xf>
    <xf numFmtId="171" fontId="14" fillId="3" borderId="5" xfId="0" applyNumberFormat="1" applyFont="1" applyFill="1" applyBorder="1"/>
    <xf numFmtId="171" fontId="14" fillId="3" borderId="8" xfId="0" applyNumberFormat="1" applyFont="1" applyFill="1" applyBorder="1"/>
    <xf numFmtId="170" fontId="14" fillId="3" borderId="2" xfId="0" applyNumberFormat="1" applyFont="1" applyFill="1" applyBorder="1"/>
    <xf numFmtId="170" fontId="15" fillId="3" borderId="0" xfId="0" applyNumberFormat="1" applyFont="1" applyFill="1"/>
    <xf numFmtId="0" fontId="14" fillId="3" borderId="0" xfId="0" applyFont="1" applyFill="1"/>
    <xf numFmtId="164" fontId="14" fillId="3" borderId="0" xfId="0" applyNumberFormat="1" applyFont="1" applyFill="1"/>
    <xf numFmtId="164" fontId="15" fillId="3" borderId="0" xfId="0" applyNumberFormat="1" applyFont="1" applyFill="1"/>
    <xf numFmtId="171" fontId="14" fillId="3" borderId="5" xfId="0" applyNumberFormat="1" applyFont="1" applyFill="1" applyBorder="1" applyAlignment="1">
      <alignment horizontal="left" indent="2"/>
    </xf>
    <xf numFmtId="171" fontId="14" fillId="3" borderId="8" xfId="0" applyNumberFormat="1" applyFont="1" applyFill="1" applyBorder="1" applyAlignment="1">
      <alignment horizontal="left" indent="2"/>
    </xf>
    <xf numFmtId="171" fontId="13" fillId="3" borderId="7" xfId="0" applyNumberFormat="1" applyFont="1" applyFill="1" applyBorder="1"/>
    <xf numFmtId="171" fontId="13" fillId="3" borderId="10" xfId="0" applyNumberFormat="1" applyFont="1" applyFill="1" applyBorder="1"/>
    <xf numFmtId="170" fontId="13" fillId="3" borderId="4" xfId="0" applyNumberFormat="1" applyFont="1" applyFill="1" applyBorder="1"/>
    <xf numFmtId="171" fontId="13" fillId="3" borderId="5" xfId="0" applyNumberFormat="1" applyFont="1" applyFill="1" applyBorder="1"/>
    <xf numFmtId="171" fontId="13" fillId="3" borderId="8" xfId="0" applyNumberFormat="1" applyFont="1" applyFill="1" applyBorder="1"/>
    <xf numFmtId="172" fontId="16" fillId="3" borderId="0" xfId="4" applyNumberFormat="1" applyFont="1" applyFill="1" applyBorder="1"/>
    <xf numFmtId="172" fontId="24" fillId="3" borderId="0" xfId="4" applyNumberFormat="1" applyFont="1" applyFill="1" applyBorder="1"/>
    <xf numFmtId="172" fontId="18" fillId="3" borderId="0" xfId="3" applyNumberFormat="1" applyFont="1" applyFill="1" applyBorder="1"/>
    <xf numFmtId="172" fontId="12" fillId="3" borderId="0" xfId="4" applyNumberFormat="1" applyFont="1" applyFill="1" applyBorder="1"/>
    <xf numFmtId="172" fontId="17" fillId="3" borderId="0" xfId="4" applyNumberFormat="1" applyFont="1" applyFill="1" applyBorder="1"/>
    <xf numFmtId="171" fontId="13" fillId="3" borderId="7" xfId="0" applyNumberFormat="1" applyFont="1" applyFill="1" applyBorder="1" applyAlignment="1">
      <alignment horizontal="left"/>
    </xf>
    <xf numFmtId="171" fontId="13" fillId="3" borderId="10" xfId="0" applyNumberFormat="1" applyFont="1" applyFill="1" applyBorder="1" applyAlignment="1">
      <alignment horizontal="left"/>
    </xf>
    <xf numFmtId="170" fontId="11" fillId="3" borderId="4" xfId="0" applyNumberFormat="1" applyFont="1" applyFill="1" applyBorder="1"/>
    <xf numFmtId="171" fontId="13" fillId="3" borderId="5" xfId="0" applyNumberFormat="1" applyFont="1" applyFill="1" applyBorder="1" applyAlignment="1">
      <alignment horizontal="left" indent="1"/>
    </xf>
    <xf numFmtId="171" fontId="13" fillId="3" borderId="8" xfId="0" applyNumberFormat="1" applyFont="1" applyFill="1" applyBorder="1" applyAlignment="1">
      <alignment horizontal="left" indent="1"/>
    </xf>
    <xf numFmtId="171" fontId="14" fillId="3" borderId="0" xfId="0" applyNumberFormat="1" applyFont="1" applyFill="1"/>
    <xf numFmtId="171" fontId="15" fillId="3" borderId="0" xfId="0" applyNumberFormat="1" applyFont="1" applyFill="1"/>
    <xf numFmtId="171" fontId="13" fillId="3" borderId="5" xfId="0" applyNumberFormat="1" applyFont="1" applyFill="1" applyBorder="1" applyAlignment="1">
      <alignment horizontal="left"/>
    </xf>
    <xf numFmtId="171" fontId="13" fillId="3" borderId="8" xfId="0" applyNumberFormat="1" applyFont="1" applyFill="1" applyBorder="1" applyAlignment="1">
      <alignment horizontal="left"/>
    </xf>
    <xf numFmtId="170" fontId="13" fillId="3" borderId="0" xfId="0" applyNumberFormat="1" applyFont="1" applyFill="1"/>
    <xf numFmtId="170" fontId="11" fillId="3" borderId="0" xfId="0" applyNumberFormat="1" applyFont="1" applyFill="1"/>
    <xf numFmtId="0" fontId="14" fillId="3" borderId="12" xfId="0" applyFont="1" applyFill="1" applyBorder="1"/>
    <xf numFmtId="0" fontId="14" fillId="3" borderId="13" xfId="0" applyFont="1" applyFill="1" applyBorder="1"/>
    <xf numFmtId="172" fontId="16" fillId="3" borderId="11" xfId="4" applyNumberFormat="1" applyFont="1" applyFill="1" applyBorder="1"/>
    <xf numFmtId="172" fontId="24" fillId="3" borderId="11" xfId="4" applyNumberFormat="1" applyFont="1" applyFill="1" applyBorder="1"/>
    <xf numFmtId="166" fontId="0" fillId="3" borderId="0" xfId="1" applyNumberFormat="1" applyFont="1" applyFill="1"/>
    <xf numFmtId="172" fontId="29" fillId="3" borderId="0" xfId="3" applyNumberFormat="1" applyFont="1" applyFill="1" applyBorder="1" applyAlignment="1">
      <alignment horizontal="center"/>
    </xf>
    <xf numFmtId="164" fontId="26" fillId="3" borderId="18" xfId="0" applyNumberFormat="1" applyFont="1" applyFill="1" applyBorder="1"/>
    <xf numFmtId="172" fontId="28" fillId="3" borderId="3" xfId="3" applyNumberFormat="1" applyFont="1" applyFill="1" applyBorder="1"/>
    <xf numFmtId="172" fontId="24" fillId="3" borderId="3" xfId="3" applyNumberFormat="1" applyFont="1" applyFill="1" applyBorder="1"/>
    <xf numFmtId="164" fontId="0" fillId="3" borderId="0" xfId="0" applyNumberFormat="1" applyFill="1"/>
    <xf numFmtId="172" fontId="0" fillId="3" borderId="0" xfId="3" applyNumberFormat="1" applyFont="1" applyFill="1"/>
    <xf numFmtId="164" fontId="26" fillId="3" borderId="0" xfId="0" applyNumberFormat="1" applyFont="1" applyFill="1"/>
    <xf numFmtId="164" fontId="27" fillId="3" borderId="18" xfId="0" applyNumberFormat="1" applyFont="1" applyFill="1" applyBorder="1"/>
    <xf numFmtId="164" fontId="8" fillId="3" borderId="18" xfId="0" applyNumberFormat="1" applyFont="1" applyFill="1" applyBorder="1"/>
    <xf numFmtId="164" fontId="7" fillId="3" borderId="11" xfId="0" applyNumberFormat="1" applyFont="1" applyFill="1" applyBorder="1"/>
    <xf numFmtId="164" fontId="26" fillId="3" borderId="14" xfId="0" applyNumberFormat="1" applyFont="1" applyFill="1" applyBorder="1"/>
    <xf numFmtId="164" fontId="27" fillId="3" borderId="0" xfId="0" applyNumberFormat="1" applyFont="1" applyFill="1"/>
    <xf numFmtId="172" fontId="28" fillId="3" borderId="14" xfId="3" applyNumberFormat="1" applyFont="1" applyFill="1" applyBorder="1"/>
    <xf numFmtId="172" fontId="24" fillId="3" borderId="14" xfId="3" applyNumberFormat="1" applyFont="1" applyFill="1" applyBorder="1"/>
    <xf numFmtId="166" fontId="19" fillId="3" borderId="0" xfId="1" applyNumberFormat="1" applyFont="1" applyFill="1"/>
    <xf numFmtId="166" fontId="26" fillId="3" borderId="0" xfId="1" applyNumberFormat="1" applyFont="1" applyFill="1"/>
    <xf numFmtId="0" fontId="0" fillId="3" borderId="0" xfId="0" applyFill="1" applyAlignment="1">
      <alignment horizontal="center"/>
    </xf>
    <xf numFmtId="0" fontId="26" fillId="3" borderId="19" xfId="0" applyFont="1" applyFill="1" applyBorder="1"/>
    <xf numFmtId="166" fontId="26" fillId="3" borderId="19" xfId="1" applyNumberFormat="1" applyFont="1" applyFill="1" applyBorder="1"/>
    <xf numFmtId="166" fontId="26" fillId="3" borderId="0" xfId="1" applyNumberFormat="1" applyFont="1" applyFill="1" applyBorder="1"/>
    <xf numFmtId="166" fontId="27" fillId="3" borderId="0" xfId="1" applyNumberFormat="1" applyFont="1" applyFill="1"/>
    <xf numFmtId="166" fontId="27" fillId="3" borderId="20" xfId="1" applyNumberFormat="1" applyFont="1" applyFill="1" applyBorder="1"/>
    <xf numFmtId="166" fontId="26" fillId="3" borderId="0" xfId="1" applyNumberFormat="1" applyFont="1" applyFill="1" applyAlignment="1">
      <alignment horizontal="center"/>
    </xf>
    <xf numFmtId="164" fontId="26" fillId="3" borderId="0" xfId="1" applyNumberFormat="1" applyFont="1" applyFill="1"/>
    <xf numFmtId="170" fontId="1" fillId="3" borderId="0" xfId="0" applyNumberFormat="1" applyFont="1" applyFill="1"/>
    <xf numFmtId="166" fontId="26" fillId="3" borderId="19" xfId="1" applyNumberFormat="1" applyFont="1" applyFill="1" applyBorder="1" applyAlignment="1">
      <alignment horizontal="center"/>
    </xf>
    <xf numFmtId="41" fontId="34" fillId="3" borderId="0" xfId="6" applyNumberFormat="1" applyFont="1" applyFill="1" applyAlignment="1">
      <alignment vertical="center"/>
    </xf>
    <xf numFmtId="164" fontId="15" fillId="3" borderId="0" xfId="6" applyNumberFormat="1" applyFont="1" applyFill="1" applyAlignment="1">
      <alignment vertical="center" wrapText="1"/>
    </xf>
    <xf numFmtId="164" fontId="15" fillId="3" borderId="14" xfId="6" applyNumberFormat="1" applyFont="1" applyFill="1" applyBorder="1" applyAlignment="1">
      <alignment vertical="center" wrapText="1"/>
    </xf>
    <xf numFmtId="0" fontId="0" fillId="3" borderId="19" xfId="0" applyFill="1" applyBorder="1"/>
    <xf numFmtId="0" fontId="35" fillId="3" borderId="0" xfId="0" applyFont="1" applyFill="1"/>
    <xf numFmtId="166" fontId="14" fillId="3" borderId="0" xfId="1" applyNumberFormat="1" applyFont="1" applyFill="1"/>
    <xf numFmtId="164" fontId="33" fillId="3" borderId="0" xfId="6" applyNumberFormat="1" applyFont="1" applyFill="1"/>
    <xf numFmtId="0" fontId="26" fillId="3" borderId="20" xfId="0" applyFont="1" applyFill="1" applyBorder="1"/>
    <xf numFmtId="0" fontId="26" fillId="3" borderId="0" xfId="0" applyFont="1" applyFill="1" applyAlignment="1">
      <alignment wrapText="1"/>
    </xf>
    <xf numFmtId="14" fontId="26" fillId="0" borderId="0" xfId="1" applyNumberFormat="1" applyFont="1"/>
    <xf numFmtId="0" fontId="41" fillId="0" borderId="0" xfId="0" applyFont="1"/>
    <xf numFmtId="43" fontId="41" fillId="0" borderId="0" xfId="1" applyFont="1" applyAlignment="1">
      <alignment horizontal="right"/>
    </xf>
    <xf numFmtId="166" fontId="41" fillId="0" borderId="0" xfId="1" applyNumberFormat="1" applyFont="1" applyAlignment="1">
      <alignment horizontal="right"/>
    </xf>
    <xf numFmtId="166" fontId="41" fillId="0" borderId="0" xfId="1" applyNumberFormat="1" applyFont="1"/>
    <xf numFmtId="43" fontId="41" fillId="0" borderId="0" xfId="1" applyFont="1"/>
    <xf numFmtId="0" fontId="22" fillId="2" borderId="29" xfId="0" applyFont="1" applyFill="1" applyBorder="1"/>
    <xf numFmtId="0" fontId="22" fillId="2" borderId="2" xfId="0" applyFont="1" applyFill="1" applyBorder="1"/>
    <xf numFmtId="167" fontId="26" fillId="0" borderId="0" xfId="1" applyNumberFormat="1" applyFont="1"/>
    <xf numFmtId="43" fontId="19" fillId="2" borderId="0" xfId="1" applyFont="1" applyFill="1" applyAlignment="1">
      <alignment horizontal="right"/>
    </xf>
    <xf numFmtId="14" fontId="19" fillId="2" borderId="0" xfId="1" applyNumberFormat="1" applyFont="1" applyFill="1"/>
    <xf numFmtId="168" fontId="19" fillId="2" borderId="0" xfId="1" applyNumberFormat="1" applyFont="1" applyFill="1"/>
    <xf numFmtId="166" fontId="26" fillId="0" borderId="30" xfId="1" applyNumberFormat="1" applyFont="1" applyBorder="1"/>
    <xf numFmtId="166" fontId="26" fillId="0" borderId="8" xfId="1" applyNumberFormat="1" applyFont="1" applyBorder="1"/>
    <xf numFmtId="166" fontId="26" fillId="0" borderId="13" xfId="1" applyNumberFormat="1" applyFont="1" applyBorder="1"/>
    <xf numFmtId="166" fontId="26" fillId="0" borderId="32" xfId="1" applyNumberFormat="1" applyFont="1" applyBorder="1"/>
    <xf numFmtId="166" fontId="26" fillId="0" borderId="32" xfId="1" applyNumberFormat="1" applyFont="1" applyBorder="1" applyAlignment="1">
      <alignment horizontal="right"/>
    </xf>
    <xf numFmtId="166" fontId="26" fillId="0" borderId="32" xfId="1" applyNumberFormat="1" applyFont="1" applyFill="1" applyBorder="1"/>
    <xf numFmtId="166" fontId="26" fillId="0" borderId="32" xfId="1" applyNumberFormat="1" applyFont="1" applyFill="1" applyBorder="1" applyAlignment="1">
      <alignment horizontal="right"/>
    </xf>
    <xf numFmtId="166" fontId="26" fillId="0" borderId="0" xfId="1" applyNumberFormat="1" applyFont="1" applyBorder="1"/>
    <xf numFmtId="166" fontId="26" fillId="0" borderId="0" xfId="1" applyNumberFormat="1" applyFont="1" applyBorder="1" applyAlignment="1">
      <alignment horizontal="right"/>
    </xf>
    <xf numFmtId="43" fontId="26" fillId="0" borderId="0" xfId="1" applyFont="1" applyBorder="1" applyAlignment="1">
      <alignment horizontal="right"/>
    </xf>
    <xf numFmtId="167" fontId="26" fillId="0" borderId="0" xfId="1" applyNumberFormat="1" applyFont="1" applyBorder="1"/>
    <xf numFmtId="167" fontId="26" fillId="0" borderId="0" xfId="1" applyNumberFormat="1" applyFont="1" applyBorder="1" applyAlignment="1">
      <alignment horizontal="right"/>
    </xf>
    <xf numFmtId="169" fontId="26" fillId="0" borderId="0" xfId="1" applyNumberFormat="1" applyFont="1" applyBorder="1"/>
    <xf numFmtId="167" fontId="26" fillId="0" borderId="11" xfId="1" applyNumberFormat="1" applyFont="1" applyBorder="1"/>
    <xf numFmtId="167" fontId="26" fillId="0" borderId="11" xfId="1" applyNumberFormat="1" applyFont="1" applyBorder="1" applyAlignment="1">
      <alignment horizontal="right"/>
    </xf>
    <xf numFmtId="169" fontId="26" fillId="0" borderId="11" xfId="1" applyNumberFormat="1" applyFont="1" applyBorder="1"/>
    <xf numFmtId="49" fontId="41" fillId="0" borderId="30" xfId="0" applyNumberFormat="1" applyFont="1" applyBorder="1"/>
    <xf numFmtId="49" fontId="41" fillId="0" borderId="8" xfId="0" applyNumberFormat="1" applyFont="1" applyBorder="1"/>
    <xf numFmtId="49" fontId="41" fillId="0" borderId="13" xfId="0" applyNumberFormat="1" applyFont="1" applyBorder="1"/>
    <xf numFmtId="43" fontId="22" fillId="2" borderId="31" xfId="1" applyFont="1" applyFill="1" applyBorder="1" applyAlignment="1">
      <alignment horizontal="right"/>
    </xf>
    <xf numFmtId="43" fontId="22" fillId="2" borderId="32" xfId="1" applyFont="1" applyFill="1" applyBorder="1" applyAlignment="1">
      <alignment horizontal="right"/>
    </xf>
    <xf numFmtId="0" fontId="22" fillId="2" borderId="32" xfId="0" applyFont="1" applyFill="1" applyBorder="1" applyAlignment="1">
      <alignment horizontal="center"/>
    </xf>
    <xf numFmtId="43" fontId="22" fillId="2" borderId="33" xfId="1" applyFont="1" applyFill="1" applyBorder="1" applyAlignment="1">
      <alignment horizontal="right"/>
    </xf>
    <xf numFmtId="14" fontId="22" fillId="2" borderId="34" xfId="1" applyNumberFormat="1" applyFont="1" applyFill="1" applyBorder="1"/>
    <xf numFmtId="14" fontId="22" fillId="2" borderId="0" xfId="1" applyNumberFormat="1" applyFont="1" applyFill="1" applyBorder="1"/>
    <xf numFmtId="14" fontId="22" fillId="2" borderId="0" xfId="0" applyNumberFormat="1" applyFont="1" applyFill="1"/>
    <xf numFmtId="14" fontId="22" fillId="2" borderId="5" xfId="0" applyNumberFormat="1" applyFont="1" applyFill="1" applyBorder="1"/>
    <xf numFmtId="166" fontId="41" fillId="0" borderId="0" xfId="1" applyNumberFormat="1" applyFont="1" applyBorder="1" applyAlignment="1">
      <alignment horizontal="right"/>
    </xf>
    <xf numFmtId="166" fontId="41" fillId="0" borderId="0" xfId="1" applyNumberFormat="1" applyFont="1" applyBorder="1"/>
    <xf numFmtId="166" fontId="41" fillId="0" borderId="5" xfId="1" applyNumberFormat="1" applyFont="1" applyBorder="1"/>
    <xf numFmtId="166" fontId="41" fillId="0" borderId="0" xfId="1" applyNumberFormat="1" applyFont="1" applyFill="1" applyBorder="1"/>
    <xf numFmtId="166" fontId="41" fillId="0" borderId="5" xfId="1" applyNumberFormat="1" applyFont="1" applyFill="1" applyBorder="1"/>
    <xf numFmtId="166" fontId="41" fillId="0" borderId="11" xfId="1" applyNumberFormat="1" applyFont="1" applyBorder="1" applyAlignment="1">
      <alignment horizontal="right"/>
    </xf>
    <xf numFmtId="166" fontId="41" fillId="0" borderId="11" xfId="1" applyNumberFormat="1" applyFont="1" applyBorder="1"/>
    <xf numFmtId="166" fontId="41" fillId="0" borderId="12" xfId="1" applyNumberFormat="1" applyFont="1" applyBorder="1"/>
    <xf numFmtId="0" fontId="26" fillId="3" borderId="30" xfId="0" applyFont="1" applyFill="1" applyBorder="1"/>
    <xf numFmtId="0" fontId="26" fillId="3" borderId="8" xfId="0" applyFont="1" applyFill="1" applyBorder="1"/>
    <xf numFmtId="0" fontId="26" fillId="3" borderId="13" xfId="0" applyFont="1" applyFill="1" applyBorder="1"/>
    <xf numFmtId="1" fontId="18" fillId="3" borderId="0" xfId="0" applyNumberFormat="1" applyFont="1" applyFill="1" applyAlignment="1">
      <alignment horizontal="center" vertical="center"/>
    </xf>
    <xf numFmtId="170" fontId="14" fillId="3" borderId="32" xfId="0" applyNumberFormat="1" applyFont="1" applyFill="1" applyBorder="1"/>
    <xf numFmtId="165" fontId="14" fillId="3" borderId="11" xfId="0" applyNumberFormat="1" applyFont="1" applyFill="1" applyBorder="1"/>
    <xf numFmtId="2" fontId="0" fillId="3" borderId="11" xfId="0" applyNumberFormat="1" applyFill="1" applyBorder="1"/>
    <xf numFmtId="165" fontId="0" fillId="3" borderId="11" xfId="0" applyNumberFormat="1" applyFill="1" applyBorder="1"/>
    <xf numFmtId="1" fontId="18" fillId="3" borderId="36" xfId="0" applyNumberFormat="1" applyFont="1" applyFill="1" applyBorder="1" applyAlignment="1">
      <alignment horizontal="center" vertical="center"/>
    </xf>
    <xf numFmtId="17" fontId="18" fillId="3" borderId="37" xfId="0" applyNumberFormat="1" applyFont="1" applyFill="1" applyBorder="1" applyAlignment="1">
      <alignment horizontal="center" vertical="center"/>
    </xf>
    <xf numFmtId="1" fontId="18" fillId="3" borderId="37" xfId="0" applyNumberFormat="1" applyFont="1" applyFill="1" applyBorder="1" applyAlignment="1">
      <alignment horizontal="center" vertical="center"/>
    </xf>
    <xf numFmtId="0" fontId="25" fillId="2" borderId="31" xfId="0" applyFont="1" applyFill="1" applyBorder="1"/>
    <xf numFmtId="0" fontId="25" fillId="2" borderId="32" xfId="0" applyFont="1" applyFill="1" applyBorder="1"/>
    <xf numFmtId="0" fontId="20" fillId="2" borderId="32" xfId="0" applyFont="1" applyFill="1" applyBorder="1"/>
    <xf numFmtId="0" fontId="19" fillId="2" borderId="34" xfId="0" applyFont="1" applyFill="1" applyBorder="1" applyAlignment="1">
      <alignment horizontal="center"/>
    </xf>
    <xf numFmtId="0" fontId="19" fillId="2" borderId="5" xfId="0" applyFont="1" applyFill="1" applyBorder="1" applyAlignment="1">
      <alignment horizontal="center" vertical="center" wrapText="1"/>
    </xf>
    <xf numFmtId="0" fontId="18" fillId="3" borderId="38" xfId="0" applyFont="1" applyFill="1" applyBorder="1" applyAlignment="1">
      <alignment horizontal="center" vertical="center" wrapText="1"/>
    </xf>
    <xf numFmtId="164" fontId="26" fillId="3" borderId="34" xfId="0" applyNumberFormat="1" applyFont="1" applyFill="1" applyBorder="1"/>
    <xf numFmtId="164" fontId="7" fillId="3" borderId="0" xfId="0" applyNumberFormat="1" applyFont="1" applyFill="1"/>
    <xf numFmtId="164" fontId="27" fillId="3" borderId="39" xfId="0" applyNumberFormat="1" applyFont="1" applyFill="1" applyBorder="1"/>
    <xf numFmtId="172" fontId="24" fillId="3" borderId="40" xfId="3" applyNumberFormat="1" applyFont="1" applyFill="1" applyBorder="1"/>
    <xf numFmtId="164" fontId="26" fillId="3" borderId="41" xfId="0" applyNumberFormat="1" applyFont="1" applyFill="1" applyBorder="1"/>
    <xf numFmtId="172" fontId="24" fillId="3" borderId="41" xfId="3" applyNumberFormat="1" applyFont="1" applyFill="1" applyBorder="1"/>
    <xf numFmtId="164" fontId="19" fillId="2" borderId="42" xfId="0" applyNumberFormat="1" applyFont="1" applyFill="1" applyBorder="1"/>
    <xf numFmtId="164" fontId="30" fillId="2" borderId="0" xfId="0" applyNumberFormat="1" applyFont="1" applyFill="1"/>
    <xf numFmtId="0" fontId="26" fillId="3" borderId="43" xfId="0" applyFont="1" applyFill="1" applyBorder="1"/>
    <xf numFmtId="164" fontId="26" fillId="3" borderId="39" xfId="0" applyNumberFormat="1" applyFont="1" applyFill="1" applyBorder="1"/>
    <xf numFmtId="0" fontId="26" fillId="3" borderId="34" xfId="0" applyFont="1" applyFill="1" applyBorder="1"/>
    <xf numFmtId="172" fontId="24" fillId="3" borderId="35" xfId="3" applyNumberFormat="1" applyFont="1" applyFill="1" applyBorder="1"/>
    <xf numFmtId="172" fontId="24" fillId="3" borderId="11" xfId="3" applyNumberFormat="1" applyFont="1" applyFill="1" applyBorder="1"/>
    <xf numFmtId="0" fontId="18" fillId="3" borderId="44" xfId="0" applyFont="1" applyFill="1" applyBorder="1" applyAlignment="1">
      <alignment horizontal="center" vertical="center" wrapText="1"/>
    </xf>
    <xf numFmtId="0" fontId="26" fillId="3" borderId="45" xfId="0" applyFont="1" applyFill="1" applyBorder="1"/>
    <xf numFmtId="0" fontId="19" fillId="2" borderId="8" xfId="0" applyFont="1" applyFill="1" applyBorder="1" applyAlignment="1">
      <alignment horizontal="center" vertical="center" wrapText="1"/>
    </xf>
    <xf numFmtId="0" fontId="26" fillId="3" borderId="9" xfId="0" applyFont="1" applyFill="1" applyBorder="1"/>
    <xf numFmtId="0" fontId="7" fillId="3" borderId="45" xfId="0" applyFont="1" applyFill="1" applyBorder="1"/>
    <xf numFmtId="0" fontId="7" fillId="3" borderId="8" xfId="0" applyFont="1" applyFill="1" applyBorder="1"/>
    <xf numFmtId="0" fontId="19" fillId="3" borderId="10" xfId="0" applyFont="1" applyFill="1" applyBorder="1" applyAlignment="1">
      <alignment horizontal="center" vertical="center" wrapText="1"/>
    </xf>
    <xf numFmtId="0" fontId="0" fillId="3" borderId="8" xfId="0" applyFill="1" applyBorder="1"/>
    <xf numFmtId="0" fontId="0" fillId="3" borderId="9" xfId="0" applyFill="1" applyBorder="1"/>
    <xf numFmtId="0" fontId="20" fillId="2" borderId="5" xfId="0" applyFont="1" applyFill="1" applyBorder="1"/>
    <xf numFmtId="164" fontId="19" fillId="2" borderId="0" xfId="0" applyNumberFormat="1" applyFont="1" applyFill="1"/>
    <xf numFmtId="0" fontId="0" fillId="2" borderId="36" xfId="0" applyFill="1" applyBorder="1"/>
    <xf numFmtId="166" fontId="1" fillId="0" borderId="0" xfId="1" applyNumberFormat="1" applyFont="1"/>
    <xf numFmtId="166" fontId="26" fillId="3" borderId="0" xfId="1" applyNumberFormat="1" applyFont="1" applyFill="1" applyAlignment="1">
      <alignment horizontal="right"/>
    </xf>
    <xf numFmtId="166" fontId="26" fillId="3" borderId="19" xfId="1" applyNumberFormat="1" applyFont="1" applyFill="1" applyBorder="1" applyAlignment="1">
      <alignment horizontal="right"/>
    </xf>
    <xf numFmtId="3" fontId="41" fillId="0" borderId="0" xfId="1" applyNumberFormat="1" applyFont="1" applyBorder="1" applyAlignment="1">
      <alignment horizontal="right"/>
    </xf>
    <xf numFmtId="3" fontId="41" fillId="0" borderId="0" xfId="0" applyNumberFormat="1" applyFont="1"/>
    <xf numFmtId="3" fontId="41" fillId="0" borderId="11" xfId="1" applyNumberFormat="1" applyFont="1" applyBorder="1" applyAlignment="1">
      <alignment horizontal="right"/>
    </xf>
    <xf numFmtId="166" fontId="41" fillId="0" borderId="0" xfId="1" applyNumberFormat="1" applyFont="1" applyBorder="1" applyAlignment="1"/>
    <xf numFmtId="0" fontId="26" fillId="0" borderId="0" xfId="1" applyNumberFormat="1" applyFont="1" applyBorder="1" applyAlignment="1">
      <alignment horizontal="right"/>
    </xf>
    <xf numFmtId="3" fontId="26" fillId="0" borderId="0" xfId="1" applyNumberFormat="1" applyFont="1" applyBorder="1" applyAlignment="1">
      <alignment horizontal="right"/>
    </xf>
    <xf numFmtId="174" fontId="26" fillId="0" borderId="0" xfId="1" applyNumberFormat="1" applyFont="1" applyBorder="1" applyAlignment="1">
      <alignment horizontal="right"/>
    </xf>
    <xf numFmtId="174" fontId="26" fillId="0" borderId="11" xfId="1" applyNumberFormat="1" applyFont="1" applyBorder="1" applyAlignment="1">
      <alignment horizontal="right"/>
    </xf>
    <xf numFmtId="166" fontId="26" fillId="0" borderId="0" xfId="1" applyNumberFormat="1" applyFont="1" applyFill="1" applyBorder="1"/>
    <xf numFmtId="0" fontId="42" fillId="4" borderId="36" xfId="0" applyFont="1" applyFill="1" applyBorder="1"/>
    <xf numFmtId="0" fontId="42" fillId="4" borderId="0" xfId="0" applyFont="1" applyFill="1"/>
    <xf numFmtId="0" fontId="18" fillId="5" borderId="37" xfId="0" applyFont="1" applyFill="1" applyBorder="1" applyAlignment="1">
      <alignment horizontal="center" vertical="center"/>
    </xf>
    <xf numFmtId="3" fontId="14" fillId="5" borderId="32" xfId="0" applyNumberFormat="1" applyFont="1" applyFill="1" applyBorder="1"/>
    <xf numFmtId="3" fontId="14" fillId="5" borderId="0" xfId="0" applyNumberFormat="1" applyFont="1" applyFill="1"/>
    <xf numFmtId="0" fontId="14" fillId="5" borderId="11" xfId="0" applyFont="1" applyFill="1" applyBorder="1"/>
    <xf numFmtId="0" fontId="43" fillId="4" borderId="0" xfId="0" applyFont="1" applyFill="1" applyAlignment="1">
      <alignment horizontal="center" vertical="center"/>
    </xf>
    <xf numFmtId="0" fontId="44" fillId="4" borderId="4" xfId="0" applyFont="1" applyFill="1" applyBorder="1"/>
    <xf numFmtId="0" fontId="18" fillId="5" borderId="4" xfId="0" applyFont="1" applyFill="1" applyBorder="1" applyAlignment="1">
      <alignment horizontal="right"/>
    </xf>
    <xf numFmtId="0" fontId="18" fillId="5" borderId="4" xfId="0" applyFont="1" applyFill="1" applyBorder="1" applyAlignment="1">
      <alignment horizontal="center"/>
    </xf>
    <xf numFmtId="3" fontId="45" fillId="0" borderId="0" xfId="0" applyNumberFormat="1" applyFont="1"/>
    <xf numFmtId="3" fontId="46" fillId="0" borderId="4" xfId="0" applyNumberFormat="1" applyFont="1" applyBorder="1"/>
    <xf numFmtId="3" fontId="45" fillId="5" borderId="0" xfId="0" applyNumberFormat="1" applyFont="1" applyFill="1"/>
    <xf numFmtId="3" fontId="47" fillId="5" borderId="0" xfId="0" applyNumberFormat="1" applyFont="1" applyFill="1"/>
    <xf numFmtId="3" fontId="45" fillId="5" borderId="11" xfId="0" applyNumberFormat="1" applyFont="1" applyFill="1" applyBorder="1"/>
    <xf numFmtId="3" fontId="45" fillId="0" borderId="0" xfId="0" applyNumberFormat="1" applyFont="1" applyAlignment="1">
      <alignment horizontal="center"/>
    </xf>
    <xf numFmtId="3" fontId="46" fillId="0" borderId="4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39" fillId="3" borderId="0" xfId="0" applyFont="1" applyFill="1" applyAlignment="1">
      <alignment horizontal="center" vertical="center"/>
    </xf>
    <xf numFmtId="0" fontId="39" fillId="3" borderId="25" xfId="0" applyFont="1" applyFill="1" applyBorder="1" applyAlignment="1">
      <alignment horizontal="center" vertical="center"/>
    </xf>
    <xf numFmtId="0" fontId="39" fillId="3" borderId="0" xfId="0" applyFont="1" applyFill="1" applyAlignment="1">
      <alignment horizontal="center"/>
    </xf>
    <xf numFmtId="0" fontId="39" fillId="3" borderId="25" xfId="0" applyFont="1" applyFill="1" applyBorder="1" applyAlignment="1">
      <alignment horizontal="center"/>
    </xf>
    <xf numFmtId="0" fontId="40" fillId="2" borderId="0" xfId="7" applyFont="1" applyFill="1" applyAlignment="1">
      <alignment horizontal="center" vertical="center"/>
    </xf>
    <xf numFmtId="0" fontId="37" fillId="3" borderId="0" xfId="7" applyFont="1" applyFill="1" applyBorder="1" applyAlignment="1">
      <alignment horizontal="center" vertical="center"/>
    </xf>
    <xf numFmtId="0" fontId="18" fillId="3" borderId="45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</cellXfs>
  <cellStyles count="8">
    <cellStyle name="Hiperlink" xfId="7" builtinId="8"/>
    <cellStyle name="Normal" xfId="0" builtinId="0"/>
    <cellStyle name="Normal 2" xfId="2" xr:uid="{00000000-0005-0000-0000-000002000000}"/>
    <cellStyle name="Normal 3" xfId="5" xr:uid="{6E4A6D08-7E79-4E8C-A6F9-D1ACB6E5106A}"/>
    <cellStyle name="Normal_Suporte resultados 4T10" xfId="6" xr:uid="{84898D8A-E0B6-46C0-BDBD-3AAFD7E008E8}"/>
    <cellStyle name="Porcentagem" xfId="3" builtinId="5"/>
    <cellStyle name="Porcentagem 2" xfId="4" xr:uid="{18DE1E19-15DC-4076-8251-3754331CE662}"/>
    <cellStyle name="Vírgula" xfId="1" builtinId="3"/>
  </cellStyles>
  <dxfs count="0"/>
  <tableStyles count="0" defaultTableStyle="TableStyleMedium2" defaultPivotStyle="PivotStyleLight16"/>
  <colors>
    <mruColors>
      <color rgb="FF0083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165100</xdr:rowOff>
    </xdr:from>
    <xdr:to>
      <xdr:col>26</xdr:col>
      <xdr:colOff>9525</xdr:colOff>
      <xdr:row>12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BF373EF-E721-C311-FB94-D8A7FBAC3E5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11175" r="46" b="1653"/>
        <a:stretch/>
      </xdr:blipFill>
      <xdr:spPr bwMode="auto">
        <a:xfrm>
          <a:off x="2463800" y="533400"/>
          <a:ext cx="13906500" cy="1682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12</xdr:row>
      <xdr:rowOff>6350</xdr:rowOff>
    </xdr:from>
    <xdr:to>
      <xdr:col>11</xdr:col>
      <xdr:colOff>313796</xdr:colOff>
      <xdr:row>42</xdr:row>
      <xdr:rowOff>57150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37B773F9-9291-E247-3B94-9C0B17689C1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16" r="1716"/>
        <a:stretch/>
      </xdr:blipFill>
      <xdr:spPr bwMode="auto">
        <a:xfrm>
          <a:off x="2463800" y="2216150"/>
          <a:ext cx="4876271" cy="640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123190</xdr:colOff>
      <xdr:row>11</xdr:row>
      <xdr:rowOff>152400</xdr:rowOff>
    </xdr:from>
    <xdr:to>
      <xdr:col>24</xdr:col>
      <xdr:colOff>431800</xdr:colOff>
      <xdr:row>12</xdr:row>
      <xdr:rowOff>49530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E8FB4C19-5939-09BA-F8AC-FC6ADCE8843B}"/>
            </a:ext>
          </a:extLst>
        </xdr:cNvPr>
        <xdr:cNvGrpSpPr/>
      </xdr:nvGrpSpPr>
      <xdr:grpSpPr>
        <a:xfrm rot="16200000" flipH="1">
          <a:off x="9260205" y="-3910965"/>
          <a:ext cx="81280" cy="12259310"/>
          <a:chOff x="0" y="0"/>
          <a:chExt cx="109728" cy="6073140"/>
        </a:xfrm>
      </xdr:grpSpPr>
      <xdr:sp macro="" textlink="">
        <xdr:nvSpPr>
          <xdr:cNvPr id="5" name="Freeform: Shape 4">
            <a:extLst>
              <a:ext uri="{FF2B5EF4-FFF2-40B4-BE49-F238E27FC236}">
                <a16:creationId xmlns:a16="http://schemas.microsoft.com/office/drawing/2014/main" id="{D5C7D2E2-3F13-86ED-DFDA-13A35D0E5768}"/>
              </a:ext>
            </a:extLst>
          </xdr:cNvPr>
          <xdr:cNvSpPr/>
        </xdr:nvSpPr>
        <xdr:spPr>
          <a:xfrm>
            <a:off x="0" y="0"/>
            <a:ext cx="109728" cy="4183380"/>
          </a:xfrm>
          <a:custGeom>
            <a:avLst/>
            <a:gdLst>
              <a:gd name="connsiteX0" fmla="*/ 0 w 217170"/>
              <a:gd name="connsiteY0" fmla="*/ 0 h 4183380"/>
              <a:gd name="connsiteX1" fmla="*/ 108585 w 217170"/>
              <a:gd name="connsiteY1" fmla="*/ 0 h 4183380"/>
              <a:gd name="connsiteX2" fmla="*/ 217170 w 217170"/>
              <a:gd name="connsiteY2" fmla="*/ 0 h 4183380"/>
              <a:gd name="connsiteX3" fmla="*/ 217170 w 217170"/>
              <a:gd name="connsiteY3" fmla="*/ 4183380 h 4183380"/>
              <a:gd name="connsiteX4" fmla="*/ 108585 w 217170"/>
              <a:gd name="connsiteY4" fmla="*/ 4183380 h 4183380"/>
              <a:gd name="connsiteX5" fmla="*/ 0 w 217170"/>
              <a:gd name="connsiteY5" fmla="*/ 4183380 h 418338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</a:cxnLst>
            <a:rect l="l" t="t" r="r" b="b"/>
            <a:pathLst>
              <a:path w="217170" h="4183380">
                <a:moveTo>
                  <a:pt x="0" y="0"/>
                </a:moveTo>
                <a:lnTo>
                  <a:pt x="108585" y="0"/>
                </a:lnTo>
                <a:lnTo>
                  <a:pt x="217170" y="0"/>
                </a:lnTo>
                <a:lnTo>
                  <a:pt x="217170" y="4183380"/>
                </a:lnTo>
                <a:lnTo>
                  <a:pt x="108585" y="4183380"/>
                </a:lnTo>
                <a:lnTo>
                  <a:pt x="0" y="4183380"/>
                </a:lnTo>
                <a:close/>
              </a:path>
            </a:pathLst>
          </a:custGeom>
          <a:solidFill>
            <a:srgbClr val="F7941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>
            <a:noAutofit/>
          </a:bodyPr>
          <a:lstStyle/>
          <a:p>
            <a:endParaRPr lang="en-US"/>
          </a:p>
        </xdr:txBody>
      </xdr:sp>
      <xdr:sp macro="" textlink="">
        <xdr:nvSpPr>
          <xdr:cNvPr id="6" name="Freeform: Shape 5">
            <a:extLst>
              <a:ext uri="{FF2B5EF4-FFF2-40B4-BE49-F238E27FC236}">
                <a16:creationId xmlns:a16="http://schemas.microsoft.com/office/drawing/2014/main" id="{F6610F98-9646-A733-5AFA-A5AA05F908AD}"/>
              </a:ext>
            </a:extLst>
          </xdr:cNvPr>
          <xdr:cNvSpPr/>
        </xdr:nvSpPr>
        <xdr:spPr>
          <a:xfrm>
            <a:off x="0" y="4328160"/>
            <a:ext cx="109728" cy="1744980"/>
          </a:xfrm>
          <a:custGeom>
            <a:avLst/>
            <a:gdLst>
              <a:gd name="connsiteX0" fmla="*/ 0 w 217170"/>
              <a:gd name="connsiteY0" fmla="*/ 0 h 1744980"/>
              <a:gd name="connsiteX1" fmla="*/ 108585 w 217170"/>
              <a:gd name="connsiteY1" fmla="*/ 0 h 1744980"/>
              <a:gd name="connsiteX2" fmla="*/ 217170 w 217170"/>
              <a:gd name="connsiteY2" fmla="*/ 0 h 1744980"/>
              <a:gd name="connsiteX3" fmla="*/ 217170 w 217170"/>
              <a:gd name="connsiteY3" fmla="*/ 1744980 h 1744980"/>
              <a:gd name="connsiteX4" fmla="*/ 108585 w 217170"/>
              <a:gd name="connsiteY4" fmla="*/ 1744980 h 1744980"/>
              <a:gd name="connsiteX5" fmla="*/ 0 w 217170"/>
              <a:gd name="connsiteY5" fmla="*/ 1744980 h 174498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</a:cxnLst>
            <a:rect l="l" t="t" r="r" b="b"/>
            <a:pathLst>
              <a:path w="217170" h="1744980">
                <a:moveTo>
                  <a:pt x="0" y="0"/>
                </a:moveTo>
                <a:lnTo>
                  <a:pt x="108585" y="0"/>
                </a:lnTo>
                <a:lnTo>
                  <a:pt x="217170" y="0"/>
                </a:lnTo>
                <a:lnTo>
                  <a:pt x="217170" y="1744980"/>
                </a:lnTo>
                <a:lnTo>
                  <a:pt x="108585" y="1744980"/>
                </a:lnTo>
                <a:lnTo>
                  <a:pt x="0" y="1744980"/>
                </a:lnTo>
                <a:close/>
              </a:path>
            </a:pathLst>
          </a:cu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>
            <a:noAutofit/>
          </a:bodyPr>
          <a:lstStyle/>
          <a:p>
            <a:endParaRPr lang="en-US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customProperty" Target="../customProperty7.bin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8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1FE64-54F1-4107-9BA3-51C891AA7C23}">
  <dimension ref="E7:AJ43"/>
  <sheetViews>
    <sheetView zoomScaleNormal="100" workbookViewId="0"/>
  </sheetViews>
  <sheetFormatPr defaultColWidth="8.7265625" defaultRowHeight="14.5" x14ac:dyDescent="0.35"/>
  <cols>
    <col min="1" max="10" width="8.7265625" style="34"/>
    <col min="11" max="11" width="12.453125" style="34" bestFit="1" customWidth="1"/>
    <col min="12" max="12" width="8.7265625" style="34"/>
    <col min="13" max="13" width="7.7265625" style="34" customWidth="1"/>
    <col min="14" max="15" width="8.7265625" style="34"/>
    <col min="16" max="16" width="11.26953125" style="34" customWidth="1"/>
    <col min="17" max="16384" width="8.7265625" style="34"/>
  </cols>
  <sheetData>
    <row r="7" spans="5:29" x14ac:dyDescent="0.35">
      <c r="F7"/>
    </row>
    <row r="13" spans="5:29" x14ac:dyDescent="0.35">
      <c r="E13" s="38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40"/>
    </row>
    <row r="14" spans="5:29" ht="33" customHeight="1" x14ac:dyDescent="0.45">
      <c r="E14" s="41"/>
      <c r="K14" s="47"/>
      <c r="L14" s="248" t="s">
        <v>682</v>
      </c>
      <c r="M14" s="248"/>
      <c r="N14" s="248"/>
      <c r="O14" s="248"/>
      <c r="P14" s="248"/>
      <c r="Q14" s="248"/>
      <c r="R14" s="248"/>
      <c r="S14" s="248"/>
      <c r="T14" s="248"/>
      <c r="U14" s="248"/>
      <c r="V14" s="248"/>
      <c r="W14" s="248"/>
      <c r="X14" s="248"/>
      <c r="Y14" s="248"/>
      <c r="Z14" s="249"/>
      <c r="AA14" s="47"/>
      <c r="AB14" s="47"/>
      <c r="AC14" s="47"/>
    </row>
    <row r="15" spans="5:29" ht="24.4" customHeight="1" x14ac:dyDescent="0.45">
      <c r="E15" s="41"/>
      <c r="K15" s="47"/>
      <c r="L15" s="250"/>
      <c r="M15" s="250"/>
      <c r="N15" s="250"/>
      <c r="O15" s="250"/>
      <c r="P15" s="250"/>
      <c r="Q15" s="250"/>
      <c r="R15" s="250"/>
      <c r="S15" s="250"/>
      <c r="T15" s="250"/>
      <c r="U15" s="250"/>
      <c r="V15" s="250"/>
      <c r="W15" s="250"/>
      <c r="X15" s="250"/>
      <c r="Y15" s="250"/>
      <c r="Z15" s="251"/>
      <c r="AA15" s="47"/>
      <c r="AB15" s="47"/>
      <c r="AC15" s="47"/>
    </row>
    <row r="16" spans="5:29" ht="19.5" x14ac:dyDescent="0.35">
      <c r="E16" s="41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42"/>
      <c r="AA16" s="37"/>
      <c r="AB16" s="37"/>
      <c r="AC16" s="37"/>
    </row>
    <row r="17" spans="5:36" x14ac:dyDescent="0.35">
      <c r="E17" s="41"/>
      <c r="Z17" s="43"/>
    </row>
    <row r="18" spans="5:36" ht="21" customHeight="1" x14ac:dyDescent="0.35">
      <c r="E18" s="41"/>
      <c r="M18" s="252" t="s">
        <v>669</v>
      </c>
      <c r="N18" s="252"/>
      <c r="O18" s="252"/>
      <c r="P18" s="252"/>
      <c r="R18" s="252" t="s">
        <v>433</v>
      </c>
      <c r="S18" s="252"/>
      <c r="T18" s="252"/>
      <c r="U18" s="252"/>
      <c r="W18" s="252" t="s">
        <v>676</v>
      </c>
      <c r="X18" s="252"/>
      <c r="Y18" s="252"/>
      <c r="Z18" s="252"/>
    </row>
    <row r="19" spans="5:36" ht="14.65" customHeight="1" x14ac:dyDescent="0.35">
      <c r="E19" s="41"/>
      <c r="M19" s="252"/>
      <c r="N19" s="252"/>
      <c r="O19" s="252"/>
      <c r="P19" s="252"/>
      <c r="R19" s="252"/>
      <c r="S19" s="252"/>
      <c r="T19" s="252"/>
      <c r="U19" s="252"/>
      <c r="W19" s="252"/>
      <c r="X19" s="252"/>
      <c r="Y19" s="252"/>
      <c r="Z19" s="252"/>
    </row>
    <row r="20" spans="5:36" ht="14.65" customHeight="1" x14ac:dyDescent="0.35">
      <c r="E20" s="41"/>
      <c r="M20" s="252"/>
      <c r="N20" s="252"/>
      <c r="O20" s="252"/>
      <c r="P20" s="252"/>
      <c r="R20" s="252"/>
      <c r="S20" s="252"/>
      <c r="T20" s="252"/>
      <c r="U20" s="252"/>
      <c r="W20" s="252"/>
      <c r="X20" s="252"/>
      <c r="Y20" s="252"/>
      <c r="Z20" s="252"/>
    </row>
    <row r="21" spans="5:36" x14ac:dyDescent="0.35">
      <c r="E21" s="41"/>
      <c r="Z21" s="43"/>
      <c r="AJ21"/>
    </row>
    <row r="22" spans="5:36" x14ac:dyDescent="0.35">
      <c r="E22" s="41"/>
      <c r="Z22" s="43"/>
    </row>
    <row r="23" spans="5:36" x14ac:dyDescent="0.35">
      <c r="E23" s="41"/>
      <c r="Z23" s="43"/>
      <c r="AD23"/>
    </row>
    <row r="24" spans="5:36" ht="19.5" customHeight="1" x14ac:dyDescent="0.35">
      <c r="E24" s="41"/>
      <c r="M24" s="252" t="s">
        <v>681</v>
      </c>
      <c r="N24" s="252"/>
      <c r="O24" s="252"/>
      <c r="P24" s="252"/>
      <c r="R24" s="252" t="s">
        <v>679</v>
      </c>
      <c r="S24" s="252"/>
      <c r="T24" s="252"/>
      <c r="U24" s="252"/>
      <c r="W24" s="252" t="s">
        <v>677</v>
      </c>
      <c r="X24" s="252"/>
      <c r="Y24" s="252"/>
      <c r="Z24" s="252"/>
    </row>
    <row r="25" spans="5:36" ht="14.65" customHeight="1" x14ac:dyDescent="0.35">
      <c r="E25" s="41"/>
      <c r="M25" s="252"/>
      <c r="N25" s="252"/>
      <c r="O25" s="252"/>
      <c r="P25" s="252"/>
      <c r="R25" s="252"/>
      <c r="S25" s="252"/>
      <c r="T25" s="252"/>
      <c r="U25" s="252"/>
      <c r="W25" s="252"/>
      <c r="X25" s="252"/>
      <c r="Y25" s="252"/>
      <c r="Z25" s="252"/>
    </row>
    <row r="26" spans="5:36" ht="14.65" customHeight="1" x14ac:dyDescent="0.35">
      <c r="E26" s="41"/>
      <c r="M26" s="252"/>
      <c r="N26" s="252"/>
      <c r="O26" s="252"/>
      <c r="P26" s="252"/>
      <c r="R26" s="252"/>
      <c r="S26" s="252"/>
      <c r="T26" s="252"/>
      <c r="U26" s="252"/>
      <c r="W26" s="252"/>
      <c r="X26" s="252"/>
      <c r="Y26" s="252"/>
      <c r="Z26" s="252"/>
    </row>
    <row r="27" spans="5:36" x14ac:dyDescent="0.35">
      <c r="E27" s="41"/>
      <c r="Z27" s="43"/>
    </row>
    <row r="28" spans="5:36" x14ac:dyDescent="0.35">
      <c r="E28" s="41"/>
      <c r="Z28" s="43"/>
    </row>
    <row r="29" spans="5:36" ht="21" customHeight="1" x14ac:dyDescent="0.35">
      <c r="E29" s="41"/>
      <c r="N29" s="253"/>
      <c r="O29" s="253"/>
      <c r="P29" s="253"/>
      <c r="R29" s="252" t="s">
        <v>680</v>
      </c>
      <c r="S29" s="252"/>
      <c r="T29" s="252"/>
      <c r="U29" s="252"/>
      <c r="Z29" s="43"/>
      <c r="AE29"/>
    </row>
    <row r="30" spans="5:36" ht="21" customHeight="1" x14ac:dyDescent="0.35">
      <c r="E30" s="41"/>
      <c r="N30" s="253"/>
      <c r="O30" s="253"/>
      <c r="P30" s="253"/>
      <c r="R30" s="252"/>
      <c r="S30" s="252"/>
      <c r="T30" s="252"/>
      <c r="U30" s="252"/>
      <c r="Z30" s="43"/>
    </row>
    <row r="31" spans="5:36" ht="21" customHeight="1" x14ac:dyDescent="0.35">
      <c r="E31" s="41"/>
      <c r="N31" s="253"/>
      <c r="O31" s="253"/>
      <c r="P31" s="253"/>
      <c r="R31" s="252"/>
      <c r="S31" s="252"/>
      <c r="T31" s="252"/>
      <c r="U31" s="252"/>
      <c r="Z31" s="43"/>
    </row>
    <row r="32" spans="5:36" x14ac:dyDescent="0.35">
      <c r="E32" s="41"/>
      <c r="Z32" s="43"/>
    </row>
    <row r="33" spans="5:26" x14ac:dyDescent="0.35">
      <c r="E33" s="41"/>
      <c r="Z33" s="43"/>
    </row>
    <row r="34" spans="5:26" x14ac:dyDescent="0.35">
      <c r="E34" s="41"/>
      <c r="Z34" s="43"/>
    </row>
    <row r="35" spans="5:26" x14ac:dyDescent="0.35">
      <c r="E35" s="41"/>
      <c r="Z35" s="43"/>
    </row>
    <row r="36" spans="5:26" x14ac:dyDescent="0.35">
      <c r="E36" s="41"/>
      <c r="Z36" s="43"/>
    </row>
    <row r="37" spans="5:26" x14ac:dyDescent="0.35">
      <c r="E37" s="41"/>
      <c r="Z37" s="43"/>
    </row>
    <row r="38" spans="5:26" x14ac:dyDescent="0.35">
      <c r="E38" s="41"/>
      <c r="Z38" s="43"/>
    </row>
    <row r="39" spans="5:26" x14ac:dyDescent="0.35">
      <c r="E39" s="41"/>
      <c r="Z39" s="43"/>
    </row>
    <row r="40" spans="5:26" x14ac:dyDescent="0.35">
      <c r="E40" s="41"/>
      <c r="Z40" s="43"/>
    </row>
    <row r="41" spans="5:26" x14ac:dyDescent="0.35">
      <c r="E41" s="41"/>
      <c r="Z41" s="43"/>
    </row>
    <row r="42" spans="5:26" x14ac:dyDescent="0.35">
      <c r="E42" s="41"/>
      <c r="Z42" s="43"/>
    </row>
    <row r="43" spans="5:26" x14ac:dyDescent="0.35">
      <c r="E43" s="44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6"/>
    </row>
  </sheetData>
  <mergeCells count="10">
    <mergeCell ref="L14:Z14"/>
    <mergeCell ref="L15:Z15"/>
    <mergeCell ref="W18:Z20"/>
    <mergeCell ref="W24:Z26"/>
    <mergeCell ref="N29:P31"/>
    <mergeCell ref="R29:U31"/>
    <mergeCell ref="M24:P26"/>
    <mergeCell ref="R24:U26"/>
    <mergeCell ref="R18:U20"/>
    <mergeCell ref="M18:P20"/>
  </mergeCells>
  <hyperlinks>
    <hyperlink ref="M18:P20" location="'Indicadores | KPI'!A1" display="INDICADORES / KPI" xr:uid="{8BAB92D2-E8D3-44E3-9CFB-029CC18E2ECB}"/>
    <hyperlink ref="R18:U20" location="EBITDA!A1" display="EBITDA" xr:uid="{1842AD70-1939-4491-80DE-810168F141E7}"/>
    <hyperlink ref="W18:Z20" location="'BS - Consolidado'!A1" display="BS CONSOLIDADO" xr:uid="{4176DD3D-648E-410B-8911-F137A7F005BA}"/>
    <hyperlink ref="M24:P26" location="'DRE- Income Statement'!A1" display="DRE /INCOME STATEMENT" xr:uid="{7BE66E9E-DF3C-4CC6-9453-868FCC745B7B}"/>
    <hyperlink ref="R24:U26" location="'Balanço - Balance Sheet'!A1" display=" BALANÇO / BALANCE SHEET" xr:uid="{7DB1B92C-2B8E-4755-924C-AF277559D1E2}"/>
    <hyperlink ref="W24:Z26" location="'P&amp;L - Consolidado'!A1" display="P&amp;l  CONSOLIDADO" xr:uid="{56F27790-0353-459F-9858-3ECDA06561E1}"/>
    <hyperlink ref="R29:U31" location="'Receita - Revenue'!A1" display="RECEITA / REVENUE" xr:uid="{FFD78711-CC74-4BAA-86E4-E4E162BEC93F}"/>
  </hyperlinks>
  <pageMargins left="0.7" right="0.7" top="0.75" bottom="0.75" header="0.3" footer="0.3"/>
  <customProperties>
    <customPr name="OrphanNamesChecked" r:id="rId1"/>
  </customPropertie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DE0B3-8376-44E1-94F8-E3FB2954EA0E}">
  <dimension ref="B1:BH9"/>
  <sheetViews>
    <sheetView workbookViewId="0">
      <selection activeCell="B10" sqref="B10"/>
    </sheetView>
  </sheetViews>
  <sheetFormatPr defaultColWidth="8.7265625" defaultRowHeight="14.5" outlineLevelCol="2" x14ac:dyDescent="0.35"/>
  <cols>
    <col min="1" max="1" width="8.7265625" style="34"/>
    <col min="2" max="2" width="24.7265625" style="34" customWidth="1"/>
    <col min="3" max="3" width="27" style="34" customWidth="1"/>
    <col min="4" max="7" width="11.1796875" style="34" hidden="1" customWidth="1" outlineLevel="1"/>
    <col min="8" max="8" width="11.1796875" style="34" bestFit="1" customWidth="1" collapsed="1"/>
    <col min="9" max="12" width="11.1796875" style="34" hidden="1" customWidth="1" outlineLevel="1"/>
    <col min="13" max="13" width="11.1796875" style="34" bestFit="1" customWidth="1" collapsed="1"/>
    <col min="14" max="17" width="11.1796875" style="34" hidden="1" customWidth="1" outlineLevel="1"/>
    <col min="18" max="18" width="11.1796875" style="34" bestFit="1" customWidth="1" collapsed="1"/>
    <col min="19" max="22" width="11.1796875" style="34" hidden="1" customWidth="1" outlineLevel="1"/>
    <col min="23" max="23" width="11.1796875" style="34" bestFit="1" customWidth="1" collapsed="1"/>
    <col min="24" max="27" width="11.1796875" style="34" hidden="1" customWidth="1" outlineLevel="1"/>
    <col min="28" max="28" width="12.26953125" style="34" bestFit="1" customWidth="1" collapsed="1"/>
    <col min="29" max="32" width="11.1796875" style="34" hidden="1" customWidth="1" outlineLevel="2"/>
    <col min="33" max="33" width="11.1796875" style="34" bestFit="1" customWidth="1" collapsed="1"/>
    <col min="34" max="37" width="11.1796875" style="34" hidden="1" customWidth="1" outlineLevel="1"/>
    <col min="38" max="38" width="12.26953125" style="34" bestFit="1" customWidth="1" collapsed="1"/>
    <col min="39" max="42" width="11.1796875" style="34" hidden="1" customWidth="1" outlineLevel="1"/>
    <col min="43" max="43" width="12.26953125" style="34" bestFit="1" customWidth="1" collapsed="1"/>
    <col min="44" max="47" width="11.1796875" style="34" hidden="1" customWidth="1" outlineLevel="1"/>
    <col min="48" max="48" width="12.26953125" style="34" bestFit="1" customWidth="1" collapsed="1"/>
    <col min="49" max="52" width="11.1796875" style="34" hidden="1" customWidth="1" outlineLevel="1"/>
    <col min="53" max="53" width="12.26953125" style="34" bestFit="1" customWidth="1" collapsed="1"/>
    <col min="54" max="54" width="13.26953125" style="34" hidden="1" customWidth="1" outlineLevel="1"/>
    <col min="55" max="57" width="9.54296875" style="34" hidden="1" customWidth="1" outlineLevel="1"/>
    <col min="58" max="58" width="10.6328125" style="34" bestFit="1" customWidth="1" collapsed="1"/>
    <col min="59" max="60" width="11.08984375" style="34" bestFit="1" customWidth="1"/>
    <col min="61" max="16384" width="8.7265625" style="34"/>
  </cols>
  <sheetData>
    <row r="1" spans="2:60" ht="15.5" thickTop="1" thickBot="1" x14ac:dyDescent="0.4">
      <c r="B1" s="15" t="s">
        <v>430</v>
      </c>
      <c r="C1" s="15" t="s">
        <v>578</v>
      </c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217"/>
      <c r="BC1" s="230"/>
      <c r="BD1" s="230"/>
      <c r="BE1" s="230"/>
      <c r="BF1" s="231"/>
      <c r="BG1" s="217"/>
      <c r="BH1" s="217"/>
    </row>
    <row r="2" spans="2:60" ht="15.5" thickTop="1" thickBot="1" x14ac:dyDescent="0.4">
      <c r="B2" s="8"/>
      <c r="C2" s="8"/>
      <c r="D2" s="179" t="s">
        <v>441</v>
      </c>
      <c r="E2" s="179" t="s">
        <v>442</v>
      </c>
      <c r="F2" s="179" t="s">
        <v>443</v>
      </c>
      <c r="G2" s="179" t="s">
        <v>444</v>
      </c>
      <c r="H2" s="184">
        <v>2015</v>
      </c>
      <c r="I2" s="185" t="s">
        <v>445</v>
      </c>
      <c r="J2" s="185" t="s">
        <v>446</v>
      </c>
      <c r="K2" s="185" t="s">
        <v>447</v>
      </c>
      <c r="L2" s="185" t="s">
        <v>448</v>
      </c>
      <c r="M2" s="186">
        <v>2016</v>
      </c>
      <c r="N2" s="185" t="s">
        <v>449</v>
      </c>
      <c r="O2" s="185" t="s">
        <v>450</v>
      </c>
      <c r="P2" s="185" t="s">
        <v>451</v>
      </c>
      <c r="Q2" s="185" t="s">
        <v>452</v>
      </c>
      <c r="R2" s="186">
        <v>2017</v>
      </c>
      <c r="S2" s="185" t="s">
        <v>453</v>
      </c>
      <c r="T2" s="185" t="s">
        <v>454</v>
      </c>
      <c r="U2" s="185" t="s">
        <v>455</v>
      </c>
      <c r="V2" s="185" t="s">
        <v>456</v>
      </c>
      <c r="W2" s="186">
        <v>2018</v>
      </c>
      <c r="X2" s="185" t="s">
        <v>457</v>
      </c>
      <c r="Y2" s="185" t="s">
        <v>458</v>
      </c>
      <c r="Z2" s="185" t="s">
        <v>459</v>
      </c>
      <c r="AA2" s="185" t="s">
        <v>460</v>
      </c>
      <c r="AB2" s="186">
        <v>2019</v>
      </c>
      <c r="AC2" s="185" t="s">
        <v>461</v>
      </c>
      <c r="AD2" s="185" t="s">
        <v>462</v>
      </c>
      <c r="AE2" s="185" t="s">
        <v>463</v>
      </c>
      <c r="AF2" s="185" t="s">
        <v>464</v>
      </c>
      <c r="AG2" s="186">
        <v>2020</v>
      </c>
      <c r="AH2" s="185" t="s">
        <v>465</v>
      </c>
      <c r="AI2" s="185" t="s">
        <v>466</v>
      </c>
      <c r="AJ2" s="185" t="s">
        <v>467</v>
      </c>
      <c r="AK2" s="185" t="s">
        <v>468</v>
      </c>
      <c r="AL2" s="186">
        <v>2021</v>
      </c>
      <c r="AM2" s="185" t="s">
        <v>469</v>
      </c>
      <c r="AN2" s="185" t="s">
        <v>470</v>
      </c>
      <c r="AO2" s="185" t="s">
        <v>471</v>
      </c>
      <c r="AP2" s="185" t="s">
        <v>472</v>
      </c>
      <c r="AQ2" s="186">
        <v>2022</v>
      </c>
      <c r="AR2" s="185" t="s">
        <v>473</v>
      </c>
      <c r="AS2" s="185" t="s">
        <v>474</v>
      </c>
      <c r="AT2" s="185" t="s">
        <v>475</v>
      </c>
      <c r="AU2" s="185" t="s">
        <v>476</v>
      </c>
      <c r="AV2" s="186">
        <v>2023</v>
      </c>
      <c r="AW2" s="185" t="s">
        <v>428</v>
      </c>
      <c r="AX2" s="185" t="s">
        <v>429</v>
      </c>
      <c r="AY2" s="185" t="s">
        <v>427</v>
      </c>
      <c r="AZ2" s="185" t="s">
        <v>491</v>
      </c>
      <c r="BA2" s="186">
        <v>2024</v>
      </c>
      <c r="BB2" s="186" t="s">
        <v>671</v>
      </c>
      <c r="BC2" s="232" t="s">
        <v>673</v>
      </c>
      <c r="BD2" s="232" t="s">
        <v>674</v>
      </c>
      <c r="BE2" s="232" t="s">
        <v>675</v>
      </c>
      <c r="BF2" s="232">
        <v>2025</v>
      </c>
      <c r="BG2" s="186" t="s">
        <v>689</v>
      </c>
      <c r="BH2" s="186" t="s">
        <v>691</v>
      </c>
    </row>
    <row r="3" spans="2:60" ht="15" thickTop="1" x14ac:dyDescent="0.35">
      <c r="B3" s="176" t="s">
        <v>431</v>
      </c>
      <c r="C3" s="176" t="s">
        <v>575</v>
      </c>
      <c r="D3" s="180">
        <v>1555436.2022758259</v>
      </c>
      <c r="E3" s="180">
        <v>1665054.9228885875</v>
      </c>
      <c r="F3" s="180">
        <v>1790312.4346885299</v>
      </c>
      <c r="G3" s="180">
        <v>1835652.5653114701</v>
      </c>
      <c r="H3" s="180">
        <f>SUM(D3:G3)</f>
        <v>6846456.1251644129</v>
      </c>
      <c r="I3" s="180">
        <v>1782357</v>
      </c>
      <c r="J3" s="180">
        <v>1760127.4594670716</v>
      </c>
      <c r="K3" s="180">
        <v>1595510.5405329284</v>
      </c>
      <c r="L3" s="180">
        <v>1678459</v>
      </c>
      <c r="M3" s="180">
        <f>SUM(I3:L3)</f>
        <v>6816454</v>
      </c>
      <c r="N3" s="180">
        <v>1699036.0002621911</v>
      </c>
      <c r="O3" s="180">
        <v>1901808.8960921499</v>
      </c>
      <c r="P3" s="180">
        <v>1932450.6233455492</v>
      </c>
      <c r="Q3" s="180">
        <v>1954644</v>
      </c>
      <c r="R3" s="180">
        <f>SUM(N3:Q3)</f>
        <v>7487939.5196998902</v>
      </c>
      <c r="S3" s="180">
        <v>2143752</v>
      </c>
      <c r="T3" s="180">
        <v>2399485</v>
      </c>
      <c r="U3" s="180">
        <v>2617310</v>
      </c>
      <c r="V3" s="180">
        <v>2455752</v>
      </c>
      <c r="W3" s="180">
        <f>SUM(S3:V3)</f>
        <v>9616299</v>
      </c>
      <c r="X3" s="180">
        <v>2468119</v>
      </c>
      <c r="Y3" s="180">
        <v>2667331</v>
      </c>
      <c r="Z3" s="180">
        <v>2542311</v>
      </c>
      <c r="AA3" s="180">
        <v>2338634</v>
      </c>
      <c r="AB3" s="180">
        <f>SUM(X3:AA3)</f>
        <v>10016395</v>
      </c>
      <c r="AC3" s="180">
        <v>2224560</v>
      </c>
      <c r="AD3" s="180">
        <v>1171844</v>
      </c>
      <c r="AE3" s="180">
        <v>2514756</v>
      </c>
      <c r="AF3" s="180">
        <v>2849408</v>
      </c>
      <c r="AG3" s="180">
        <f>SUM(AC3:AF3)</f>
        <v>8760568</v>
      </c>
      <c r="AH3" s="180">
        <v>3133096</v>
      </c>
      <c r="AI3" s="180">
        <v>3183882.4370195698</v>
      </c>
      <c r="AJ3" s="180">
        <v>3583978</v>
      </c>
      <c r="AK3" s="180">
        <v>3787410</v>
      </c>
      <c r="AL3" s="180">
        <f>SUM(AH3:AK3)</f>
        <v>13688366.43701957</v>
      </c>
      <c r="AM3" s="180">
        <v>4277191</v>
      </c>
      <c r="AN3" s="180">
        <v>4192384</v>
      </c>
      <c r="AO3" s="180">
        <v>4318339</v>
      </c>
      <c r="AP3" s="180">
        <v>4159955</v>
      </c>
      <c r="AQ3" s="180">
        <f>SUM(AM3:AP3)</f>
        <v>16947869</v>
      </c>
      <c r="AR3" s="180">
        <v>3998153</v>
      </c>
      <c r="AS3" s="180">
        <v>3801203</v>
      </c>
      <c r="AT3" s="180">
        <v>3672363</v>
      </c>
      <c r="AU3" s="180">
        <v>3483501</v>
      </c>
      <c r="AV3" s="180">
        <f>SUM(AR3:AU3)</f>
        <v>14955220</v>
      </c>
      <c r="AW3" s="180">
        <v>3595766</v>
      </c>
      <c r="AX3" s="180">
        <v>3844568</v>
      </c>
      <c r="AY3" s="180">
        <v>3982373</v>
      </c>
      <c r="AZ3" s="180">
        <v>3909106</v>
      </c>
      <c r="BA3" s="180">
        <f>SUM(AW3:AZ3)</f>
        <v>15331813</v>
      </c>
      <c r="BB3" s="180">
        <v>3938050</v>
      </c>
      <c r="BC3" s="233">
        <v>4106968</v>
      </c>
      <c r="BD3" s="233">
        <v>3802399</v>
      </c>
      <c r="BE3" s="233">
        <v>3519120</v>
      </c>
      <c r="BF3" s="233">
        <v>15366537</v>
      </c>
      <c r="BG3" s="180">
        <f>'DRE- Income Statement'!BF5</f>
        <v>3807333</v>
      </c>
      <c r="BH3" s="180">
        <f>'DRE- Income Statement'!BG5</f>
        <v>4012470</v>
      </c>
    </row>
    <row r="4" spans="2:60" x14ac:dyDescent="0.35">
      <c r="B4" s="177" t="s">
        <v>432</v>
      </c>
      <c r="C4" s="177" t="s">
        <v>497</v>
      </c>
      <c r="D4" s="54">
        <v>190482.77326742583</v>
      </c>
      <c r="E4" s="54">
        <v>218305.08377880789</v>
      </c>
      <c r="F4" s="54">
        <v>251434.10280670947</v>
      </c>
      <c r="G4" s="54">
        <v>231806.16531147016</v>
      </c>
      <c r="H4" s="54">
        <v>892028.12516441336</v>
      </c>
      <c r="I4" s="54">
        <v>226582.0713926719</v>
      </c>
      <c r="J4" s="54">
        <v>256257.00141831487</v>
      </c>
      <c r="K4" s="54">
        <v>234387.25127318688</v>
      </c>
      <c r="L4" s="54">
        <v>254561.61135425675</v>
      </c>
      <c r="M4" s="54">
        <v>971787.9354384304</v>
      </c>
      <c r="N4" s="54">
        <v>242779.09753567632</v>
      </c>
      <c r="O4" s="54">
        <v>298208.28353727818</v>
      </c>
      <c r="P4" s="54">
        <v>318429.57855377207</v>
      </c>
      <c r="Q4" s="54">
        <v>295560.72467908962</v>
      </c>
      <c r="R4" s="54">
        <v>1154977.6843058162</v>
      </c>
      <c r="S4" s="54">
        <v>294852.88880546391</v>
      </c>
      <c r="T4" s="54">
        <v>337791.4507870283</v>
      </c>
      <c r="U4" s="54">
        <v>379382.1</v>
      </c>
      <c r="V4" s="54">
        <v>306249.02045601048</v>
      </c>
      <c r="W4" s="54">
        <v>1318275.4600485028</v>
      </c>
      <c r="X4" s="54">
        <v>298308.43311043642</v>
      </c>
      <c r="Y4" s="54">
        <v>336575.0532058375</v>
      </c>
      <c r="Z4" s="54">
        <v>322690.2778989207</v>
      </c>
      <c r="AA4" s="54">
        <v>227643.20336215105</v>
      </c>
      <c r="AB4" s="54">
        <v>1185216.9675773457</v>
      </c>
      <c r="AC4" s="54">
        <v>184356.29790172586</v>
      </c>
      <c r="AD4" s="54">
        <v>-136336.29790172563</v>
      </c>
      <c r="AE4" s="54">
        <v>255675.35391853936</v>
      </c>
      <c r="AF4" s="54">
        <v>261618</v>
      </c>
      <c r="AG4" s="54">
        <v>565313.35391853959</v>
      </c>
      <c r="AH4" s="54">
        <v>409716</v>
      </c>
      <c r="AI4" s="54">
        <v>420717.51670642011</v>
      </c>
      <c r="AJ4" s="54">
        <v>495590.69733482646</v>
      </c>
      <c r="AK4" s="54">
        <v>378098</v>
      </c>
      <c r="AL4" s="54">
        <v>1704122.2140412466</v>
      </c>
      <c r="AM4" s="54">
        <v>611000.02047020476</v>
      </c>
      <c r="AN4" s="54">
        <v>534650.23186276993</v>
      </c>
      <c r="AO4" s="54">
        <v>338956.14013474062</v>
      </c>
      <c r="AP4" s="54">
        <v>324035.50956068188</v>
      </c>
      <c r="AQ4" s="54">
        <v>1808641.9020283972</v>
      </c>
      <c r="AR4" s="54">
        <v>341086.09745485196</v>
      </c>
      <c r="AS4" s="54">
        <v>424728.0732633681</v>
      </c>
      <c r="AT4" s="54">
        <v>362191.07783364737</v>
      </c>
      <c r="AU4" s="54">
        <v>380239.27386369184</v>
      </c>
      <c r="AV4" s="54">
        <v>1508244.5224155593</v>
      </c>
      <c r="AW4" s="54">
        <v>384128.75711928587</v>
      </c>
      <c r="AX4" s="54">
        <v>476556</v>
      </c>
      <c r="AY4" s="54">
        <v>477737</v>
      </c>
      <c r="AZ4" s="54">
        <v>483011</v>
      </c>
      <c r="BA4" s="54">
        <v>1338421.7571192859</v>
      </c>
      <c r="BB4" s="54">
        <v>443732</v>
      </c>
      <c r="BC4" s="234">
        <v>534617</v>
      </c>
      <c r="BD4" s="234">
        <v>460315</v>
      </c>
      <c r="BE4" s="234">
        <v>412108</v>
      </c>
      <c r="BF4" s="234">
        <v>1850772</v>
      </c>
      <c r="BG4" s="54">
        <f>'DRE- Income Statement'!BF11</f>
        <v>441538</v>
      </c>
      <c r="BH4" s="54">
        <f>'DRE- Income Statement'!BG11</f>
        <v>485543</v>
      </c>
    </row>
    <row r="5" spans="2:60" x14ac:dyDescent="0.35">
      <c r="B5" s="177" t="s">
        <v>678</v>
      </c>
      <c r="C5" s="177" t="s">
        <v>512</v>
      </c>
      <c r="D5" s="54">
        <v>-6678.3553719574484</v>
      </c>
      <c r="E5" s="54">
        <v>70241.068478820598</v>
      </c>
      <c r="F5" s="54">
        <v>2433.6909568049468</v>
      </c>
      <c r="G5" s="54">
        <v>-16630.655432998839</v>
      </c>
      <c r="H5" s="54">
        <v>449602.12516441336</v>
      </c>
      <c r="I5" s="54">
        <v>6982.0713926719036</v>
      </c>
      <c r="J5" s="54">
        <v>-7192.2873023724242</v>
      </c>
      <c r="K5" s="54">
        <v>4892.5399938741757</v>
      </c>
      <c r="L5" s="54">
        <v>16847.611354256747</v>
      </c>
      <c r="M5" s="54">
        <f>SUM(I5:L5)</f>
        <v>21529.935438430402</v>
      </c>
      <c r="N5" s="54">
        <v>-1250.3134167037824</v>
      </c>
      <c r="O5" s="54">
        <v>24570.315985226</v>
      </c>
      <c r="P5" s="54">
        <v>-28721.421446227934</v>
      </c>
      <c r="Q5" s="54">
        <v>11804.724679089617</v>
      </c>
      <c r="R5" s="54">
        <f>SUM(N5:Q5)</f>
        <v>6403.3058013839</v>
      </c>
      <c r="S5" s="54">
        <v>-12966.11119453609</v>
      </c>
      <c r="T5" s="54">
        <v>44134.450787028298</v>
      </c>
      <c r="U5" s="54">
        <v>93479.099999999977</v>
      </c>
      <c r="V5" s="54">
        <v>76677.020456010476</v>
      </c>
      <c r="W5" s="54">
        <f>SUM(S5:V5)</f>
        <v>201324.46004850266</v>
      </c>
      <c r="X5" s="54">
        <v>63096.433110436425</v>
      </c>
      <c r="Y5" s="54">
        <v>110390.0532058375</v>
      </c>
      <c r="Z5" s="54">
        <v>124838.2778989207</v>
      </c>
      <c r="AA5" s="54">
        <v>39109.203362151049</v>
      </c>
      <c r="AB5" s="54">
        <f>SUM(X5:AA5)</f>
        <v>337433.96757734567</v>
      </c>
      <c r="AC5" s="54">
        <v>9150.2979017258622</v>
      </c>
      <c r="AD5" s="54">
        <v>-352353.29790172563</v>
      </c>
      <c r="AE5" s="54">
        <v>-18876.64608146064</v>
      </c>
      <c r="AF5" s="54">
        <v>-129700</v>
      </c>
      <c r="AG5" s="54">
        <f>SUM(AC5:AF5)</f>
        <v>-491779.64608146041</v>
      </c>
      <c r="AH5" s="54">
        <v>51502</v>
      </c>
      <c r="AI5" s="54">
        <v>214786.51670642011</v>
      </c>
      <c r="AJ5" s="54">
        <v>177015.69733482646</v>
      </c>
      <c r="AK5" s="54">
        <v>93916</v>
      </c>
      <c r="AL5" s="54">
        <f>SUM(AH5:AK5)</f>
        <v>537220.21404124657</v>
      </c>
      <c r="AM5" s="54">
        <v>160206.02047020476</v>
      </c>
      <c r="AN5" s="54">
        <v>190485.23186276993</v>
      </c>
      <c r="AO5" s="54">
        <v>69387.722253390122</v>
      </c>
      <c r="AP5" s="54">
        <v>-141146.49043931812</v>
      </c>
      <c r="AQ5" s="54">
        <f>SUM(AM5:AP5)</f>
        <v>278932.48414704669</v>
      </c>
      <c r="AR5" s="54">
        <v>-16340.902545148041</v>
      </c>
      <c r="AS5" s="54">
        <v>59360.073263368104</v>
      </c>
      <c r="AT5" s="54">
        <v>-4784.9221663526259</v>
      </c>
      <c r="AU5" s="54">
        <v>-7501.7261363081634</v>
      </c>
      <c r="AV5" s="54">
        <f>SUM(AR5:AU5)</f>
        <v>30732.522415559273</v>
      </c>
      <c r="AW5" s="54">
        <v>50257</v>
      </c>
      <c r="AX5" s="54">
        <v>36925</v>
      </c>
      <c r="AY5" s="54">
        <v>109172</v>
      </c>
      <c r="AZ5" s="54">
        <v>68366</v>
      </c>
      <c r="BA5" s="54">
        <f>SUM(AW5:AZ5)</f>
        <v>264720</v>
      </c>
      <c r="BB5" s="54">
        <v>10892</v>
      </c>
      <c r="BC5" s="234">
        <v>86822</v>
      </c>
      <c r="BD5" s="234">
        <v>35067</v>
      </c>
      <c r="BE5" s="234">
        <v>-34398</v>
      </c>
      <c r="BF5" s="234">
        <v>98383</v>
      </c>
      <c r="BG5" s="54">
        <f>'DRE- Income Statement'!BF32</f>
        <v>3920</v>
      </c>
      <c r="BH5" s="54">
        <f>'DRE- Income Statement'!BG32</f>
        <v>86869</v>
      </c>
    </row>
    <row r="6" spans="2:60" x14ac:dyDescent="0.35">
      <c r="B6" s="177" t="s">
        <v>433</v>
      </c>
      <c r="C6" s="177" t="s">
        <v>433</v>
      </c>
      <c r="D6" s="54">
        <v>139833.52446876714</v>
      </c>
      <c r="E6" s="54">
        <v>242501.90270424442</v>
      </c>
      <c r="F6" s="54">
        <v>204669.94694792386</v>
      </c>
      <c r="G6" s="54">
        <v>164061.59616483076</v>
      </c>
      <c r="H6" s="54">
        <f>SUM(D6:G6)</f>
        <v>751066.97028576618</v>
      </c>
      <c r="I6" s="54">
        <v>236295.41608878085</v>
      </c>
      <c r="J6" s="54">
        <v>179570.95419916275</v>
      </c>
      <c r="K6" s="54">
        <v>191109.1422097412</v>
      </c>
      <c r="L6" s="54">
        <v>189249.50693841849</v>
      </c>
      <c r="M6" s="54">
        <f>SUM(I6:L6)</f>
        <v>796225.01943610329</v>
      </c>
      <c r="N6" s="54">
        <v>185393.83930156686</v>
      </c>
      <c r="O6" s="54">
        <v>194139.02370856903</v>
      </c>
      <c r="P6" s="54">
        <v>220254.56887953178</v>
      </c>
      <c r="Q6" s="54">
        <v>198765.91083096381</v>
      </c>
      <c r="R6" s="54">
        <f>SUM(N6:Q6)</f>
        <v>798553.34272063151</v>
      </c>
      <c r="S6" s="54">
        <v>227112.84987670087</v>
      </c>
      <c r="T6" s="54">
        <v>275408.49664469343</v>
      </c>
      <c r="U6" s="54">
        <v>311999.72710572486</v>
      </c>
      <c r="V6" s="54">
        <v>242554.66237312052</v>
      </c>
      <c r="W6" s="54">
        <f>SUM(S6:V6)</f>
        <v>1057075.7360002396</v>
      </c>
      <c r="X6" s="54">
        <v>242587.39314410309</v>
      </c>
      <c r="Y6" s="54">
        <v>304247.27462448936</v>
      </c>
      <c r="Z6" s="54">
        <v>333779.6898767188</v>
      </c>
      <c r="AA6" s="54">
        <v>215195.55048964047</v>
      </c>
      <c r="AB6" s="54">
        <f>SUM(X6:AA6)</f>
        <v>1095809.9081349517</v>
      </c>
      <c r="AC6" s="54">
        <v>204967.45544998342</v>
      </c>
      <c r="AD6" s="54">
        <v>-199515.39091579503</v>
      </c>
      <c r="AE6" s="54">
        <v>207676.0069939376</v>
      </c>
      <c r="AF6" s="54">
        <v>159011.43980482308</v>
      </c>
      <c r="AG6" s="54">
        <f>SUM(AC6:AF6)</f>
        <v>372139.51133294904</v>
      </c>
      <c r="AH6" s="54">
        <v>367938.25623936759</v>
      </c>
      <c r="AI6" s="54">
        <v>592729.23202083085</v>
      </c>
      <c r="AJ6" s="54">
        <v>489861.85875925387</v>
      </c>
      <c r="AK6" s="54">
        <v>390803.27890392917</v>
      </c>
      <c r="AL6" s="54">
        <f>SUM(AH6:AK6)</f>
        <v>1841332.6259233812</v>
      </c>
      <c r="AM6" s="54">
        <v>548151.66825893149</v>
      </c>
      <c r="AN6" s="54">
        <v>534572.7298016327</v>
      </c>
      <c r="AO6" s="54">
        <v>362701.61222606245</v>
      </c>
      <c r="AP6" s="54">
        <v>291488.71938322921</v>
      </c>
      <c r="AQ6" s="54">
        <f>SUM(AM6:AP6)</f>
        <v>1736914.7296698559</v>
      </c>
      <c r="AR6" s="54">
        <v>286760.45323558291</v>
      </c>
      <c r="AS6" s="54">
        <v>363406.59800742153</v>
      </c>
      <c r="AT6" s="54">
        <v>313322.0764477686</v>
      </c>
      <c r="AU6" s="54">
        <v>289375.02857628686</v>
      </c>
      <c r="AV6" s="54">
        <f>SUM(AR6:AU6)</f>
        <v>1252864.15626706</v>
      </c>
      <c r="AW6" s="54">
        <v>316641.75711928587</v>
      </c>
      <c r="AX6" s="54">
        <v>388931</v>
      </c>
      <c r="AY6" s="54">
        <v>440235</v>
      </c>
      <c r="AZ6" s="54">
        <v>378263</v>
      </c>
      <c r="BA6" s="54">
        <f>SUM(AW6:AZ6)</f>
        <v>1524070.7571192859</v>
      </c>
      <c r="BB6" s="54">
        <v>354362</v>
      </c>
      <c r="BC6" s="234">
        <v>450478</v>
      </c>
      <c r="BD6" s="234">
        <v>360435</v>
      </c>
      <c r="BE6" s="234">
        <v>328178</v>
      </c>
      <c r="BF6" s="234">
        <v>1493453</v>
      </c>
      <c r="BG6" s="234">
        <v>357046</v>
      </c>
      <c r="BH6" s="54">
        <v>417527</v>
      </c>
    </row>
    <row r="7" spans="2:60" ht="15" thickBot="1" x14ac:dyDescent="0.4">
      <c r="B7" s="178" t="s">
        <v>434</v>
      </c>
      <c r="C7" s="178" t="s">
        <v>576</v>
      </c>
      <c r="D7" s="181">
        <f>2546/637</f>
        <v>3.9968602825745685</v>
      </c>
      <c r="E7" s="181">
        <f>2424/731</f>
        <v>3.3160054719562244</v>
      </c>
      <c r="F7" s="181">
        <f>2728/768</f>
        <v>3.5520833333333335</v>
      </c>
      <c r="G7" s="181">
        <f>2676/751</f>
        <v>3.5632490013315579</v>
      </c>
      <c r="H7" s="181">
        <f>2676/751</f>
        <v>3.5632490013315579</v>
      </c>
      <c r="I7" s="182">
        <f>2794/847</f>
        <v>3.2987012987012987</v>
      </c>
      <c r="J7" s="182">
        <f>2578/784</f>
        <v>3.2882653061224492</v>
      </c>
      <c r="K7" s="182">
        <f>2767/771</f>
        <v>3.588845654993515</v>
      </c>
      <c r="L7" s="182">
        <f>2628/796</f>
        <v>3.3015075376884422</v>
      </c>
      <c r="M7" s="181">
        <f>2628/796</f>
        <v>3.3015075376884422</v>
      </c>
      <c r="N7" s="181">
        <f>2128/745</f>
        <v>2.8563758389261746</v>
      </c>
      <c r="O7" s="181">
        <f>2247/759</f>
        <v>2.960474308300395</v>
      </c>
      <c r="P7" s="181">
        <f>2282/789</f>
        <v>2.8922686945500633</v>
      </c>
      <c r="Q7" s="181">
        <f>2299/798</f>
        <v>2.8809523809523809</v>
      </c>
      <c r="R7" s="181">
        <f>2299/798</f>
        <v>2.8809523809523809</v>
      </c>
      <c r="S7" s="181">
        <f>2230/840</f>
        <v>2.6547619047619047</v>
      </c>
      <c r="T7" s="181">
        <f>2530/921</f>
        <v>2.7470141150922909</v>
      </c>
      <c r="U7" s="181">
        <f>2602/1013</f>
        <v>2.5686080947680159</v>
      </c>
      <c r="V7" s="181">
        <f>2326/1057</f>
        <v>2.2005676442762536</v>
      </c>
      <c r="W7" s="181">
        <f>2326/1057</f>
        <v>2.2005676442762536</v>
      </c>
      <c r="X7" s="181">
        <f>2727/1072</f>
        <v>2.5438432835820897</v>
      </c>
      <c r="Y7" s="181">
        <f>2640/1101</f>
        <v>2.3978201634877383</v>
      </c>
      <c r="Z7" s="181">
        <f>2668/1123</f>
        <v>2.3757791629563667</v>
      </c>
      <c r="AA7" s="181">
        <f>2415/1095</f>
        <v>2.2054794520547945</v>
      </c>
      <c r="AB7" s="181">
        <f>2415/1095</f>
        <v>2.2054794520547945</v>
      </c>
      <c r="AC7" s="181">
        <f>3166/1058</f>
        <v>2.9924385633270321</v>
      </c>
      <c r="AD7" s="181">
        <f>3636/554</f>
        <v>6.5631768953068592</v>
      </c>
      <c r="AE7" s="181">
        <f>3738/428</f>
        <v>8.7336448598130847</v>
      </c>
      <c r="AF7" s="181">
        <v>9.4499999999999993</v>
      </c>
      <c r="AG7" s="181">
        <v>9.4499999999999993</v>
      </c>
      <c r="AH7" s="181">
        <f>4057/535</f>
        <v>7.5831775700934578</v>
      </c>
      <c r="AI7" s="181">
        <f>3981/1327</f>
        <v>3</v>
      </c>
      <c r="AJ7" s="181">
        <f>4522/1609</f>
        <v>2.8104412678682413</v>
      </c>
      <c r="AK7" s="181">
        <f>4299/1841</f>
        <v>2.3351439435089625</v>
      </c>
      <c r="AL7" s="181">
        <f>4299/1841</f>
        <v>2.3351439435089625</v>
      </c>
      <c r="AM7" s="181">
        <v>2.06</v>
      </c>
      <c r="AN7" s="181">
        <v>2.21</v>
      </c>
      <c r="AO7" s="181">
        <v>2.27</v>
      </c>
      <c r="AP7" s="181">
        <v>2.2599999999999998</v>
      </c>
      <c r="AQ7" s="181">
        <v>2.2599999999999998</v>
      </c>
      <c r="AR7" s="183">
        <v>2.77</v>
      </c>
      <c r="AS7" s="183">
        <v>2.72</v>
      </c>
      <c r="AT7" s="181">
        <v>2.85</v>
      </c>
      <c r="AU7" s="181">
        <v>2.93</v>
      </c>
      <c r="AV7" s="181">
        <v>2.93</v>
      </c>
      <c r="AW7" s="181">
        <v>2.95</v>
      </c>
      <c r="AX7" s="181">
        <v>2.97</v>
      </c>
      <c r="AY7" s="181">
        <f>2.59</f>
        <v>2.59</v>
      </c>
      <c r="AZ7" s="181">
        <v>2.39</v>
      </c>
      <c r="BA7" s="181">
        <v>2.39</v>
      </c>
      <c r="BB7" s="181">
        <v>2.34</v>
      </c>
      <c r="BC7" s="235">
        <v>2.34</v>
      </c>
      <c r="BD7" s="235">
        <v>2.38</v>
      </c>
      <c r="BE7" s="235">
        <v>2.5499999999999998</v>
      </c>
      <c r="BF7" s="235">
        <v>2.65</v>
      </c>
      <c r="BG7" s="235">
        <v>2.4900000000000002</v>
      </c>
      <c r="BH7" s="181">
        <v>2.52</v>
      </c>
    </row>
    <row r="8" spans="2:60" ht="15" hidden="1" thickTop="1" x14ac:dyDescent="0.35">
      <c r="B8" s="53" t="s">
        <v>435</v>
      </c>
      <c r="C8" s="53" t="s">
        <v>577</v>
      </c>
      <c r="AF8" s="56"/>
      <c r="AG8" s="56"/>
      <c r="AH8" s="56"/>
      <c r="AI8" s="55">
        <v>0.75</v>
      </c>
      <c r="AJ8" s="55">
        <v>0.54</v>
      </c>
      <c r="AK8" s="55">
        <v>0.73</v>
      </c>
      <c r="AL8" s="55">
        <v>0.73</v>
      </c>
      <c r="AM8" s="55">
        <v>0.66900000000000004</v>
      </c>
      <c r="AN8" s="55">
        <v>1.48</v>
      </c>
      <c r="AO8" s="55">
        <v>1.66</v>
      </c>
      <c r="AP8" s="55">
        <v>2.67</v>
      </c>
      <c r="AQ8" s="55">
        <v>2.67</v>
      </c>
      <c r="AR8" s="56">
        <v>1.54</v>
      </c>
      <c r="AS8" s="56">
        <v>1.63</v>
      </c>
      <c r="AT8" s="55">
        <v>2</v>
      </c>
      <c r="AU8" s="55">
        <v>2.12</v>
      </c>
      <c r="AV8" s="56"/>
      <c r="AW8" s="56"/>
      <c r="AX8" s="56"/>
    </row>
    <row r="9" spans="2:60" ht="15" thickTop="1" x14ac:dyDescent="0.35">
      <c r="AF9" s="56"/>
      <c r="AG9" s="56"/>
      <c r="AH9" s="56"/>
      <c r="AI9" s="55"/>
      <c r="AJ9" s="55"/>
      <c r="AK9" s="55"/>
      <c r="AL9" s="55"/>
      <c r="AM9" s="55"/>
      <c r="AN9" s="55"/>
      <c r="AO9" s="55"/>
      <c r="AP9" s="55"/>
      <c r="AQ9" s="55"/>
      <c r="AR9" s="56"/>
      <c r="AS9" s="56"/>
      <c r="AT9" s="56"/>
      <c r="AU9" s="56"/>
    </row>
  </sheetData>
  <pageMargins left="0.7" right="0.7" top="0.75" bottom="0.75" header="0.3" footer="0.3"/>
  <customProperties>
    <customPr name="OrphanNamesChecked" r:id="rId1"/>
  </customProperties>
  <ignoredErrors>
    <ignoredError sqref="BA5 AV5 AQ5 R5 M5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A51A5-BC97-409C-BBAA-94DD1BB71705}">
  <dimension ref="A1:BG38"/>
  <sheetViews>
    <sheetView tabSelected="1" zoomScale="90" zoomScaleNormal="90" workbookViewId="0">
      <pane xSplit="6" ySplit="4" topLeftCell="AP5" activePane="bottomRight" state="frozen"/>
      <selection pane="topRight" activeCell="G1" sqref="G1"/>
      <selection pane="bottomLeft" activeCell="A5" sqref="A5"/>
      <selection pane="bottomRight" activeCell="G11" sqref="G11"/>
    </sheetView>
  </sheetViews>
  <sheetFormatPr defaultColWidth="8.7265625" defaultRowHeight="14.5" outlineLevelCol="1" x14ac:dyDescent="0.35"/>
  <cols>
    <col min="1" max="1" width="54.54296875" style="34" customWidth="1"/>
    <col min="2" max="2" width="43.7265625" style="34" bestFit="1" customWidth="1"/>
    <col min="3" max="5" width="11.26953125" style="34" hidden="1" customWidth="1" outlineLevel="1"/>
    <col min="6" max="6" width="2.26953125" style="34" hidden="1" customWidth="1" outlineLevel="1"/>
    <col min="7" max="7" width="17" style="34" customWidth="1" collapsed="1"/>
    <col min="8" max="11" width="17" style="34" hidden="1" customWidth="1" outlineLevel="1"/>
    <col min="12" max="12" width="17" style="34" customWidth="1" collapsed="1"/>
    <col min="13" max="16" width="17" style="34" hidden="1" customWidth="1" outlineLevel="1"/>
    <col min="17" max="17" width="17" style="34" customWidth="1" collapsed="1"/>
    <col min="18" max="21" width="17" style="34" hidden="1" customWidth="1" outlineLevel="1"/>
    <col min="22" max="22" width="17" style="34" customWidth="1" collapsed="1"/>
    <col min="23" max="26" width="17" style="34" hidden="1" customWidth="1" outlineLevel="1"/>
    <col min="27" max="27" width="17" style="34" customWidth="1" collapsed="1"/>
    <col min="28" max="31" width="17" style="34" hidden="1" customWidth="1" outlineLevel="1"/>
    <col min="32" max="32" width="17" style="34" customWidth="1" collapsed="1"/>
    <col min="33" max="36" width="17" style="34" hidden="1" customWidth="1" outlineLevel="1"/>
    <col min="37" max="37" width="17" style="34" customWidth="1" collapsed="1"/>
    <col min="38" max="41" width="17" style="34" hidden="1" customWidth="1" outlineLevel="1"/>
    <col min="42" max="42" width="17" style="34" customWidth="1" collapsed="1"/>
    <col min="43" max="46" width="17" style="34" hidden="1" customWidth="1" outlineLevel="1"/>
    <col min="47" max="47" width="17" style="34" customWidth="1" collapsed="1"/>
    <col min="48" max="51" width="17" style="34" hidden="1" customWidth="1" outlineLevel="1"/>
    <col min="52" max="52" width="17" style="34" customWidth="1" collapsed="1"/>
    <col min="53" max="56" width="17" style="34" hidden="1" customWidth="1" outlineLevel="1"/>
    <col min="57" max="57" width="17" style="34" customWidth="1" collapsed="1"/>
    <col min="58" max="59" width="11.90625" style="34" bestFit="1" customWidth="1"/>
    <col min="60" max="16384" width="8.7265625" style="34"/>
  </cols>
  <sheetData>
    <row r="1" spans="1:59" x14ac:dyDescent="0.3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</row>
    <row r="2" spans="1:59" ht="15.5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</row>
    <row r="3" spans="1:59" ht="16" x14ac:dyDescent="0.35">
      <c r="A3" s="3" t="s">
        <v>439</v>
      </c>
      <c r="B3" s="3" t="s">
        <v>514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</row>
    <row r="4" spans="1:59" ht="15" thickBot="1" x14ac:dyDescent="0.4">
      <c r="A4" s="57" t="s">
        <v>440</v>
      </c>
      <c r="B4" s="58" t="s">
        <v>513</v>
      </c>
      <c r="C4" s="52" t="s">
        <v>441</v>
      </c>
      <c r="D4" s="52" t="s">
        <v>442</v>
      </c>
      <c r="E4" s="52" t="s">
        <v>443</v>
      </c>
      <c r="F4" s="52" t="s">
        <v>444</v>
      </c>
      <c r="G4" s="51">
        <v>2015</v>
      </c>
      <c r="H4" s="52" t="s">
        <v>445</v>
      </c>
      <c r="I4" s="52" t="s">
        <v>446</v>
      </c>
      <c r="J4" s="52" t="s">
        <v>447</v>
      </c>
      <c r="K4" s="52" t="s">
        <v>448</v>
      </c>
      <c r="L4" s="51">
        <v>2016</v>
      </c>
      <c r="M4" s="52" t="s">
        <v>449</v>
      </c>
      <c r="N4" s="52" t="s">
        <v>450</v>
      </c>
      <c r="O4" s="52" t="s">
        <v>451</v>
      </c>
      <c r="P4" s="52" t="s">
        <v>452</v>
      </c>
      <c r="Q4" s="51">
        <v>2017</v>
      </c>
      <c r="R4" s="52" t="s">
        <v>453</v>
      </c>
      <c r="S4" s="52" t="s">
        <v>454</v>
      </c>
      <c r="T4" s="52" t="s">
        <v>455</v>
      </c>
      <c r="U4" s="52" t="s">
        <v>456</v>
      </c>
      <c r="V4" s="51">
        <v>2018</v>
      </c>
      <c r="W4" s="52" t="s">
        <v>457</v>
      </c>
      <c r="X4" s="52" t="s">
        <v>458</v>
      </c>
      <c r="Y4" s="52" t="s">
        <v>459</v>
      </c>
      <c r="Z4" s="52" t="s">
        <v>460</v>
      </c>
      <c r="AA4" s="51">
        <v>2019</v>
      </c>
      <c r="AB4" s="52" t="s">
        <v>461</v>
      </c>
      <c r="AC4" s="52" t="s">
        <v>462</v>
      </c>
      <c r="AD4" s="52" t="s">
        <v>463</v>
      </c>
      <c r="AE4" s="52" t="s">
        <v>464</v>
      </c>
      <c r="AF4" s="51">
        <v>2020</v>
      </c>
      <c r="AG4" s="52" t="s">
        <v>465</v>
      </c>
      <c r="AH4" s="52" t="s">
        <v>466</v>
      </c>
      <c r="AI4" s="52" t="s">
        <v>467</v>
      </c>
      <c r="AJ4" s="52" t="s">
        <v>468</v>
      </c>
      <c r="AK4" s="51">
        <v>2021</v>
      </c>
      <c r="AL4" s="52" t="s">
        <v>469</v>
      </c>
      <c r="AM4" s="52" t="s">
        <v>470</v>
      </c>
      <c r="AN4" s="52" t="s">
        <v>471</v>
      </c>
      <c r="AO4" s="52" t="s">
        <v>472</v>
      </c>
      <c r="AP4" s="51">
        <v>2022</v>
      </c>
      <c r="AQ4" s="52" t="s">
        <v>473</v>
      </c>
      <c r="AR4" s="52" t="s">
        <v>474</v>
      </c>
      <c r="AS4" s="52" t="s">
        <v>475</v>
      </c>
      <c r="AT4" s="52" t="s">
        <v>476</v>
      </c>
      <c r="AU4" s="51">
        <v>2023</v>
      </c>
      <c r="AV4" s="52" t="s">
        <v>428</v>
      </c>
      <c r="AW4" s="52" t="s">
        <v>429</v>
      </c>
      <c r="AX4" s="52" t="s">
        <v>427</v>
      </c>
      <c r="AY4" s="52" t="s">
        <v>491</v>
      </c>
      <c r="AZ4" s="51">
        <v>2024</v>
      </c>
      <c r="BA4" s="52" t="s">
        <v>671</v>
      </c>
      <c r="BB4" s="52" t="s">
        <v>673</v>
      </c>
      <c r="BC4" s="52" t="s">
        <v>674</v>
      </c>
      <c r="BD4" s="52" t="s">
        <v>675</v>
      </c>
      <c r="BE4" s="51">
        <v>2025</v>
      </c>
      <c r="BF4" s="52" t="s">
        <v>689</v>
      </c>
      <c r="BG4" s="52" t="s">
        <v>691</v>
      </c>
    </row>
    <row r="5" spans="1:59" x14ac:dyDescent="0.35">
      <c r="A5" s="59" t="s">
        <v>477</v>
      </c>
      <c r="B5" s="60" t="s">
        <v>492</v>
      </c>
      <c r="C5" s="54">
        <v>1555436.2022758259</v>
      </c>
      <c r="D5" s="54">
        <v>1665054.9228885875</v>
      </c>
      <c r="E5" s="54">
        <v>1790312.4346885299</v>
      </c>
      <c r="F5" s="54">
        <v>1835652.5653114701</v>
      </c>
      <c r="G5" s="61">
        <f>SUM(C5:F5)</f>
        <v>6846456.1251644129</v>
      </c>
      <c r="H5" s="54">
        <v>1782357</v>
      </c>
      <c r="I5" s="54">
        <v>1760127.4594670716</v>
      </c>
      <c r="J5" s="54">
        <v>1595510.5405329284</v>
      </c>
      <c r="K5" s="54">
        <v>1678459</v>
      </c>
      <c r="L5" s="61">
        <f>SUM(H5:K5)</f>
        <v>6816454</v>
      </c>
      <c r="M5" s="54">
        <v>1699036.0002621911</v>
      </c>
      <c r="N5" s="54">
        <v>1901808.8960921499</v>
      </c>
      <c r="O5" s="54">
        <v>1932450.6233455492</v>
      </c>
      <c r="P5" s="54">
        <v>1954644</v>
      </c>
      <c r="Q5" s="61">
        <f>SUM(M5:P5)</f>
        <v>7487939.5196998902</v>
      </c>
      <c r="R5" s="54">
        <v>2143752</v>
      </c>
      <c r="S5" s="54">
        <v>2399485</v>
      </c>
      <c r="T5" s="54">
        <v>2617310</v>
      </c>
      <c r="U5" s="54">
        <v>2455752</v>
      </c>
      <c r="V5" s="61">
        <f>SUM(R5:U5)</f>
        <v>9616299</v>
      </c>
      <c r="W5" s="54">
        <v>2468119</v>
      </c>
      <c r="X5" s="54">
        <v>2667331</v>
      </c>
      <c r="Y5" s="54">
        <v>2542311</v>
      </c>
      <c r="Z5" s="54">
        <v>2338634</v>
      </c>
      <c r="AA5" s="61">
        <f>SUM(W5:Z5)</f>
        <v>10016395</v>
      </c>
      <c r="AB5" s="54">
        <v>2224560</v>
      </c>
      <c r="AC5" s="54">
        <v>1171844</v>
      </c>
      <c r="AD5" s="54">
        <v>2514756</v>
      </c>
      <c r="AE5" s="54">
        <v>2849408</v>
      </c>
      <c r="AF5" s="61">
        <f>SUM(AB5:AE5)</f>
        <v>8760568</v>
      </c>
      <c r="AG5" s="54">
        <v>3133096</v>
      </c>
      <c r="AH5" s="54">
        <v>3183882.4370195698</v>
      </c>
      <c r="AI5" s="54">
        <v>3583978</v>
      </c>
      <c r="AJ5" s="54">
        <v>3787410</v>
      </c>
      <c r="AK5" s="61">
        <f>SUM(AG5:AJ5)</f>
        <v>13688366.43701957</v>
      </c>
      <c r="AL5" s="54">
        <v>4277191</v>
      </c>
      <c r="AM5" s="54">
        <v>4192384</v>
      </c>
      <c r="AN5" s="54">
        <v>4318339</v>
      </c>
      <c r="AO5" s="54">
        <v>4159955</v>
      </c>
      <c r="AP5" s="61">
        <f>SUM(AL5:AO5)</f>
        <v>16947869</v>
      </c>
      <c r="AQ5" s="54">
        <v>3998153</v>
      </c>
      <c r="AR5" s="54">
        <v>3801203</v>
      </c>
      <c r="AS5" s="54">
        <v>3672363</v>
      </c>
      <c r="AT5" s="54">
        <v>3483501</v>
      </c>
      <c r="AU5" s="61">
        <f>SUM(AQ5:AT5)</f>
        <v>14955220</v>
      </c>
      <c r="AV5" s="54">
        <v>3595766</v>
      </c>
      <c r="AW5" s="54">
        <v>3844568</v>
      </c>
      <c r="AX5" s="54">
        <v>3982373</v>
      </c>
      <c r="AY5" s="54">
        <f>'P&amp;L - Consolidado'!O3</f>
        <v>3909106</v>
      </c>
      <c r="AZ5" s="54">
        <f>SUM(AV5:AY5)</f>
        <v>15331813</v>
      </c>
      <c r="BA5" s="54">
        <f>'P&amp;L - Consolidado'!M3</f>
        <v>3938050</v>
      </c>
      <c r="BB5" s="54">
        <f>'P&amp;L - Consolidado'!L3</f>
        <v>4106968</v>
      </c>
      <c r="BC5" s="54">
        <f>'P&amp;L - Consolidado'!J3</f>
        <v>3802399</v>
      </c>
      <c r="BD5" s="54">
        <f>'P&amp;L - Consolidado'!H3</f>
        <v>3519120</v>
      </c>
      <c r="BE5" s="54">
        <f>SUM(BA5:BD5)</f>
        <v>15366537</v>
      </c>
      <c r="BF5" s="54">
        <f>'P&amp;L - Consolidado'!F3</f>
        <v>3807333</v>
      </c>
      <c r="BG5" s="54">
        <f>'P&amp;L - Consolidado'!E3</f>
        <v>4012470</v>
      </c>
    </row>
    <row r="6" spans="1:59" x14ac:dyDescent="0.35">
      <c r="A6" s="59" t="s">
        <v>478</v>
      </c>
      <c r="B6" s="60" t="s">
        <v>493</v>
      </c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4"/>
      <c r="AU6" s="64"/>
      <c r="AV6" s="64"/>
      <c r="AW6" s="63"/>
      <c r="AX6" s="65"/>
      <c r="AY6" s="63"/>
      <c r="AZ6" s="63"/>
      <c r="BA6" s="64"/>
      <c r="BB6" s="64"/>
      <c r="BC6" s="64"/>
      <c r="BD6" s="63"/>
      <c r="BE6" s="63"/>
      <c r="BF6" s="64"/>
      <c r="BG6" s="64"/>
    </row>
    <row r="7" spans="1:59" x14ac:dyDescent="0.35">
      <c r="A7" s="66" t="s">
        <v>479</v>
      </c>
      <c r="B7" s="67" t="s">
        <v>494</v>
      </c>
      <c r="C7" s="54">
        <v>-821160.4758653352</v>
      </c>
      <c r="D7" s="54">
        <v>-886285.98467818717</v>
      </c>
      <c r="E7" s="54">
        <v>-929515.73945647781</v>
      </c>
      <c r="F7" s="54">
        <v>-949040.79999999981</v>
      </c>
      <c r="G7" s="54">
        <f>SUM(C7:F7)</f>
        <v>-3586003</v>
      </c>
      <c r="H7" s="54">
        <v>-903779.54763097502</v>
      </c>
      <c r="I7" s="54">
        <v>-876308.15684423503</v>
      </c>
      <c r="J7" s="54">
        <v>-781894.94245220721</v>
      </c>
      <c r="K7" s="54">
        <v>-828761.31916691316</v>
      </c>
      <c r="L7" s="54">
        <f>SUM(H7:K7)</f>
        <v>-3390743.9660943304</v>
      </c>
      <c r="M7" s="54">
        <v>-875313.04780605272</v>
      </c>
      <c r="N7" s="54">
        <v>-988407.68430715089</v>
      </c>
      <c r="O7" s="54">
        <v>-994268.30733920773</v>
      </c>
      <c r="P7" s="54">
        <v>-1011167.4751722203</v>
      </c>
      <c r="Q7" s="54">
        <f>SUM(M7:P7)</f>
        <v>-3869156.5146246315</v>
      </c>
      <c r="R7" s="54">
        <v>-1117554.4851375844</v>
      </c>
      <c r="S7" s="54">
        <v>-1271329.4161048525</v>
      </c>
      <c r="T7" s="54">
        <v>-1387085.1106743831</v>
      </c>
      <c r="U7" s="54">
        <v>-1275104.5515539495</v>
      </c>
      <c r="V7" s="54">
        <f>SUM(R7:U7)</f>
        <v>-5051073.5634707697</v>
      </c>
      <c r="W7" s="54">
        <v>-1307644.1147683077</v>
      </c>
      <c r="X7" s="54">
        <v>-1436650.3668884963</v>
      </c>
      <c r="Y7" s="54">
        <v>-1313964.5986478275</v>
      </c>
      <c r="Z7" s="54">
        <v>-1205334.7518141149</v>
      </c>
      <c r="AA7" s="54">
        <f>SUM(W7:Z7)</f>
        <v>-5263593.8321187459</v>
      </c>
      <c r="AB7" s="54">
        <v>-1170979.1493954032</v>
      </c>
      <c r="AC7" s="54">
        <v>-616023.50109553454</v>
      </c>
      <c r="AD7" s="54">
        <v>-1319747.522199583</v>
      </c>
      <c r="AE7" s="54">
        <v>-1433279.3091034531</v>
      </c>
      <c r="AF7" s="54">
        <f>SUM(AB7:AE7)</f>
        <v>-4540029.4817939736</v>
      </c>
      <c r="AG7" s="54">
        <v>-1576803.4607710268</v>
      </c>
      <c r="AH7" s="54">
        <v>-1629031.350027272</v>
      </c>
      <c r="AI7" s="54">
        <v>-1921053.75209709</v>
      </c>
      <c r="AJ7" s="54">
        <v>-2123870.9014489204</v>
      </c>
      <c r="AK7" s="54">
        <f>SUM(AG7:AJ7)</f>
        <v>-7250759.4643443087</v>
      </c>
      <c r="AL7" s="54">
        <v>-2447332.3790967558</v>
      </c>
      <c r="AM7" s="54">
        <v>-2458703.8431875166</v>
      </c>
      <c r="AN7" s="54">
        <v>-2672667.8115603304</v>
      </c>
      <c r="AO7" s="54">
        <v>-2513181.9077659673</v>
      </c>
      <c r="AP7" s="54">
        <f>SUM(AL7:AO7)</f>
        <v>-10091885.941610571</v>
      </c>
      <c r="AQ7" s="54">
        <v>-2284634.425761716</v>
      </c>
      <c r="AR7" s="54">
        <v>-2090441.8397149188</v>
      </c>
      <c r="AS7" s="54">
        <v>-2024418.9161579553</v>
      </c>
      <c r="AT7" s="54">
        <v>-1856329.5916659422</v>
      </c>
      <c r="AU7" s="54">
        <f>SUM(AQ7:AT7)</f>
        <v>-8255824.7733005323</v>
      </c>
      <c r="AV7" s="54">
        <v>-1899035.4127721915</v>
      </c>
      <c r="AW7" s="54">
        <v>-1999447.2369767099</v>
      </c>
      <c r="AX7" s="62">
        <v>-2071783.3872361358</v>
      </c>
      <c r="AY7" s="62">
        <v>-1983810</v>
      </c>
      <c r="AZ7" s="54">
        <f>SUM(AV7:AY7)</f>
        <v>-7954076.0369850369</v>
      </c>
      <c r="BA7" s="54">
        <v>-1983429.7659372436</v>
      </c>
      <c r="BB7" s="54">
        <v>-2044159.1688818224</v>
      </c>
      <c r="BC7" s="54">
        <v>-2044159.1688818224</v>
      </c>
      <c r="BD7" s="54">
        <v>-1758035</v>
      </c>
      <c r="BE7" s="54">
        <f>SUM(BA7:BD7)</f>
        <v>-7829783.1037008883</v>
      </c>
      <c r="BF7" s="54">
        <v>-1924363</v>
      </c>
      <c r="BG7" s="54">
        <v>-2042467.4477968293</v>
      </c>
    </row>
    <row r="8" spans="1:59" x14ac:dyDescent="0.35">
      <c r="A8" s="66" t="s">
        <v>480</v>
      </c>
      <c r="B8" s="67" t="s">
        <v>495</v>
      </c>
      <c r="C8" s="54">
        <v>-272878.38394595659</v>
      </c>
      <c r="D8" s="54">
        <v>-271677.31717327319</v>
      </c>
      <c r="E8" s="54">
        <v>-277797.69888077024</v>
      </c>
      <c r="F8" s="54">
        <v>-280736.9139839526</v>
      </c>
      <c r="G8" s="54">
        <f>SUM(C8:F8)</f>
        <v>-1103090.3139839526</v>
      </c>
      <c r="H8" s="54">
        <v>-306898.46419739642</v>
      </c>
      <c r="I8" s="54">
        <v>-296137.0144790482</v>
      </c>
      <c r="J8" s="54">
        <v>-280055.84624635871</v>
      </c>
      <c r="K8" s="54">
        <v>-279714.237174168</v>
      </c>
      <c r="L8" s="54">
        <f>SUM(H8:K8)</f>
        <v>-1162805.5620969713</v>
      </c>
      <c r="M8" s="54">
        <v>-277041.79640893225</v>
      </c>
      <c r="N8" s="54">
        <v>-307368.4543287594</v>
      </c>
      <c r="O8" s="54">
        <v>-304900.20215655456</v>
      </c>
      <c r="P8" s="54">
        <v>-317091.0992699177</v>
      </c>
      <c r="Q8" s="54">
        <f>SUM(M8:P8)</f>
        <v>-1206401.5521641639</v>
      </c>
      <c r="R8" s="54">
        <v>-341144.08708682854</v>
      </c>
      <c r="S8" s="54">
        <v>-377040.6015806534</v>
      </c>
      <c r="T8" s="54">
        <v>-389739.81032857811</v>
      </c>
      <c r="U8" s="54">
        <v>-401963.51051654498</v>
      </c>
      <c r="V8" s="54">
        <f>SUM(R8:U8)</f>
        <v>-1509888.0095126051</v>
      </c>
      <c r="W8" s="54">
        <v>-412480.18489287305</v>
      </c>
      <c r="X8" s="54">
        <v>-425120.34150927572</v>
      </c>
      <c r="Y8" s="54">
        <v>-418805.1943963705</v>
      </c>
      <c r="Z8" s="54">
        <v>-421183.57999310055</v>
      </c>
      <c r="AA8" s="54">
        <f>SUM(W8:Z8)</f>
        <v>-1677589.3007916198</v>
      </c>
      <c r="AB8" s="54">
        <v>-433727.73223100003</v>
      </c>
      <c r="AC8" s="54">
        <v>-311523.16240635305</v>
      </c>
      <c r="AD8" s="54">
        <v>-431134.18661224103</v>
      </c>
      <c r="AE8" s="54">
        <v>-482475.74420611205</v>
      </c>
      <c r="AF8" s="54">
        <f>SUM(AB8:AE8)</f>
        <v>-1658860.8254557061</v>
      </c>
      <c r="AG8" s="54">
        <v>-521264.25594686961</v>
      </c>
      <c r="AH8" s="54">
        <v>-514603.15214881563</v>
      </c>
      <c r="AI8" s="54">
        <v>-517129.20768669026</v>
      </c>
      <c r="AJ8" s="54">
        <v>-544846.85519170738</v>
      </c>
      <c r="AK8" s="54">
        <f>SUM(AG8:AJ8)</f>
        <v>-2097843.4709740831</v>
      </c>
      <c r="AL8" s="54">
        <v>-541564.49650277209</v>
      </c>
      <c r="AM8" s="54">
        <v>-518196.98332009721</v>
      </c>
      <c r="AN8" s="54">
        <v>-554266.42202702735</v>
      </c>
      <c r="AO8" s="54">
        <v>-563628.02082709689</v>
      </c>
      <c r="AP8" s="54">
        <f>SUM(AL8:AO8)</f>
        <v>-2177655.9226769935</v>
      </c>
      <c r="AQ8" s="54">
        <v>-602659.22300895536</v>
      </c>
      <c r="AR8" s="54">
        <v>-575557.96127685613</v>
      </c>
      <c r="AS8" s="54">
        <v>-579825.62372915098</v>
      </c>
      <c r="AT8" s="54">
        <v>-555444.18090329203</v>
      </c>
      <c r="AU8" s="54">
        <f>SUM(AQ8:AT8)</f>
        <v>-2313486.9889182546</v>
      </c>
      <c r="AV8" s="54">
        <v>-623433.1048179107</v>
      </c>
      <c r="AW8" s="54">
        <v>-651126.45463280671</v>
      </c>
      <c r="AX8" s="62">
        <v>-675676.3172230752</v>
      </c>
      <c r="AY8" s="62">
        <v>-657013</v>
      </c>
      <c r="AZ8" s="54">
        <f>SUM(AV8:AY8)</f>
        <v>-2607248.8766737925</v>
      </c>
      <c r="BA8" s="54">
        <v>-719033.39650932513</v>
      </c>
      <c r="BB8" s="54">
        <v>-740674.21624060743</v>
      </c>
      <c r="BC8" s="54">
        <v>-740674.21624060743</v>
      </c>
      <c r="BD8" s="54">
        <v>-652668</v>
      </c>
      <c r="BE8" s="54">
        <f>SUM(BA8:BD8)</f>
        <v>-2853049.82899054</v>
      </c>
      <c r="BF8" s="54">
        <v>-713884</v>
      </c>
      <c r="BG8" s="54">
        <v>-730470.24917026481</v>
      </c>
    </row>
    <row r="9" spans="1:59" x14ac:dyDescent="0.35">
      <c r="A9" s="66" t="s">
        <v>43</v>
      </c>
      <c r="B9" s="67" t="s">
        <v>496</v>
      </c>
      <c r="C9" s="54">
        <v>-270914.56919710827</v>
      </c>
      <c r="D9" s="54">
        <v>-288786.53725831932</v>
      </c>
      <c r="E9" s="54">
        <v>-331564.89354457241</v>
      </c>
      <c r="F9" s="54">
        <v>-374068.68601604737</v>
      </c>
      <c r="G9" s="54">
        <f>SUM(C9:F9)</f>
        <v>-1265334.6860160474</v>
      </c>
      <c r="H9" s="54">
        <v>-345096.91677895677</v>
      </c>
      <c r="I9" s="54">
        <v>-331425.28672547359</v>
      </c>
      <c r="J9" s="54">
        <v>-299172.50056117564</v>
      </c>
      <c r="K9" s="54">
        <v>-315421.83230466209</v>
      </c>
      <c r="L9" s="54">
        <f>SUM(H9:K9)</f>
        <v>-1291116.5363702681</v>
      </c>
      <c r="M9" s="54">
        <v>-303902.05851152982</v>
      </c>
      <c r="N9" s="54">
        <v>-307824.47391896136</v>
      </c>
      <c r="O9" s="54">
        <v>-314852.53529601498</v>
      </c>
      <c r="P9" s="54">
        <v>-330824.70087877242</v>
      </c>
      <c r="Q9" s="54">
        <f>SUM(M9:P9)</f>
        <v>-1257403.7686052786</v>
      </c>
      <c r="R9" s="54">
        <v>-390200.53897012305</v>
      </c>
      <c r="S9" s="54">
        <v>-413323.53152746591</v>
      </c>
      <c r="T9" s="54">
        <v>-461101.36403948953</v>
      </c>
      <c r="U9" s="54">
        <v>-472434.91747349501</v>
      </c>
      <c r="V9" s="54">
        <f>SUM(R9:U9)</f>
        <v>-1737060.3520105735</v>
      </c>
      <c r="W9" s="54">
        <v>-449686.26722838287</v>
      </c>
      <c r="X9" s="54">
        <v>-468985.23839639034</v>
      </c>
      <c r="Y9" s="54">
        <v>-486850.92905688123</v>
      </c>
      <c r="Z9" s="54">
        <v>-484472.46483063349</v>
      </c>
      <c r="AA9" s="54">
        <f>SUM(W9:Z9)</f>
        <v>-1889994.8995122879</v>
      </c>
      <c r="AB9" s="54">
        <v>-435496.82047187095</v>
      </c>
      <c r="AC9" s="54">
        <v>-380633.63439983805</v>
      </c>
      <c r="AD9" s="54">
        <v>-508198.93726963666</v>
      </c>
      <c r="AE9" s="54">
        <v>-672034.60110351699</v>
      </c>
      <c r="AF9" s="54">
        <f>SUM(AB9:AE9)</f>
        <v>-1996363.9932448626</v>
      </c>
      <c r="AG9" s="54">
        <v>-625312.0688741575</v>
      </c>
      <c r="AH9" s="54">
        <v>-619530.41813706188</v>
      </c>
      <c r="AI9" s="54">
        <v>-650204.34288139315</v>
      </c>
      <c r="AJ9" s="54">
        <v>-740594.39757745992</v>
      </c>
      <c r="AK9" s="54">
        <f>SUM(AG9:AJ9)</f>
        <v>-2635641.2274700725</v>
      </c>
      <c r="AL9" s="54">
        <v>-677294.10393026751</v>
      </c>
      <c r="AM9" s="54">
        <v>-680832.94162961608</v>
      </c>
      <c r="AN9" s="54">
        <v>-752448.6262779017</v>
      </c>
      <c r="AO9" s="54">
        <v>-759109.56184625393</v>
      </c>
      <c r="AP9" s="54">
        <f>SUM(AL9:AO9)</f>
        <v>-2869685.2336840392</v>
      </c>
      <c r="AQ9" s="54">
        <v>-769773.2537744767</v>
      </c>
      <c r="AR9" s="54">
        <v>-710475.12574485689</v>
      </c>
      <c r="AS9" s="54">
        <v>-705927.38227924658</v>
      </c>
      <c r="AT9" s="54">
        <v>-691487.95356707368</v>
      </c>
      <c r="AU9" s="54">
        <f>SUM(AQ9:AT9)</f>
        <v>-2877663.7153656539</v>
      </c>
      <c r="AV9" s="54">
        <v>-689168.72529061185</v>
      </c>
      <c r="AW9" s="54">
        <v>-717438.42722178763</v>
      </c>
      <c r="AX9" s="62">
        <v>-757176.19044022635</v>
      </c>
      <c r="AY9" s="62">
        <v>-785272</v>
      </c>
      <c r="AZ9" s="54">
        <f>SUM(AV9:AY9)</f>
        <v>-2949055.3429526258</v>
      </c>
      <c r="BA9" s="54">
        <v>-791855.06743978616</v>
      </c>
      <c r="BB9" s="54">
        <v>-787517.87951808982</v>
      </c>
      <c r="BC9" s="54">
        <v>-787517.87951808982</v>
      </c>
      <c r="BD9" s="54">
        <v>-696309</v>
      </c>
      <c r="BE9" s="54">
        <f>SUM(BA9:BD9)</f>
        <v>-3063199.8264759658</v>
      </c>
      <c r="BF9" s="54">
        <v>-727549</v>
      </c>
      <c r="BG9" s="54">
        <v>-753989.34818701912</v>
      </c>
    </row>
    <row r="10" spans="1:59" ht="15" thickBot="1" x14ac:dyDescent="0.4">
      <c r="A10" s="59"/>
      <c r="B10" s="60"/>
      <c r="C10" s="54">
        <f>SUM(C7:C9)</f>
        <v>-1364953.4290084001</v>
      </c>
      <c r="D10" s="54">
        <f>SUM(D7:D9)</f>
        <v>-1446749.8391097796</v>
      </c>
      <c r="E10" s="54">
        <f>SUM(E7:E9)</f>
        <v>-1538878.3318818205</v>
      </c>
      <c r="F10" s="54">
        <f>SUM(F7:F9)</f>
        <v>-1603846.4</v>
      </c>
      <c r="G10" s="54">
        <f>SUM(C10:F10)</f>
        <v>-5954428</v>
      </c>
      <c r="H10" s="54">
        <f>SUM(H7:H9)</f>
        <v>-1555774.9286073281</v>
      </c>
      <c r="I10" s="54">
        <f>SUM(I7:I9)</f>
        <v>-1503870.4580487567</v>
      </c>
      <c r="J10" s="54">
        <f>SUM(J7:J9)</f>
        <v>-1361123.2892597415</v>
      </c>
      <c r="K10" s="54">
        <f>SUM(K7:K9)</f>
        <v>-1423897.3886457433</v>
      </c>
      <c r="L10" s="54">
        <f>SUM(H10:K10)</f>
        <v>-5844666.0645615691</v>
      </c>
      <c r="M10" s="54">
        <f>SUM(M7:M9)</f>
        <v>-1456256.9027265147</v>
      </c>
      <c r="N10" s="54">
        <f>SUM(N7:N9)</f>
        <v>-1603600.6125548717</v>
      </c>
      <c r="O10" s="54">
        <f>SUM(O7:O9)</f>
        <v>-1614021.0447917772</v>
      </c>
      <c r="P10" s="54">
        <f>SUM(P7:P9)</f>
        <v>-1659083.2753209104</v>
      </c>
      <c r="Q10" s="54">
        <f>SUM(M10:P10)</f>
        <v>-6332961.8353940733</v>
      </c>
      <c r="R10" s="54">
        <f>SUM(R7:R9)</f>
        <v>-1848899.1111945361</v>
      </c>
      <c r="S10" s="54">
        <f>SUM(S7:S9)</f>
        <v>-2061693.5492129717</v>
      </c>
      <c r="T10" s="54">
        <f>SUM(T7:T9)</f>
        <v>-2237926.2850424508</v>
      </c>
      <c r="U10" s="54">
        <f>SUM(U7:U9)</f>
        <v>-2149502.9795439895</v>
      </c>
      <c r="V10" s="54">
        <f>SUM(R10:U10)</f>
        <v>-8298021.9249939481</v>
      </c>
      <c r="W10" s="54">
        <f>SUM(W7:W9)</f>
        <v>-2169810.5668895636</v>
      </c>
      <c r="X10" s="54">
        <f>SUM(X7:X9)</f>
        <v>-2330755.9467941625</v>
      </c>
      <c r="Y10" s="54">
        <f>SUM(Y7:Y9)</f>
        <v>-2219620.7221010793</v>
      </c>
      <c r="Z10" s="54">
        <v>-2110990.796637849</v>
      </c>
      <c r="AA10" s="54">
        <f>SUM(W10:Z10)</f>
        <v>-8831178.0324226543</v>
      </c>
      <c r="AB10" s="54">
        <v>-2040203.7020982741</v>
      </c>
      <c r="AC10" s="54">
        <f>SUM(AC7:AC9)</f>
        <v>-1308180.2979017256</v>
      </c>
      <c r="AD10" s="54">
        <f>SUM(AD7:AD9)</f>
        <v>-2259080.6460814606</v>
      </c>
      <c r="AE10" s="54">
        <v>-2587790</v>
      </c>
      <c r="AF10" s="54">
        <f>SUM(AB10:AE10)</f>
        <v>-8195254.6460814606</v>
      </c>
      <c r="AG10" s="54">
        <v>-2723380</v>
      </c>
      <c r="AH10" s="54">
        <v>-2763164.9203131497</v>
      </c>
      <c r="AI10" s="54">
        <f>SUM(AI7:AI9)</f>
        <v>-3088387.3026651735</v>
      </c>
      <c r="AJ10" s="54">
        <v>-3409312</v>
      </c>
      <c r="AK10" s="54">
        <f>SUM(AG10:AJ10)</f>
        <v>-11984244.222978324</v>
      </c>
      <c r="AL10" s="54">
        <f t="shared" ref="AL10:AO10" si="0">SUM(AL7:AL9)</f>
        <v>-3666190.9795297952</v>
      </c>
      <c r="AM10" s="54">
        <f t="shared" si="0"/>
        <v>-3657733.7681372301</v>
      </c>
      <c r="AN10" s="54">
        <f t="shared" si="0"/>
        <v>-3979382.8598652594</v>
      </c>
      <c r="AO10" s="54">
        <f t="shared" si="0"/>
        <v>-3835919.4904393181</v>
      </c>
      <c r="AP10" s="54">
        <f>SUM(AL10:AO10)</f>
        <v>-15139227.097971603</v>
      </c>
      <c r="AQ10" s="54">
        <f t="shared" ref="AQ10:AT10" si="1">SUM(AQ7:AQ9)</f>
        <v>-3657066.902545148</v>
      </c>
      <c r="AR10" s="54">
        <f t="shared" si="1"/>
        <v>-3376474.9267366319</v>
      </c>
      <c r="AS10" s="54">
        <f t="shared" si="1"/>
        <v>-3310171.9221663526</v>
      </c>
      <c r="AT10" s="54">
        <f t="shared" si="1"/>
        <v>-3103261.7261363082</v>
      </c>
      <c r="AU10" s="54">
        <f>SUM(AQ10:AT10)</f>
        <v>-13446975.47758444</v>
      </c>
      <c r="AV10" s="54">
        <f t="shared" ref="AV10" si="2">SUM(AV7:AV9)</f>
        <v>-3211637.2428807141</v>
      </c>
      <c r="AW10" s="54">
        <v>-3368012</v>
      </c>
      <c r="AX10" s="62">
        <v>-3504636</v>
      </c>
      <c r="AY10" s="62">
        <f>'P&amp;L - Consolidado'!O4</f>
        <v>-3426095</v>
      </c>
      <c r="AZ10" s="54">
        <f>SUM(AV10:AY10)</f>
        <v>-13510380.242880713</v>
      </c>
      <c r="BA10" s="62">
        <f>'P&amp;L - Consolidado'!M4</f>
        <v>-3494318</v>
      </c>
      <c r="BB10" s="62">
        <f>'P&amp;L - Consolidado'!L4</f>
        <v>-3572351</v>
      </c>
      <c r="BC10" s="62">
        <f>'P&amp;L - Consolidado'!J4</f>
        <v>-3342084</v>
      </c>
      <c r="BD10" s="62">
        <f>'P&amp;L - Consolidado'!H4</f>
        <v>-3107012</v>
      </c>
      <c r="BE10" s="54">
        <f>SUM(BA10:BD10)</f>
        <v>-13515765</v>
      </c>
      <c r="BF10" s="62">
        <f>'P&amp;L - Consolidado'!F4</f>
        <v>-3365795</v>
      </c>
      <c r="BG10" s="62">
        <f>'P&amp;L - Consolidado'!E4</f>
        <v>-3526927</v>
      </c>
    </row>
    <row r="11" spans="1:59" ht="15" thickBot="1" x14ac:dyDescent="0.4">
      <c r="A11" s="68" t="s">
        <v>481</v>
      </c>
      <c r="B11" s="69" t="s">
        <v>497</v>
      </c>
      <c r="C11" s="70">
        <f>C5+C10</f>
        <v>190482.77326742583</v>
      </c>
      <c r="D11" s="70">
        <f>D5+D10</f>
        <v>218305.08377880789</v>
      </c>
      <c r="E11" s="70">
        <f>E5+E10</f>
        <v>251434.10280670947</v>
      </c>
      <c r="F11" s="70">
        <f>F5+F10</f>
        <v>231806.16531147016</v>
      </c>
      <c r="G11" s="70">
        <f>SUM(C11:F11)</f>
        <v>892028.12516441336</v>
      </c>
      <c r="H11" s="70">
        <f>H5+H10</f>
        <v>226582.0713926719</v>
      </c>
      <c r="I11" s="70">
        <f>I5+I10</f>
        <v>256257.00141831487</v>
      </c>
      <c r="J11" s="70">
        <f>J5+J10</f>
        <v>234387.25127318688</v>
      </c>
      <c r="K11" s="70">
        <f>K5+K10</f>
        <v>254561.61135425675</v>
      </c>
      <c r="L11" s="70">
        <f>SUM(H11:K11)</f>
        <v>971787.9354384304</v>
      </c>
      <c r="M11" s="70">
        <f>M5+M10</f>
        <v>242779.09753567632</v>
      </c>
      <c r="N11" s="70">
        <f>N5+N10</f>
        <v>298208.28353727818</v>
      </c>
      <c r="O11" s="70">
        <f>O5+O10</f>
        <v>318429.57855377207</v>
      </c>
      <c r="P11" s="70">
        <f>P5+P10</f>
        <v>295560.72467908962</v>
      </c>
      <c r="Q11" s="70">
        <f>SUM(M11:P11)</f>
        <v>1154977.6843058162</v>
      </c>
      <c r="R11" s="70">
        <f>R5+R10</f>
        <v>294852.88880546391</v>
      </c>
      <c r="S11" s="70">
        <f>S5+S10</f>
        <v>337791.4507870283</v>
      </c>
      <c r="T11" s="70">
        <v>379382.1</v>
      </c>
      <c r="U11" s="70">
        <f>U5+U10</f>
        <v>306249.02045601048</v>
      </c>
      <c r="V11" s="70">
        <f>SUM(R11:U11)</f>
        <v>1318275.4600485028</v>
      </c>
      <c r="W11" s="70">
        <f>W5+W10</f>
        <v>298308.43311043642</v>
      </c>
      <c r="X11" s="70">
        <f>X5+X10</f>
        <v>336575.0532058375</v>
      </c>
      <c r="Y11" s="70">
        <f>Y5+Y10</f>
        <v>322690.2778989207</v>
      </c>
      <c r="Z11" s="70">
        <f>Z10+Z5</f>
        <v>227643.20336215105</v>
      </c>
      <c r="AA11" s="70">
        <f>SUM(W11:Z11)</f>
        <v>1185216.9675773457</v>
      </c>
      <c r="AB11" s="70">
        <v>184356.29790172586</v>
      </c>
      <c r="AC11" s="70">
        <f>AC5+AC10</f>
        <v>-136336.29790172563</v>
      </c>
      <c r="AD11" s="70">
        <f>AD5+AD10</f>
        <v>255675.35391853936</v>
      </c>
      <c r="AE11" s="70">
        <v>261618</v>
      </c>
      <c r="AF11" s="70">
        <f>SUM(AB11:AE11)</f>
        <v>565313.35391853959</v>
      </c>
      <c r="AG11" s="70">
        <v>409716</v>
      </c>
      <c r="AH11" s="70">
        <f>AH10+AH5</f>
        <v>420717.51670642011</v>
      </c>
      <c r="AI11" s="70">
        <f>AI10+AI5</f>
        <v>495590.69733482646</v>
      </c>
      <c r="AJ11" s="70">
        <f>AJ10+AJ5</f>
        <v>378098</v>
      </c>
      <c r="AK11" s="70">
        <f>SUM(AG11:AJ11)</f>
        <v>1704122.2140412466</v>
      </c>
      <c r="AL11" s="70">
        <f t="shared" ref="AL11:AN11" si="3">AL10+AL5</f>
        <v>611000.02047020476</v>
      </c>
      <c r="AM11" s="70">
        <f t="shared" si="3"/>
        <v>534650.23186276993</v>
      </c>
      <c r="AN11" s="70">
        <f t="shared" si="3"/>
        <v>338956.14013474062</v>
      </c>
      <c r="AO11" s="70">
        <f>AO10+AO5</f>
        <v>324035.50956068188</v>
      </c>
      <c r="AP11" s="70">
        <f>SUM(AL11:AO11)</f>
        <v>1808641.9020283972</v>
      </c>
      <c r="AQ11" s="70">
        <f t="shared" ref="AQ11:AV11" si="4">AQ10+AQ5</f>
        <v>341086.09745485196</v>
      </c>
      <c r="AR11" s="70">
        <f t="shared" si="4"/>
        <v>424728.0732633681</v>
      </c>
      <c r="AS11" s="70">
        <f t="shared" si="4"/>
        <v>362191.07783364737</v>
      </c>
      <c r="AT11" s="70">
        <f t="shared" si="4"/>
        <v>380239.27386369184</v>
      </c>
      <c r="AU11" s="70">
        <f>SUM(AQ11:AT11)</f>
        <v>1508244.5224155593</v>
      </c>
      <c r="AV11" s="70">
        <f t="shared" si="4"/>
        <v>384128.75711928587</v>
      </c>
      <c r="AW11" s="70">
        <v>476556</v>
      </c>
      <c r="AX11" s="70">
        <f>AX5+AX10</f>
        <v>477737</v>
      </c>
      <c r="AY11" s="70">
        <f>AY5+AY10</f>
        <v>483011</v>
      </c>
      <c r="AZ11" s="70">
        <f>SUM(AV11:AY11)</f>
        <v>1821432.7571192859</v>
      </c>
      <c r="BA11" s="70">
        <f t="shared" ref="BA11:BB11" si="5">BA10+BA5</f>
        <v>443732</v>
      </c>
      <c r="BB11" s="70">
        <f t="shared" si="5"/>
        <v>534617</v>
      </c>
      <c r="BC11" s="70">
        <f t="shared" ref="BC11:BD11" si="6">BC10+BC5</f>
        <v>460315</v>
      </c>
      <c r="BD11" s="70">
        <f t="shared" si="6"/>
        <v>412108</v>
      </c>
      <c r="BE11" s="70">
        <f>SUM(BA11:BD11)</f>
        <v>1850772</v>
      </c>
      <c r="BF11" s="70">
        <f t="shared" ref="BF11:BG11" si="7">BF10+BF5</f>
        <v>441538</v>
      </c>
      <c r="BG11" s="70">
        <f t="shared" si="7"/>
        <v>485543</v>
      </c>
    </row>
    <row r="12" spans="1:59" x14ac:dyDescent="0.35">
      <c r="A12" s="71"/>
      <c r="B12" s="72"/>
      <c r="C12" s="73">
        <f t="shared" ref="C12:AA12" si="8">C11/C5</f>
        <v>0.12246260758796938</v>
      </c>
      <c r="D12" s="73">
        <f t="shared" si="8"/>
        <v>0.13110983954816677</v>
      </c>
      <c r="E12" s="73">
        <f t="shared" si="8"/>
        <v>0.14044146593354404</v>
      </c>
      <c r="F12" s="73">
        <f t="shared" si="8"/>
        <v>0.12627997786287937</v>
      </c>
      <c r="G12" s="74">
        <f t="shared" si="8"/>
        <v>0.13029049027068612</v>
      </c>
      <c r="H12" s="74">
        <f t="shared" si="8"/>
        <v>0.12712496508425186</v>
      </c>
      <c r="I12" s="74">
        <f t="shared" si="8"/>
        <v>0.1455900253359515</v>
      </c>
      <c r="J12" s="74">
        <f t="shared" si="8"/>
        <v>0.14690423241885789</v>
      </c>
      <c r="K12" s="74">
        <f t="shared" si="8"/>
        <v>0.15166388416652224</v>
      </c>
      <c r="L12" s="74">
        <f t="shared" si="8"/>
        <v>0.14256502507585769</v>
      </c>
      <c r="M12" s="74">
        <f t="shared" si="8"/>
        <v>0.14289226214053807</v>
      </c>
      <c r="N12" s="74">
        <f t="shared" si="8"/>
        <v>0.15680244432026721</v>
      </c>
      <c r="O12" s="74">
        <f t="shared" si="8"/>
        <v>0.16478018879597131</v>
      </c>
      <c r="P12" s="74">
        <f t="shared" si="8"/>
        <v>0.15120949118053703</v>
      </c>
      <c r="Q12" s="74">
        <f t="shared" si="8"/>
        <v>0.15424506050926365</v>
      </c>
      <c r="R12" s="74">
        <f t="shared" si="8"/>
        <v>0.1375405778305811</v>
      </c>
      <c r="S12" s="74">
        <f t="shared" si="8"/>
        <v>0.14077664614991478</v>
      </c>
      <c r="T12" s="74">
        <f t="shared" si="8"/>
        <v>0.14495115213711787</v>
      </c>
      <c r="U12" s="74">
        <f t="shared" si="8"/>
        <v>0.12470681911528952</v>
      </c>
      <c r="V12" s="74">
        <f t="shared" si="8"/>
        <v>0.13708761136155426</v>
      </c>
      <c r="W12" s="74">
        <f t="shared" si="8"/>
        <v>0.12086468809260673</v>
      </c>
      <c r="X12" s="74">
        <f t="shared" si="8"/>
        <v>0.12618420931104446</v>
      </c>
      <c r="Y12" s="74">
        <f t="shared" si="8"/>
        <v>0.12692793206610864</v>
      </c>
      <c r="Z12" s="74">
        <f t="shared" si="8"/>
        <v>9.7340243647424537E-2</v>
      </c>
      <c r="AA12" s="74">
        <f t="shared" si="8"/>
        <v>0.11832769849605029</v>
      </c>
      <c r="AB12" s="74">
        <v>8.2873151500398215E-2</v>
      </c>
      <c r="AC12" s="74">
        <f>AC11/AC5</f>
        <v>-0.11634338521315604</v>
      </c>
      <c r="AD12" s="74">
        <f>AD11/AD5</f>
        <v>0.10167004429795151</v>
      </c>
      <c r="AE12" s="74">
        <f>AE11/AE5</f>
        <v>9.1814861192219571E-2</v>
      </c>
      <c r="AF12" s="74">
        <f>AF11/AF5</f>
        <v>6.4529303798399787E-2</v>
      </c>
      <c r="AG12" s="74">
        <v>0.13077033068887772</v>
      </c>
      <c r="AH12" s="74">
        <f>AH11/AH5</f>
        <v>0.13213977746623506</v>
      </c>
      <c r="AI12" s="74">
        <f>AI11/AI5</f>
        <v>0.13827950320421231</v>
      </c>
      <c r="AJ12" s="74">
        <f>AJ11/AJ5</f>
        <v>9.9830226988892143E-2</v>
      </c>
      <c r="AK12" s="74">
        <f>AK11/AK5</f>
        <v>0.12449419891569566</v>
      </c>
      <c r="AL12" s="74">
        <f t="shared" ref="AL12:AN12" si="9">AL11/AL5</f>
        <v>0.14285076828932933</v>
      </c>
      <c r="AM12" s="74">
        <f t="shared" si="9"/>
        <v>0.12752892670680213</v>
      </c>
      <c r="AN12" s="74">
        <f t="shared" si="9"/>
        <v>7.8492249018601967E-2</v>
      </c>
      <c r="AO12" s="74">
        <f>AO11/AO5</f>
        <v>7.789399394000221E-2</v>
      </c>
      <c r="AP12" s="74">
        <f>AP11/AP5</f>
        <v>0.10671795386360357</v>
      </c>
      <c r="AQ12" s="74">
        <f t="shared" ref="AQ12:AV12" si="10">AQ11/AQ5</f>
        <v>8.5310916679489743E-2</v>
      </c>
      <c r="AR12" s="74">
        <f t="shared" si="10"/>
        <v>0.11173517259229988</v>
      </c>
      <c r="AS12" s="74">
        <f t="shared" si="10"/>
        <v>9.8626164633955682E-2</v>
      </c>
      <c r="AT12" s="74">
        <f t="shared" si="10"/>
        <v>0.1091543461200935</v>
      </c>
      <c r="AU12" s="74">
        <f>AU11/AU5</f>
        <v>0.10085070780741168</v>
      </c>
      <c r="AV12" s="74">
        <f t="shared" si="10"/>
        <v>0.10682807421820159</v>
      </c>
      <c r="AW12" s="75">
        <v>0.12395566940160767</v>
      </c>
      <c r="AX12" s="76">
        <f>AX11/AX5</f>
        <v>0.11996289649412549</v>
      </c>
      <c r="AY12" s="76">
        <f t="shared" ref="AY12:BA12" si="11">AY11/AY5</f>
        <v>0.12356047648746286</v>
      </c>
      <c r="AZ12" s="74">
        <f t="shared" si="11"/>
        <v>0.11880087222034902</v>
      </c>
      <c r="BA12" s="74">
        <f t="shared" si="11"/>
        <v>0.11267810210637244</v>
      </c>
      <c r="BB12" s="74">
        <f t="shared" ref="BB12:BD12" si="12">BB11/BB5</f>
        <v>0.13017315937207205</v>
      </c>
      <c r="BC12" s="74">
        <f t="shared" si="12"/>
        <v>0.12105909979462966</v>
      </c>
      <c r="BD12" s="74">
        <f t="shared" si="12"/>
        <v>0.11710541271681557</v>
      </c>
      <c r="BE12" s="74">
        <f t="shared" ref="BE12:BF12" si="13">BE11/BE5</f>
        <v>0.12044171045174329</v>
      </c>
      <c r="BF12" s="74">
        <f t="shared" si="13"/>
        <v>0.11597041813784084</v>
      </c>
      <c r="BG12" s="74">
        <f t="shared" ref="BG12" si="14">BG11/BG5</f>
        <v>0.12100850598259924</v>
      </c>
    </row>
    <row r="13" spans="1:59" x14ac:dyDescent="0.35">
      <c r="A13" s="59" t="s">
        <v>482</v>
      </c>
      <c r="B13" s="60" t="s">
        <v>498</v>
      </c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3"/>
      <c r="AQ13" s="73"/>
      <c r="AR13" s="73"/>
      <c r="AS13" s="73"/>
      <c r="AT13" s="73"/>
      <c r="AU13" s="73"/>
      <c r="AV13" s="73"/>
      <c r="AW13" s="63"/>
      <c r="AX13" s="77"/>
      <c r="AY13" s="63"/>
      <c r="AZ13" s="63"/>
      <c r="BA13" s="73"/>
      <c r="BB13" s="73"/>
      <c r="BC13" s="73"/>
      <c r="BD13" s="63"/>
      <c r="BE13" s="63"/>
      <c r="BF13" s="73"/>
      <c r="BG13" s="73"/>
    </row>
    <row r="14" spans="1:59" x14ac:dyDescent="0.35">
      <c r="A14" s="66" t="s">
        <v>483</v>
      </c>
      <c r="B14" s="67" t="s">
        <v>499</v>
      </c>
      <c r="C14" s="54">
        <v>-31229</v>
      </c>
      <c r="D14" s="54">
        <v>-35395</v>
      </c>
      <c r="E14" s="54">
        <v>-39589</v>
      </c>
      <c r="F14" s="54">
        <v>-49347</v>
      </c>
      <c r="G14" s="54">
        <f>SUM(C14:F14)</f>
        <v>-155560</v>
      </c>
      <c r="H14" s="54">
        <v>-38745</v>
      </c>
      <c r="I14" s="54">
        <v>-36594</v>
      </c>
      <c r="J14" s="54">
        <v>-40025</v>
      </c>
      <c r="K14" s="54">
        <v>-35567</v>
      </c>
      <c r="L14" s="54">
        <f>SUM(H14:K14)</f>
        <v>-150931</v>
      </c>
      <c r="M14" s="54">
        <v>-35552</v>
      </c>
      <c r="N14" s="54">
        <v>-42283</v>
      </c>
      <c r="O14" s="54">
        <v>-42465</v>
      </c>
      <c r="P14" s="54">
        <v>-41857</v>
      </c>
      <c r="Q14" s="54">
        <f>SUM(M14:P14)</f>
        <v>-162157</v>
      </c>
      <c r="R14" s="54">
        <v>-9098</v>
      </c>
      <c r="S14" s="54">
        <v>-10382</v>
      </c>
      <c r="T14" s="54">
        <v>-17172</v>
      </c>
      <c r="U14" s="54">
        <v>-38707</v>
      </c>
      <c r="V14" s="54">
        <f>SUM(R14:U14)</f>
        <v>-75359</v>
      </c>
      <c r="W14" s="54">
        <v>-13873</v>
      </c>
      <c r="X14" s="54">
        <v>-9142</v>
      </c>
      <c r="Y14" s="54">
        <v>-17453</v>
      </c>
      <c r="Z14" s="54">
        <v>-13310</v>
      </c>
      <c r="AA14" s="54">
        <f>SUM(W14:Z14)</f>
        <v>-53778</v>
      </c>
      <c r="AB14" s="54">
        <v>-13258</v>
      </c>
      <c r="AC14" s="54">
        <v>-13579</v>
      </c>
      <c r="AD14" s="54">
        <v>-11754</v>
      </c>
      <c r="AE14" s="54">
        <v>-23221</v>
      </c>
      <c r="AF14" s="54">
        <f>SUM(AB14:AE14)</f>
        <v>-61812</v>
      </c>
      <c r="AG14" s="54">
        <v>-22412</v>
      </c>
      <c r="AH14" s="54">
        <v>-12457</v>
      </c>
      <c r="AI14" s="54">
        <v>-19100</v>
      </c>
      <c r="AJ14" s="54">
        <v>-24517</v>
      </c>
      <c r="AK14" s="54">
        <f>SUM(AG14:AJ14)</f>
        <v>-78486</v>
      </c>
      <c r="AL14" s="54">
        <v>-21317</v>
      </c>
      <c r="AM14" s="54">
        <v>-21290</v>
      </c>
      <c r="AN14" s="54">
        <v>-27130</v>
      </c>
      <c r="AO14" s="54">
        <v>-26358</v>
      </c>
      <c r="AP14" s="54">
        <f>SUM(AL14:AO14)</f>
        <v>-96095</v>
      </c>
      <c r="AQ14" s="54">
        <v>-17792</v>
      </c>
      <c r="AR14" s="54">
        <v>-22335</v>
      </c>
      <c r="AS14" s="54">
        <v>-20410</v>
      </c>
      <c r="AT14" s="54">
        <v>-21137</v>
      </c>
      <c r="AU14" s="54">
        <f>SUM(AQ14:AT14)</f>
        <v>-81674</v>
      </c>
      <c r="AV14" s="54">
        <v>-17805</v>
      </c>
      <c r="AW14" s="54">
        <v>-19866</v>
      </c>
      <c r="AX14" s="62">
        <v>-18907</v>
      </c>
      <c r="AY14" s="62">
        <f>'P&amp;L - Consolidado'!O7</f>
        <v>-19572</v>
      </c>
      <c r="AZ14" s="54">
        <f>SUM(AV14:AY14)</f>
        <v>-76150</v>
      </c>
      <c r="BA14" s="62">
        <f>'P&amp;L - Consolidado'!M7</f>
        <v>-20413</v>
      </c>
      <c r="BB14" s="62">
        <f>'P&amp;L - Consolidado'!L7</f>
        <v>-26065</v>
      </c>
      <c r="BC14" s="62">
        <f>'P&amp;L - Consolidado'!J7</f>
        <v>-21768</v>
      </c>
      <c r="BD14" s="62">
        <f>'P&amp;L - Consolidado'!H7</f>
        <v>-13183</v>
      </c>
      <c r="BE14" s="54">
        <f>SUM(BA14:BD14)</f>
        <v>-81429</v>
      </c>
      <c r="BF14" s="62">
        <f>'P&amp;L - Consolidado'!F7</f>
        <v>-21707</v>
      </c>
      <c r="BG14" s="62">
        <f>'P&amp;L - Consolidado'!E7</f>
        <v>-15375</v>
      </c>
    </row>
    <row r="15" spans="1:59" x14ac:dyDescent="0.35">
      <c r="A15" s="66" t="s">
        <v>484</v>
      </c>
      <c r="B15" s="67" t="s">
        <v>500</v>
      </c>
      <c r="C15" s="54">
        <v>-73640</v>
      </c>
      <c r="D15" s="54">
        <v>-68051</v>
      </c>
      <c r="E15" s="54">
        <v>-83208</v>
      </c>
      <c r="F15" s="54">
        <v>-92659</v>
      </c>
      <c r="G15" s="54">
        <f>SUM(C15:F15)</f>
        <v>-317558</v>
      </c>
      <c r="H15" s="54">
        <v>-92375</v>
      </c>
      <c r="I15" s="54">
        <v>-91879</v>
      </c>
      <c r="J15" s="54">
        <v>-86842</v>
      </c>
      <c r="K15" s="54">
        <v>-97130</v>
      </c>
      <c r="L15" s="54">
        <f>SUM(H15:K15)</f>
        <v>-368226</v>
      </c>
      <c r="M15" s="54">
        <v>-90648</v>
      </c>
      <c r="N15" s="54">
        <v>-96244</v>
      </c>
      <c r="O15" s="54">
        <v>-84723</v>
      </c>
      <c r="P15" s="54">
        <v>-112791</v>
      </c>
      <c r="Q15" s="54">
        <f>SUM(M15:P15)</f>
        <v>-384406</v>
      </c>
      <c r="R15" s="54">
        <v>-116383</v>
      </c>
      <c r="S15" s="54">
        <v>-124074</v>
      </c>
      <c r="T15" s="54">
        <v>-122830</v>
      </c>
      <c r="U15" s="54">
        <v>-113825</v>
      </c>
      <c r="V15" s="54">
        <f>SUM(R15:U15)</f>
        <v>-477112</v>
      </c>
      <c r="W15" s="54">
        <v>-123681</v>
      </c>
      <c r="X15" s="54">
        <v>-119701</v>
      </c>
      <c r="Y15" s="54">
        <v>-116338</v>
      </c>
      <c r="Z15" s="54">
        <v>-123248</v>
      </c>
      <c r="AA15" s="54">
        <f>SUM(W15:Z15)</f>
        <v>-482968</v>
      </c>
      <c r="AB15" s="54">
        <v>-113418</v>
      </c>
      <c r="AC15" s="54">
        <v>-116217</v>
      </c>
      <c r="AD15" s="54">
        <v>-120736</v>
      </c>
      <c r="AE15" s="54">
        <v>-137350</v>
      </c>
      <c r="AF15" s="54">
        <f>SUM(AB15:AE15)</f>
        <v>-487721</v>
      </c>
      <c r="AG15" s="54">
        <v>-156545</v>
      </c>
      <c r="AH15" s="54">
        <v>-163153</v>
      </c>
      <c r="AI15" s="54">
        <v>-153481</v>
      </c>
      <c r="AJ15" s="54">
        <v>-172788</v>
      </c>
      <c r="AK15" s="54">
        <f>SUM(AG15:AJ15)</f>
        <v>-645967</v>
      </c>
      <c r="AL15" s="54">
        <v>-142631</v>
      </c>
      <c r="AM15" s="54">
        <v>-155940</v>
      </c>
      <c r="AN15" s="54">
        <v>-150993</v>
      </c>
      <c r="AO15" s="54">
        <v>-177959</v>
      </c>
      <c r="AP15" s="54">
        <f>SUM(AL15:AO15)</f>
        <v>-627523</v>
      </c>
      <c r="AQ15" s="54">
        <v>-161089</v>
      </c>
      <c r="AR15" s="54">
        <v>-166485</v>
      </c>
      <c r="AS15" s="54">
        <v>-159265</v>
      </c>
      <c r="AT15" s="54">
        <v>-171319</v>
      </c>
      <c r="AU15" s="54">
        <f>SUM(AQ15:AT15)</f>
        <v>-658158</v>
      </c>
      <c r="AV15" s="54">
        <v>-155018</v>
      </c>
      <c r="AW15" s="54">
        <v>-165615</v>
      </c>
      <c r="AX15" s="62">
        <v>-168635</v>
      </c>
      <c r="AY15" s="62">
        <f>'P&amp;L - Consolidado'!O9</f>
        <v>-209265</v>
      </c>
      <c r="AZ15" s="54">
        <f t="shared" ref="AZ15:AZ19" si="15">SUM(AV15:AY15)</f>
        <v>-698533</v>
      </c>
      <c r="BA15" s="62">
        <f>'P&amp;L - Consolidado'!M9</f>
        <v>-197143</v>
      </c>
      <c r="BB15" s="62">
        <f>'P&amp;L - Consolidado'!L9</f>
        <v>-208892</v>
      </c>
      <c r="BC15" s="62">
        <f>'P&amp;L - Consolidado'!J9</f>
        <v>-181161</v>
      </c>
      <c r="BD15" s="62">
        <f>'P&amp;L - Consolidado'!H9</f>
        <v>-206177</v>
      </c>
      <c r="BE15" s="54">
        <f t="shared" ref="BE15:BE19" si="16">SUM(BA15:BD15)</f>
        <v>-793373</v>
      </c>
      <c r="BF15" s="62">
        <f>'P&amp;L - Consolidado'!F9</f>
        <v>-179874</v>
      </c>
      <c r="BG15" s="62">
        <f>'P&amp;L - Consolidado'!E9</f>
        <v>-189447</v>
      </c>
    </row>
    <row r="16" spans="1:59" x14ac:dyDescent="0.35">
      <c r="A16" s="66" t="s">
        <v>322</v>
      </c>
      <c r="B16" s="67" t="s">
        <v>501</v>
      </c>
      <c r="C16" s="54">
        <v>-3372</v>
      </c>
      <c r="D16" s="54">
        <v>-2827</v>
      </c>
      <c r="E16" s="54">
        <v>-2706</v>
      </c>
      <c r="F16" s="54">
        <v>-2719</v>
      </c>
      <c r="G16" s="54">
        <f>SUM(C16:F16)</f>
        <v>-11624</v>
      </c>
      <c r="H16" s="54">
        <v>-5973</v>
      </c>
      <c r="I16" s="54">
        <v>-2920</v>
      </c>
      <c r="J16" s="54">
        <v>-4031</v>
      </c>
      <c r="K16" s="54">
        <v>-3223</v>
      </c>
      <c r="L16" s="54">
        <f>SUM(H16:K16)</f>
        <v>-16147</v>
      </c>
      <c r="M16" s="54">
        <v>-3511</v>
      </c>
      <c r="N16" s="54">
        <v>-2892</v>
      </c>
      <c r="O16" s="54">
        <v>-2467</v>
      </c>
      <c r="P16" s="54">
        <v>-5532</v>
      </c>
      <c r="Q16" s="54">
        <f>SUM(M16:P16)</f>
        <v>-14402</v>
      </c>
      <c r="R16" s="54">
        <v>-2878</v>
      </c>
      <c r="S16" s="54">
        <v>-3511</v>
      </c>
      <c r="T16" s="54">
        <v>-2806</v>
      </c>
      <c r="U16" s="54">
        <v>-7921</v>
      </c>
      <c r="V16" s="54">
        <f>SUM(R16:U16)</f>
        <v>-17116</v>
      </c>
      <c r="W16" s="54">
        <v>-3420</v>
      </c>
      <c r="X16" s="54">
        <v>-4315</v>
      </c>
      <c r="Y16" s="54">
        <v>-3104</v>
      </c>
      <c r="Z16" s="54">
        <v>-8247</v>
      </c>
      <c r="AA16" s="54">
        <f>SUM(W16:Z16)</f>
        <v>-19086</v>
      </c>
      <c r="AB16" s="54">
        <v>-3580</v>
      </c>
      <c r="AC16" s="54">
        <v>-2569</v>
      </c>
      <c r="AD16" s="54">
        <v>-2627</v>
      </c>
      <c r="AE16" s="54">
        <v>-5334</v>
      </c>
      <c r="AF16" s="54">
        <f>SUM(AB16:AE16)</f>
        <v>-14110</v>
      </c>
      <c r="AG16" s="54">
        <v>-2917</v>
      </c>
      <c r="AH16" s="54">
        <v>-3526</v>
      </c>
      <c r="AI16" s="54">
        <v>-2436</v>
      </c>
      <c r="AJ16" s="54">
        <v>-7497</v>
      </c>
      <c r="AK16" s="54">
        <f>SUM(AG16:AJ16)</f>
        <v>-16376</v>
      </c>
      <c r="AL16" s="54">
        <v>-4907</v>
      </c>
      <c r="AM16" s="54">
        <v>-4383</v>
      </c>
      <c r="AN16" s="54">
        <v>-3950</v>
      </c>
      <c r="AO16" s="54">
        <v>-5731</v>
      </c>
      <c r="AP16" s="54">
        <f>SUM(AL16:AO16)</f>
        <v>-18971</v>
      </c>
      <c r="AQ16" s="54">
        <v>-5978</v>
      </c>
      <c r="AR16" s="54">
        <v>-4078</v>
      </c>
      <c r="AS16" s="54">
        <v>-3595</v>
      </c>
      <c r="AT16" s="54">
        <v>-4096</v>
      </c>
      <c r="AU16" s="54">
        <f>SUM(AQ16:AT16)</f>
        <v>-17747</v>
      </c>
      <c r="AV16" s="54">
        <v>-5574</v>
      </c>
      <c r="AW16" s="54">
        <v>-5740</v>
      </c>
      <c r="AX16" s="62">
        <v>-5132</v>
      </c>
      <c r="AY16" s="62">
        <f>'P&amp;L - Consolidado'!O10</f>
        <v>-7406</v>
      </c>
      <c r="AZ16" s="54">
        <f t="shared" si="15"/>
        <v>-23852</v>
      </c>
      <c r="BA16" s="62">
        <f>'P&amp;L - Consolidado'!M10</f>
        <v>-8545</v>
      </c>
      <c r="BB16" s="62">
        <f>'P&amp;L - Consolidado'!L10</f>
        <v>-9063</v>
      </c>
      <c r="BC16" s="62">
        <f>'P&amp;L - Consolidado'!J10</f>
        <v>-7301</v>
      </c>
      <c r="BD16" s="62">
        <f>'P&amp;L - Consolidado'!H10</f>
        <v>-5256</v>
      </c>
      <c r="BE16" s="54">
        <f t="shared" si="16"/>
        <v>-30165</v>
      </c>
      <c r="BF16" s="62">
        <f>'P&amp;L - Consolidado'!F10</f>
        <v>-8738</v>
      </c>
      <c r="BG16" s="62">
        <f>'P&amp;L - Consolidado'!E10</f>
        <v>-9018</v>
      </c>
    </row>
    <row r="17" spans="1:59" x14ac:dyDescent="0.35">
      <c r="A17" s="66" t="s">
        <v>485</v>
      </c>
      <c r="B17" s="67" t="s">
        <v>502</v>
      </c>
      <c r="C17" s="54">
        <v>-8778</v>
      </c>
      <c r="D17" s="54">
        <v>-16015</v>
      </c>
      <c r="E17" s="54">
        <v>-1526</v>
      </c>
      <c r="F17" s="54">
        <v>-2013</v>
      </c>
      <c r="G17" s="54">
        <f>SUM(C17:F17)</f>
        <v>-28332</v>
      </c>
      <c r="H17" s="54">
        <v>66515</v>
      </c>
      <c r="I17" s="54">
        <v>-15027</v>
      </c>
      <c r="J17" s="54">
        <v>24746</v>
      </c>
      <c r="K17" s="54">
        <v>-4597</v>
      </c>
      <c r="L17" s="54">
        <f>SUM(H17:K17)</f>
        <v>71637</v>
      </c>
      <c r="M17" s="54">
        <v>-1866</v>
      </c>
      <c r="N17" s="54">
        <v>-12181</v>
      </c>
      <c r="O17" s="54">
        <v>-45808</v>
      </c>
      <c r="P17" s="54">
        <v>-17645</v>
      </c>
      <c r="Q17" s="54">
        <f>SUM(M17:P17)</f>
        <v>-77500</v>
      </c>
      <c r="R17" s="54">
        <v>-21965</v>
      </c>
      <c r="S17" s="54">
        <v>-1545</v>
      </c>
      <c r="T17" s="54">
        <v>-12436</v>
      </c>
      <c r="U17" s="54">
        <v>3207</v>
      </c>
      <c r="V17" s="54">
        <f>SUM(R17:U17)</f>
        <v>-32739</v>
      </c>
      <c r="W17" s="54">
        <v>-5841</v>
      </c>
      <c r="X17" s="54">
        <v>1988</v>
      </c>
      <c r="Y17" s="54">
        <v>50859</v>
      </c>
      <c r="Z17" s="54">
        <v>23765</v>
      </c>
      <c r="AA17" s="54">
        <f>SUM(W17:Z17)</f>
        <v>70771</v>
      </c>
      <c r="AB17" s="54">
        <v>25764</v>
      </c>
      <c r="AC17" s="54">
        <v>-61064</v>
      </c>
      <c r="AD17" s="54">
        <v>-49618</v>
      </c>
      <c r="AE17" s="54">
        <v>-103516</v>
      </c>
      <c r="AF17" s="54">
        <f>SUM(AB17:AE17)</f>
        <v>-188434</v>
      </c>
      <c r="AG17" s="54">
        <v>-5692</v>
      </c>
      <c r="AH17" s="54">
        <v>202057</v>
      </c>
      <c r="AI17" s="54">
        <v>26522</v>
      </c>
      <c r="AJ17" s="54">
        <v>61425</v>
      </c>
      <c r="AK17" s="54">
        <f>SUM(AG17:AJ17)</f>
        <v>284312</v>
      </c>
      <c r="AL17" s="54">
        <v>-26918</v>
      </c>
      <c r="AM17" s="54">
        <v>54834</v>
      </c>
      <c r="AN17" s="54">
        <v>78853</v>
      </c>
      <c r="AO17" s="54">
        <v>42417</v>
      </c>
      <c r="AP17" s="54">
        <f>SUM(AL17:AO17)</f>
        <v>149186</v>
      </c>
      <c r="AQ17" s="54">
        <v>3676</v>
      </c>
      <c r="AR17" s="54">
        <v>10486</v>
      </c>
      <c r="AS17" s="54">
        <v>12574</v>
      </c>
      <c r="AT17" s="54">
        <v>-9199</v>
      </c>
      <c r="AU17" s="54">
        <f>SUM(AQ17:AT17)</f>
        <v>17537</v>
      </c>
      <c r="AV17" s="54">
        <v>-5657</v>
      </c>
      <c r="AW17" s="54">
        <v>-25158</v>
      </c>
      <c r="AX17" s="62">
        <v>14429</v>
      </c>
      <c r="AY17" s="62">
        <f>'P&amp;L - Consolidado'!O12</f>
        <v>-7745</v>
      </c>
      <c r="AZ17" s="54">
        <f t="shared" si="15"/>
        <v>-24131</v>
      </c>
      <c r="BA17" s="62">
        <f>'P&amp;L - Consolidado'!M12</f>
        <v>-6068</v>
      </c>
      <c r="BB17" s="62">
        <f>'P&amp;L - Consolidado'!L12</f>
        <v>-2517</v>
      </c>
      <c r="BC17" s="62">
        <f>'P&amp;L - Consolidado'!J12</f>
        <v>-39348</v>
      </c>
      <c r="BD17" s="62">
        <f>'P&amp;L - Consolidado'!H12</f>
        <v>-6677</v>
      </c>
      <c r="BE17" s="54">
        <f t="shared" si="16"/>
        <v>-54610</v>
      </c>
      <c r="BF17" s="62">
        <f>'P&amp;L - Consolidado'!F12</f>
        <v>-13934</v>
      </c>
      <c r="BG17" s="62">
        <f>SUM('P&amp;L - Consolidado'!E12:E13)</f>
        <v>2576</v>
      </c>
    </row>
    <row r="18" spans="1:59" x14ac:dyDescent="0.35">
      <c r="A18" s="66"/>
      <c r="B18" s="67"/>
      <c r="C18" s="54">
        <f t="shared" ref="C18:AA18" si="17">SUM(C14:C17)</f>
        <v>-117019</v>
      </c>
      <c r="D18" s="54">
        <f t="shared" si="17"/>
        <v>-122288</v>
      </c>
      <c r="E18" s="54">
        <f t="shared" si="17"/>
        <v>-127029</v>
      </c>
      <c r="F18" s="54">
        <f t="shared" si="17"/>
        <v>-146738</v>
      </c>
      <c r="G18" s="54">
        <f t="shared" si="17"/>
        <v>-513074</v>
      </c>
      <c r="H18" s="54">
        <f t="shared" si="17"/>
        <v>-70578</v>
      </c>
      <c r="I18" s="54">
        <f t="shared" si="17"/>
        <v>-146420</v>
      </c>
      <c r="J18" s="54">
        <f t="shared" si="17"/>
        <v>-106152</v>
      </c>
      <c r="K18" s="54">
        <f t="shared" si="17"/>
        <v>-140517</v>
      </c>
      <c r="L18" s="54">
        <f t="shared" si="17"/>
        <v>-463667</v>
      </c>
      <c r="M18" s="54">
        <f t="shared" si="17"/>
        <v>-131577</v>
      </c>
      <c r="N18" s="54">
        <f t="shared" si="17"/>
        <v>-153600</v>
      </c>
      <c r="O18" s="54">
        <f t="shared" si="17"/>
        <v>-175463</v>
      </c>
      <c r="P18" s="54">
        <f t="shared" si="17"/>
        <v>-177825</v>
      </c>
      <c r="Q18" s="54">
        <f t="shared" si="17"/>
        <v>-638465</v>
      </c>
      <c r="R18" s="54">
        <f t="shared" si="17"/>
        <v>-150324</v>
      </c>
      <c r="S18" s="54">
        <f t="shared" si="17"/>
        <v>-139512</v>
      </c>
      <c r="T18" s="54">
        <f t="shared" si="17"/>
        <v>-155244</v>
      </c>
      <c r="U18" s="54">
        <f t="shared" si="17"/>
        <v>-157246</v>
      </c>
      <c r="V18" s="54">
        <f t="shared" si="17"/>
        <v>-602326</v>
      </c>
      <c r="W18" s="54">
        <f t="shared" si="17"/>
        <v>-146815</v>
      </c>
      <c r="X18" s="54">
        <f t="shared" si="17"/>
        <v>-131170</v>
      </c>
      <c r="Y18" s="54">
        <f t="shared" si="17"/>
        <v>-86036</v>
      </c>
      <c r="Z18" s="54">
        <f t="shared" si="17"/>
        <v>-121040</v>
      </c>
      <c r="AA18" s="54">
        <f t="shared" si="17"/>
        <v>-485061</v>
      </c>
      <c r="AB18" s="54">
        <v>-104492</v>
      </c>
      <c r="AC18" s="54">
        <f>SUM(AC14:AC17)</f>
        <v>-193429</v>
      </c>
      <c r="AD18" s="54">
        <f>SUM(AD14:AD17)</f>
        <v>-184735</v>
      </c>
      <c r="AE18" s="54">
        <f>SUM(AE14:AE17)</f>
        <v>-269421</v>
      </c>
      <c r="AF18" s="54">
        <f>SUM(AF14:AF17)</f>
        <v>-752077</v>
      </c>
      <c r="AG18" s="54">
        <v>-187566</v>
      </c>
      <c r="AH18" s="54">
        <f>SUM(AH14:AH17)</f>
        <v>22921</v>
      </c>
      <c r="AI18" s="54">
        <f>SUM(AI14:AI17)</f>
        <v>-148495</v>
      </c>
      <c r="AJ18" s="54">
        <f>SUM(AJ14:AJ17)</f>
        <v>-143377</v>
      </c>
      <c r="AK18" s="54">
        <f>SUM(AK14:AK17)</f>
        <v>-456517</v>
      </c>
      <c r="AL18" s="54">
        <f t="shared" ref="AL18:AN18" si="18">SUM(AL14:AL17)</f>
        <v>-195773</v>
      </c>
      <c r="AM18" s="54">
        <f t="shared" si="18"/>
        <v>-126779</v>
      </c>
      <c r="AN18" s="54">
        <f t="shared" si="18"/>
        <v>-103220</v>
      </c>
      <c r="AO18" s="54">
        <f>SUM(AO14:AO17)</f>
        <v>-167631</v>
      </c>
      <c r="AP18" s="54">
        <f>SUM(AP14:AP17)</f>
        <v>-593403</v>
      </c>
      <c r="AQ18" s="54">
        <f t="shared" ref="AQ18:AV18" si="19">SUM(AQ14:AQ17)</f>
        <v>-181183</v>
      </c>
      <c r="AR18" s="54">
        <f t="shared" si="19"/>
        <v>-182412</v>
      </c>
      <c r="AS18" s="54">
        <f t="shared" si="19"/>
        <v>-170696</v>
      </c>
      <c r="AT18" s="54">
        <f t="shared" si="19"/>
        <v>-205751</v>
      </c>
      <c r="AU18" s="54">
        <f>SUM(AU14:AU17)</f>
        <v>-740042</v>
      </c>
      <c r="AV18" s="54">
        <f t="shared" si="19"/>
        <v>-184054</v>
      </c>
      <c r="AW18" s="54">
        <v>-216379</v>
      </c>
      <c r="AX18" s="62">
        <f>SUM(AX14:AX17)</f>
        <v>-178245</v>
      </c>
      <c r="AY18" s="62">
        <f>SUM(AY14:AY17)</f>
        <v>-243988</v>
      </c>
      <c r="AZ18" s="54">
        <f t="shared" si="15"/>
        <v>-822666</v>
      </c>
      <c r="BA18" s="62">
        <f>SUM(BA14:BA17)</f>
        <v>-232169</v>
      </c>
      <c r="BB18" s="62">
        <f>SUM(BB14:BB17)</f>
        <v>-246537</v>
      </c>
      <c r="BC18" s="62">
        <f>SUM(BC14:BC17)</f>
        <v>-249578</v>
      </c>
      <c r="BD18" s="62">
        <f>SUM(BD14:BD17)</f>
        <v>-231293</v>
      </c>
      <c r="BE18" s="54">
        <f t="shared" si="16"/>
        <v>-959577</v>
      </c>
      <c r="BF18" s="62">
        <f>SUM(BF14:BF17)</f>
        <v>-224253</v>
      </c>
      <c r="BG18" s="62">
        <f>SUM(BG14:BG17)</f>
        <v>-211264</v>
      </c>
    </row>
    <row r="19" spans="1:59" ht="15" thickBot="1" x14ac:dyDescent="0.4">
      <c r="A19" s="66" t="s">
        <v>330</v>
      </c>
      <c r="B19" s="67" t="s">
        <v>503</v>
      </c>
      <c r="C19" s="54">
        <v>-556</v>
      </c>
      <c r="D19" s="54">
        <v>75528</v>
      </c>
      <c r="E19" s="54">
        <v>484</v>
      </c>
      <c r="F19" s="54">
        <v>-4808</v>
      </c>
      <c r="G19" s="54">
        <f>SUM(C19:F19)</f>
        <v>70648</v>
      </c>
      <c r="H19" s="54">
        <v>-2929</v>
      </c>
      <c r="I19" s="54">
        <v>-8714</v>
      </c>
      <c r="J19" s="54">
        <v>-14059</v>
      </c>
      <c r="K19" s="54">
        <v>-3097</v>
      </c>
      <c r="L19" s="54">
        <f>SUM(H19:K19)</f>
        <v>-28799</v>
      </c>
      <c r="M19" s="54">
        <v>4844</v>
      </c>
      <c r="N19" s="54">
        <v>-23749</v>
      </c>
      <c r="O19" s="54">
        <v>1019</v>
      </c>
      <c r="P19" s="54">
        <v>-2071</v>
      </c>
      <c r="Q19" s="54">
        <f>SUM(M19:P19)</f>
        <v>-19957</v>
      </c>
      <c r="R19" s="54">
        <v>2599</v>
      </c>
      <c r="S19" s="54">
        <v>-8288</v>
      </c>
      <c r="T19" s="54">
        <v>-4416</v>
      </c>
      <c r="U19" s="54">
        <v>-4352</v>
      </c>
      <c r="V19" s="54">
        <f>SUM(R19:U19)</f>
        <v>-14457</v>
      </c>
      <c r="W19" s="54">
        <v>-7728</v>
      </c>
      <c r="X19" s="54">
        <v>-3753</v>
      </c>
      <c r="Y19" s="54">
        <v>-9917</v>
      </c>
      <c r="Z19" s="54">
        <v>-2504</v>
      </c>
      <c r="AA19" s="54">
        <f>SUM(W19:Z19)</f>
        <v>-23902</v>
      </c>
      <c r="AB19" s="54">
        <v>5632</v>
      </c>
      <c r="AC19" s="54">
        <v>-2269</v>
      </c>
      <c r="AD19" s="54">
        <v>539</v>
      </c>
      <c r="AE19" s="54">
        <v>-1859</v>
      </c>
      <c r="AF19" s="54">
        <f>SUM(AB19:AE19)</f>
        <v>2043</v>
      </c>
      <c r="AG19" s="54">
        <v>931</v>
      </c>
      <c r="AH19" s="54">
        <v>10652</v>
      </c>
      <c r="AI19" s="54">
        <v>7568</v>
      </c>
      <c r="AJ19" s="54">
        <v>14728</v>
      </c>
      <c r="AK19" s="54">
        <f>SUM(AG19:AJ19)</f>
        <v>33879</v>
      </c>
      <c r="AL19" s="54">
        <v>4674</v>
      </c>
      <c r="AM19" s="54">
        <v>6024</v>
      </c>
      <c r="AN19" s="54">
        <v>9760.5821186495214</v>
      </c>
      <c r="AO19" s="54">
        <v>9986</v>
      </c>
      <c r="AP19" s="54">
        <f>SUM(AL19:AO19)</f>
        <v>30444.582118649523</v>
      </c>
      <c r="AQ19" s="54">
        <v>5857</v>
      </c>
      <c r="AR19" s="54">
        <v>3309</v>
      </c>
      <c r="AS19" s="54">
        <v>6410</v>
      </c>
      <c r="AT19" s="54">
        <v>-1203</v>
      </c>
      <c r="AU19" s="54">
        <f>SUM(AQ19:AT19)</f>
        <v>14373</v>
      </c>
      <c r="AV19" s="54">
        <v>815</v>
      </c>
      <c r="AW19" s="54">
        <v>6256</v>
      </c>
      <c r="AX19" s="62">
        <v>7072</v>
      </c>
      <c r="AY19" s="62">
        <f>'P&amp;L - Consolidado'!O14</f>
        <v>8126</v>
      </c>
      <c r="AZ19" s="54">
        <f t="shared" si="15"/>
        <v>22269</v>
      </c>
      <c r="BA19" s="62">
        <f>'P&amp;L - Consolidado'!M14</f>
        <v>5466</v>
      </c>
      <c r="BB19" s="62">
        <f>'P&amp;L - Consolidado'!L14</f>
        <v>18776</v>
      </c>
      <c r="BC19" s="62">
        <f>'P&amp;L - Consolidado'!J14</f>
        <v>11175</v>
      </c>
      <c r="BD19" s="62">
        <f>'P&amp;L - Consolidado'!H14</f>
        <v>15302</v>
      </c>
      <c r="BE19" s="54">
        <f t="shared" si="16"/>
        <v>50719</v>
      </c>
      <c r="BF19" s="62">
        <f>'P&amp;L - Consolidado'!F14</f>
        <v>1538</v>
      </c>
      <c r="BG19" s="62">
        <f>'P&amp;L - Consolidado'!E14</f>
        <v>9434</v>
      </c>
    </row>
    <row r="20" spans="1:59" ht="15" thickBot="1" x14ac:dyDescent="0.4">
      <c r="A20" s="78" t="s">
        <v>486</v>
      </c>
      <c r="B20" s="79" t="s">
        <v>504</v>
      </c>
      <c r="C20" s="70">
        <f>C18+C19+C11</f>
        <v>72907.77326742583</v>
      </c>
      <c r="D20" s="70">
        <f>D18+D19+D11</f>
        <v>171545.08377880789</v>
      </c>
      <c r="E20" s="70">
        <f>E18+E19+E11</f>
        <v>124889.10280670947</v>
      </c>
      <c r="F20" s="70">
        <f>F18+F19+F11</f>
        <v>80260.165311470162</v>
      </c>
      <c r="G20" s="70">
        <f>SUM(C20:F20)</f>
        <v>449602.12516441336</v>
      </c>
      <c r="H20" s="70">
        <f>H18+H19+H11</f>
        <v>153075.0713926719</v>
      </c>
      <c r="I20" s="70">
        <f>I18+I19+I11</f>
        <v>101123.00141831487</v>
      </c>
      <c r="J20" s="70">
        <f>J18+J19+J11</f>
        <v>114176.25127318688</v>
      </c>
      <c r="K20" s="70">
        <f>K18+K19+K11</f>
        <v>110947.61135425675</v>
      </c>
      <c r="L20" s="70">
        <f>SUM(H20:K20)</f>
        <v>479321.9354384304</v>
      </c>
      <c r="M20" s="70">
        <f>M18+M19+M11</f>
        <v>116046.09753567632</v>
      </c>
      <c r="N20" s="70">
        <f>N18+N19+N11</f>
        <v>120859.28353727818</v>
      </c>
      <c r="O20" s="70">
        <f>O18+O19+O11</f>
        <v>143985.57855377207</v>
      </c>
      <c r="P20" s="70">
        <f>P18+P19+P11</f>
        <v>115664.72467908962</v>
      </c>
      <c r="Q20" s="70">
        <f>SUM(M20:P20)</f>
        <v>496555.68430581619</v>
      </c>
      <c r="R20" s="70">
        <f>R18+R19+R11</f>
        <v>147127.88880546391</v>
      </c>
      <c r="S20" s="70">
        <f>S18+S19+S11</f>
        <v>189991.4507870283</v>
      </c>
      <c r="T20" s="70">
        <f>T18+T19+T11</f>
        <v>219722.09999999998</v>
      </c>
      <c r="U20" s="70">
        <f>U18+U19+U11</f>
        <v>144651.02045601048</v>
      </c>
      <c r="V20" s="70">
        <f>SUM(R20:U20)</f>
        <v>701492.46004850266</v>
      </c>
      <c r="W20" s="70">
        <f>W18+W19+W11</f>
        <v>143765.43311043642</v>
      </c>
      <c r="X20" s="70">
        <f>X18+X19+X11</f>
        <v>201652.0532058375</v>
      </c>
      <c r="Y20" s="70">
        <f>Y18+Y19+Y11</f>
        <v>226737.2778989207</v>
      </c>
      <c r="Z20" s="70">
        <f>Z18+Z19+Z11</f>
        <v>104099.20336215105</v>
      </c>
      <c r="AA20" s="70">
        <f>SUM(W20:Z20)</f>
        <v>676253.96757734567</v>
      </c>
      <c r="AB20" s="70">
        <v>85496.297901725862</v>
      </c>
      <c r="AC20" s="70">
        <f>AC18+AC19+AC11</f>
        <v>-332034.29790172563</v>
      </c>
      <c r="AD20" s="70">
        <f>AD18+AD19+AD11</f>
        <v>71479.35391853936</v>
      </c>
      <c r="AE20" s="70">
        <f>AE18+AE19+AE11</f>
        <v>-9662</v>
      </c>
      <c r="AF20" s="70">
        <f>SUM(AB20:AE20)</f>
        <v>-184720.64608146041</v>
      </c>
      <c r="AG20" s="70">
        <v>223081</v>
      </c>
      <c r="AH20" s="70">
        <f>AH18+AH19+AH11</f>
        <v>454290.51670642011</v>
      </c>
      <c r="AI20" s="70">
        <f>AI18+AI19+AI11</f>
        <v>354663.69733482646</v>
      </c>
      <c r="AJ20" s="70">
        <f>AJ18+AJ19+AJ11</f>
        <v>249449</v>
      </c>
      <c r="AK20" s="70">
        <f>SUM(AG20:AJ20)</f>
        <v>1281484.2140412466</v>
      </c>
      <c r="AL20" s="70">
        <f t="shared" ref="AL20:AN20" si="20">AL18+AL19+AL11</f>
        <v>419901.02047020476</v>
      </c>
      <c r="AM20" s="70">
        <f t="shared" si="20"/>
        <v>413895.23186276993</v>
      </c>
      <c r="AN20" s="70">
        <f t="shared" si="20"/>
        <v>245496.72225339012</v>
      </c>
      <c r="AO20" s="70">
        <f>AO18+AO19+AO11</f>
        <v>166390.50956068188</v>
      </c>
      <c r="AP20" s="70">
        <f>SUM(AL20:AO20)</f>
        <v>1245683.4841470467</v>
      </c>
      <c r="AQ20" s="70">
        <f t="shared" ref="AQ20:AV20" si="21">AQ18+AQ19+AQ11</f>
        <v>165760.09745485196</v>
      </c>
      <c r="AR20" s="70">
        <f t="shared" si="21"/>
        <v>245625.0732633681</v>
      </c>
      <c r="AS20" s="70">
        <f t="shared" si="21"/>
        <v>197905.07783364737</v>
      </c>
      <c r="AT20" s="70">
        <f t="shared" si="21"/>
        <v>173285.27386369184</v>
      </c>
      <c r="AU20" s="70">
        <f>SUM(AQ20:AT20)</f>
        <v>782575.52241555927</v>
      </c>
      <c r="AV20" s="70">
        <f t="shared" si="21"/>
        <v>200889.75711928587</v>
      </c>
      <c r="AW20" s="70">
        <v>266433</v>
      </c>
      <c r="AX20" s="80">
        <f>AX11+AX18+AX19</f>
        <v>306564</v>
      </c>
      <c r="AY20" s="80">
        <f>AY11+AY18+AY19</f>
        <v>247149</v>
      </c>
      <c r="AZ20" s="70">
        <f>SUM(AV20:AY20)</f>
        <v>1021035.7571192859</v>
      </c>
      <c r="BA20" s="70">
        <f t="shared" ref="BA20:BB20" si="22">BA18+BA19+BA11</f>
        <v>217029</v>
      </c>
      <c r="BB20" s="70">
        <f t="shared" si="22"/>
        <v>306856</v>
      </c>
      <c r="BC20" s="70">
        <f t="shared" ref="BC20:BD20" si="23">BC18+BC19+BC11</f>
        <v>221912</v>
      </c>
      <c r="BD20" s="70">
        <f t="shared" si="23"/>
        <v>196117</v>
      </c>
      <c r="BE20" s="70">
        <f>SUM(BA20:BD20)</f>
        <v>941914</v>
      </c>
      <c r="BF20" s="70">
        <f t="shared" ref="BF20:BG20" si="24">BF18+BF19+BF11</f>
        <v>218823</v>
      </c>
      <c r="BG20" s="70">
        <f t="shared" si="24"/>
        <v>283713</v>
      </c>
    </row>
    <row r="21" spans="1:59" x14ac:dyDescent="0.35">
      <c r="A21" s="81"/>
      <c r="B21" s="82"/>
      <c r="C21" s="73">
        <f t="shared" ref="C21:AA21" si="25">C20/C5</f>
        <v>4.6872879235259741E-2</v>
      </c>
      <c r="D21" s="73">
        <f t="shared" si="25"/>
        <v>0.10302668183533929</v>
      </c>
      <c r="E21" s="73">
        <f t="shared" si="25"/>
        <v>6.9758272571254915E-2</v>
      </c>
      <c r="F21" s="73">
        <f t="shared" si="25"/>
        <v>4.3722960884949251E-2</v>
      </c>
      <c r="G21" s="74">
        <f t="shared" si="25"/>
        <v>6.5669321024622279E-2</v>
      </c>
      <c r="H21" s="74">
        <f t="shared" si="25"/>
        <v>8.5883507845326112E-2</v>
      </c>
      <c r="I21" s="74">
        <f t="shared" si="25"/>
        <v>5.7452090116776384E-2</v>
      </c>
      <c r="J21" s="74">
        <f t="shared" si="25"/>
        <v>7.1560950788234851E-2</v>
      </c>
      <c r="K21" s="74">
        <f t="shared" si="25"/>
        <v>6.6100876669764788E-2</v>
      </c>
      <c r="L21" s="74">
        <f t="shared" si="25"/>
        <v>7.0318370143542433E-2</v>
      </c>
      <c r="M21" s="74">
        <f t="shared" si="25"/>
        <v>6.8301141069270085E-2</v>
      </c>
      <c r="N21" s="74">
        <f t="shared" si="25"/>
        <v>6.3549646752426428E-2</v>
      </c>
      <c r="O21" s="74">
        <f t="shared" si="25"/>
        <v>7.4509318279241454E-2</v>
      </c>
      <c r="P21" s="74">
        <f t="shared" si="25"/>
        <v>5.9174317512083845E-2</v>
      </c>
      <c r="Q21" s="74">
        <f t="shared" si="25"/>
        <v>6.6314061832288634E-2</v>
      </c>
      <c r="R21" s="74">
        <f t="shared" si="25"/>
        <v>6.8631021128126718E-2</v>
      </c>
      <c r="S21" s="74">
        <f t="shared" si="25"/>
        <v>7.9180095223361807E-2</v>
      </c>
      <c r="T21" s="74">
        <f t="shared" si="25"/>
        <v>8.3949589463991642E-2</v>
      </c>
      <c r="U21" s="74">
        <f t="shared" si="25"/>
        <v>5.8902943153873226E-2</v>
      </c>
      <c r="V21" s="74">
        <f t="shared" si="25"/>
        <v>7.2948278755527743E-2</v>
      </c>
      <c r="W21" s="74">
        <f t="shared" si="25"/>
        <v>5.8248987634079402E-2</v>
      </c>
      <c r="X21" s="74">
        <f t="shared" si="25"/>
        <v>7.5600685931306422E-2</v>
      </c>
      <c r="Y21" s="74">
        <f t="shared" si="25"/>
        <v>8.9185500081980798E-2</v>
      </c>
      <c r="Z21" s="74">
        <f t="shared" si="25"/>
        <v>4.4512823880158696E-2</v>
      </c>
      <c r="AA21" s="74">
        <f t="shared" si="25"/>
        <v>6.7514706396597346E-2</v>
      </c>
      <c r="AB21" s="74">
        <v>3.8432902642197043E-2</v>
      </c>
      <c r="AC21" s="74">
        <f>AC20/AC5</f>
        <v>-0.28334342958766323</v>
      </c>
      <c r="AD21" s="74">
        <f>AD20/AD5</f>
        <v>2.8423971915581218E-2</v>
      </c>
      <c r="AE21" s="74">
        <f>AE20/AE5</f>
        <v>-3.3908797897668568E-3</v>
      </c>
      <c r="AF21" s="74">
        <f>AF20/AF5</f>
        <v>-2.1085464559085713E-2</v>
      </c>
      <c r="AG21" s="74">
        <v>7.1201456961420911E-2</v>
      </c>
      <c r="AH21" s="74">
        <f>AH20/AH5</f>
        <v>0.14268445072729544</v>
      </c>
      <c r="AI21" s="74">
        <f>AI20/AI5</f>
        <v>9.8958112280495711E-2</v>
      </c>
      <c r="AJ21" s="74">
        <f>AJ20/AJ5</f>
        <v>6.5862687166163683E-2</v>
      </c>
      <c r="AK21" s="74">
        <f>AK20/AK5</f>
        <v>9.3618491288743583E-2</v>
      </c>
      <c r="AL21" s="74">
        <f t="shared" ref="AL21:AM21" si="26">AL20/AL5</f>
        <v>9.817214626847498E-2</v>
      </c>
      <c r="AM21" s="74">
        <f t="shared" si="26"/>
        <v>9.8725506027780352E-2</v>
      </c>
      <c r="AN21" s="74">
        <f>AN20/AN5</f>
        <v>5.6849803189001631E-2</v>
      </c>
      <c r="AO21" s="74">
        <f>AO20/AO5</f>
        <v>3.9998151316704596E-2</v>
      </c>
      <c r="AP21" s="74">
        <f>AP20/AP5</f>
        <v>7.3500891713704344E-2</v>
      </c>
      <c r="AQ21" s="74">
        <f t="shared" ref="AQ21:AV21" si="27">AQ20/AQ5</f>
        <v>4.1459168134599142E-2</v>
      </c>
      <c r="AR21" s="74">
        <f t="shared" si="27"/>
        <v>6.461772056461286E-2</v>
      </c>
      <c r="AS21" s="74">
        <f t="shared" si="27"/>
        <v>5.3890390964522673E-2</v>
      </c>
      <c r="AT21" s="74">
        <f t="shared" si="27"/>
        <v>4.9744574169403664E-2</v>
      </c>
      <c r="AU21" s="74">
        <f>AU20/AU5</f>
        <v>5.2327917771557979E-2</v>
      </c>
      <c r="AV21" s="74">
        <f t="shared" si="27"/>
        <v>5.5868417777821436E-2</v>
      </c>
      <c r="AW21" s="75">
        <v>6.9301154251921154E-2</v>
      </c>
      <c r="AX21" s="74">
        <f>AX20/AX5</f>
        <v>7.6980232640187149E-2</v>
      </c>
      <c r="AY21" s="74">
        <f t="shared" ref="AY21:BA21" si="28">AY20/AY5</f>
        <v>6.322391871696495E-2</v>
      </c>
      <c r="AZ21" s="74">
        <f t="shared" si="28"/>
        <v>6.659589163520882E-2</v>
      </c>
      <c r="BA21" s="74">
        <f t="shared" si="28"/>
        <v>5.5110778177016546E-2</v>
      </c>
      <c r="BB21" s="74">
        <f t="shared" ref="BB21:BD21" si="29">BB20/BB5</f>
        <v>7.4715946167586408E-2</v>
      </c>
      <c r="BC21" s="74">
        <f t="shared" si="29"/>
        <v>5.8361050484181172E-2</v>
      </c>
      <c r="BD21" s="74">
        <f t="shared" si="29"/>
        <v>5.5728989065448181E-2</v>
      </c>
      <c r="BE21" s="74">
        <f t="shared" ref="BE21:BF21" si="30">BE20/BE5</f>
        <v>6.129643913915022E-2</v>
      </c>
      <c r="BF21" s="74">
        <f t="shared" si="30"/>
        <v>5.7474090130808099E-2</v>
      </c>
      <c r="BG21" s="74">
        <f t="shared" ref="BG21" si="31">BG20/BG5</f>
        <v>7.0707818376212164E-2</v>
      </c>
    </row>
    <row r="22" spans="1:59" x14ac:dyDescent="0.35">
      <c r="A22" s="59" t="s">
        <v>334</v>
      </c>
      <c r="B22" s="60" t="s">
        <v>505</v>
      </c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63"/>
      <c r="AX22" s="84"/>
      <c r="AY22" s="63"/>
      <c r="AZ22" s="63"/>
      <c r="BA22" s="83"/>
      <c r="BB22" s="83"/>
      <c r="BC22" s="83"/>
      <c r="BD22" s="63"/>
      <c r="BE22" s="63"/>
      <c r="BF22" s="83"/>
      <c r="BG22" s="83"/>
    </row>
    <row r="23" spans="1:59" x14ac:dyDescent="0.35">
      <c r="A23" s="66" t="s">
        <v>336</v>
      </c>
      <c r="B23" s="67" t="s">
        <v>506</v>
      </c>
      <c r="C23" s="54">
        <v>14056</v>
      </c>
      <c r="D23" s="54">
        <v>5419</v>
      </c>
      <c r="E23" s="54">
        <v>8532</v>
      </c>
      <c r="F23" s="54">
        <v>9243</v>
      </c>
      <c r="G23" s="54">
        <f>SUM(C23:F23)</f>
        <v>37250</v>
      </c>
      <c r="H23" s="54">
        <v>7051</v>
      </c>
      <c r="I23" s="54">
        <v>36526</v>
      </c>
      <c r="J23" s="54">
        <v>5984</v>
      </c>
      <c r="K23" s="54">
        <v>8276</v>
      </c>
      <c r="L23" s="54">
        <f>SUM(H23:K23)</f>
        <v>57837</v>
      </c>
      <c r="M23" s="54">
        <v>7159</v>
      </c>
      <c r="N23" s="54">
        <v>16276</v>
      </c>
      <c r="O23" s="54">
        <v>8884</v>
      </c>
      <c r="P23" s="54">
        <v>22841</v>
      </c>
      <c r="Q23" s="54">
        <f>SUM(M23:P23)</f>
        <v>55160</v>
      </c>
      <c r="R23" s="54">
        <v>4767</v>
      </c>
      <c r="S23" s="54">
        <v>8750</v>
      </c>
      <c r="T23" s="54">
        <v>-2463</v>
      </c>
      <c r="U23" s="54">
        <v>3784</v>
      </c>
      <c r="V23" s="54">
        <f>SUM(R23:U23)</f>
        <v>14838</v>
      </c>
      <c r="W23" s="54">
        <v>5792</v>
      </c>
      <c r="X23" s="54">
        <v>4680</v>
      </c>
      <c r="Y23" s="54">
        <v>30214</v>
      </c>
      <c r="Z23" s="54">
        <v>24658</v>
      </c>
      <c r="AA23" s="54">
        <f>SUM(W23:Z23)</f>
        <v>65344</v>
      </c>
      <c r="AB23" s="54">
        <v>3421</v>
      </c>
      <c r="AC23" s="54">
        <v>7185</v>
      </c>
      <c r="AD23" s="54">
        <v>4346</v>
      </c>
      <c r="AE23" s="54">
        <v>18414</v>
      </c>
      <c r="AF23" s="54">
        <f>SUM(AB23:AE23)</f>
        <v>33366</v>
      </c>
      <c r="AG23" s="54">
        <v>4640</v>
      </c>
      <c r="AH23" s="54">
        <v>67079</v>
      </c>
      <c r="AI23" s="54">
        <v>9307</v>
      </c>
      <c r="AJ23" s="54">
        <v>16827</v>
      </c>
      <c r="AK23" s="54">
        <f>SUM(AG23:AJ23)</f>
        <v>97853</v>
      </c>
      <c r="AL23" s="54">
        <v>14402</v>
      </c>
      <c r="AM23" s="54">
        <v>24572</v>
      </c>
      <c r="AN23" s="54">
        <v>35162</v>
      </c>
      <c r="AO23" s="54">
        <v>40319</v>
      </c>
      <c r="AP23" s="54">
        <f>SUM(AL23:AO23)</f>
        <v>114455</v>
      </c>
      <c r="AQ23" s="54">
        <v>49720</v>
      </c>
      <c r="AR23" s="54">
        <v>54793</v>
      </c>
      <c r="AS23" s="54">
        <v>50098</v>
      </c>
      <c r="AT23" s="54">
        <v>61540</v>
      </c>
      <c r="AU23" s="54">
        <f>SUM(AQ23:AT23)</f>
        <v>216151</v>
      </c>
      <c r="AV23" s="54">
        <v>72201</v>
      </c>
      <c r="AW23" s="54">
        <v>44738</v>
      </c>
      <c r="AX23" s="62">
        <v>54759</v>
      </c>
      <c r="AY23" s="62">
        <f>'P&amp;L - Consolidado'!O17</f>
        <v>252694</v>
      </c>
      <c r="AZ23" s="54">
        <f>SUM(AV23:AY23)</f>
        <v>424392</v>
      </c>
      <c r="BA23" s="62">
        <f>'P&amp;L - Consolidado'!M17</f>
        <v>34229</v>
      </c>
      <c r="BB23" s="62">
        <f>'P&amp;L - Consolidado'!L17</f>
        <v>34225</v>
      </c>
      <c r="BC23" s="62">
        <f>'P&amp;L - Consolidado'!J17</f>
        <v>33630</v>
      </c>
      <c r="BD23" s="62">
        <f>'P&amp;L - Consolidado'!H17</f>
        <v>771438</v>
      </c>
      <c r="BE23" s="54">
        <f>SUM(BA23:BD23)</f>
        <v>873522</v>
      </c>
      <c r="BF23" s="62">
        <f>'P&amp;L - Consolidado'!F17</f>
        <v>28818</v>
      </c>
      <c r="BG23" s="62">
        <f>'P&amp;L - Consolidado'!E17</f>
        <v>30357</v>
      </c>
    </row>
    <row r="24" spans="1:59" x14ac:dyDescent="0.35">
      <c r="A24" s="66" t="s">
        <v>340</v>
      </c>
      <c r="B24" s="67" t="s">
        <v>507</v>
      </c>
      <c r="C24" s="54">
        <v>-73169</v>
      </c>
      <c r="D24" s="54">
        <v>-90804</v>
      </c>
      <c r="E24" s="54">
        <v>-93212</v>
      </c>
      <c r="F24" s="54">
        <v>-97169</v>
      </c>
      <c r="G24" s="54">
        <f>SUM(C24:F24)</f>
        <v>-354354</v>
      </c>
      <c r="H24" s="54">
        <v>-90135</v>
      </c>
      <c r="I24" s="54">
        <v>-111061</v>
      </c>
      <c r="J24" s="54">
        <v>-82632</v>
      </c>
      <c r="K24" s="54">
        <v>-98425</v>
      </c>
      <c r="L24" s="54">
        <f>SUM(H24:K24)</f>
        <v>-382253</v>
      </c>
      <c r="M24" s="54">
        <v>-73125</v>
      </c>
      <c r="N24" s="54">
        <v>-64987</v>
      </c>
      <c r="O24" s="54">
        <v>-159716</v>
      </c>
      <c r="P24" s="54">
        <v>-96796</v>
      </c>
      <c r="Q24" s="54">
        <f>SUM(M24:P24)</f>
        <v>-394624</v>
      </c>
      <c r="R24" s="54">
        <v>-66092</v>
      </c>
      <c r="S24" s="54">
        <v>-70317</v>
      </c>
      <c r="T24" s="54">
        <v>-49105</v>
      </c>
      <c r="U24" s="54">
        <v>-53900</v>
      </c>
      <c r="V24" s="54">
        <f>SUM(R24:U24)</f>
        <v>-239414</v>
      </c>
      <c r="W24" s="54">
        <v>-79180</v>
      </c>
      <c r="X24" s="54">
        <v>-51480</v>
      </c>
      <c r="Y24" s="54">
        <v>-54550</v>
      </c>
      <c r="Z24" s="54">
        <v>-44914</v>
      </c>
      <c r="AA24" s="54">
        <f>SUM(W24:Z24)</f>
        <v>-230124</v>
      </c>
      <c r="AB24" s="54">
        <v>-49399</v>
      </c>
      <c r="AC24" s="54">
        <v>-75746</v>
      </c>
      <c r="AD24" s="54">
        <v>-66936</v>
      </c>
      <c r="AE24" s="54">
        <v>-70350</v>
      </c>
      <c r="AF24" s="54">
        <f>SUM(AB24:AE24)</f>
        <v>-262431</v>
      </c>
      <c r="AG24" s="54">
        <v>-67805</v>
      </c>
      <c r="AH24" s="54">
        <v>-124670</v>
      </c>
      <c r="AI24" s="54">
        <v>-88614</v>
      </c>
      <c r="AJ24" s="54">
        <v>-108327</v>
      </c>
      <c r="AK24" s="54">
        <f>SUM(AG24:AJ24)</f>
        <v>-389416</v>
      </c>
      <c r="AL24" s="54">
        <v>-126473</v>
      </c>
      <c r="AM24" s="54">
        <v>-141675</v>
      </c>
      <c r="AN24" s="54">
        <v>-170613</v>
      </c>
      <c r="AO24" s="54">
        <v>-274592</v>
      </c>
      <c r="AP24" s="54">
        <f>SUM(AL24:AO24)</f>
        <v>-713353</v>
      </c>
      <c r="AQ24" s="54">
        <v>-177074</v>
      </c>
      <c r="AR24" s="54">
        <v>-156962</v>
      </c>
      <c r="AS24" s="54">
        <v>-174649</v>
      </c>
      <c r="AT24" s="54">
        <v>-193674</v>
      </c>
      <c r="AU24" s="54">
        <f>SUM(AQ24:AT24)</f>
        <v>-702359</v>
      </c>
      <c r="AV24" s="54">
        <v>-164427</v>
      </c>
      <c r="AW24" s="54">
        <v>-159714</v>
      </c>
      <c r="AX24" s="62">
        <v>-147954</v>
      </c>
      <c r="AY24" s="62">
        <f>'P&amp;L - Consolidado'!O21</f>
        <v>-169194</v>
      </c>
      <c r="AZ24" s="54">
        <f t="shared" ref="AZ24:AZ26" si="32">SUM(AV24:AY24)</f>
        <v>-641289</v>
      </c>
      <c r="BA24" s="62">
        <f>'P&amp;L - Consolidado'!M21</f>
        <v>-168261</v>
      </c>
      <c r="BB24" s="62">
        <f>'P&amp;L - Consolidado'!L21</f>
        <v>-159902</v>
      </c>
      <c r="BC24" s="62">
        <f>'P&amp;L - Consolidado'!J21</f>
        <v>-165639</v>
      </c>
      <c r="BD24" s="62">
        <f>'P&amp;L - Consolidado'!H21</f>
        <v>-166630</v>
      </c>
      <c r="BE24" s="54">
        <f t="shared" ref="BE24:BE26" si="33">SUM(BA24:BD24)</f>
        <v>-660432</v>
      </c>
      <c r="BF24" s="62">
        <f>'P&amp;L - Consolidado'!F21</f>
        <v>-155326</v>
      </c>
      <c r="BG24" s="62">
        <f>'P&amp;L - Consolidado'!E21</f>
        <v>-154863</v>
      </c>
    </row>
    <row r="25" spans="1:59" x14ac:dyDescent="0.35">
      <c r="A25" s="66" t="s">
        <v>383</v>
      </c>
      <c r="B25" s="67" t="s">
        <v>508</v>
      </c>
      <c r="C25" s="54">
        <v>8007</v>
      </c>
      <c r="D25" s="54">
        <v>-4262</v>
      </c>
      <c r="E25" s="54">
        <v>-12711</v>
      </c>
      <c r="F25" s="54">
        <v>9310</v>
      </c>
      <c r="G25" s="54">
        <f>SUM(C25:F25)</f>
        <v>344</v>
      </c>
      <c r="H25" s="54">
        <v>-14304</v>
      </c>
      <c r="I25" s="54">
        <v>-6403</v>
      </c>
      <c r="J25" s="54">
        <v>-9304</v>
      </c>
      <c r="K25" s="54">
        <v>9937</v>
      </c>
      <c r="L25" s="54">
        <f>SUM(H25:K25)</f>
        <v>-20074</v>
      </c>
      <c r="M25" s="54">
        <v>-2513</v>
      </c>
      <c r="N25" s="54">
        <v>-331</v>
      </c>
      <c r="O25" s="54">
        <v>1909</v>
      </c>
      <c r="P25" s="54">
        <v>-6809</v>
      </c>
      <c r="Q25" s="54">
        <f>SUM(M25:P25)</f>
        <v>-7744</v>
      </c>
      <c r="R25" s="54">
        <v>-3282</v>
      </c>
      <c r="S25" s="54">
        <v>-3280</v>
      </c>
      <c r="T25" s="54">
        <v>2419</v>
      </c>
      <c r="U25" s="54">
        <v>7900</v>
      </c>
      <c r="V25" s="54">
        <f>SUM(R25:U25)</f>
        <v>3757</v>
      </c>
      <c r="W25" s="54">
        <v>-4414</v>
      </c>
      <c r="X25" s="54">
        <v>-2904</v>
      </c>
      <c r="Y25" s="54">
        <v>231</v>
      </c>
      <c r="Z25" s="54">
        <v>1963</v>
      </c>
      <c r="AA25" s="54">
        <f>SUM(W25:Z25)</f>
        <v>-5124</v>
      </c>
      <c r="AB25" s="54">
        <v>-3602</v>
      </c>
      <c r="AC25" s="54">
        <v>-15560</v>
      </c>
      <c r="AD25" s="54">
        <v>20350</v>
      </c>
      <c r="AE25" s="54">
        <v>-5109</v>
      </c>
      <c r="AF25" s="54">
        <f>SUM(AB25:AE25)</f>
        <v>-3921</v>
      </c>
      <c r="AG25" s="54">
        <v>4123</v>
      </c>
      <c r="AH25" s="54">
        <v>-10952</v>
      </c>
      <c r="AI25" s="54">
        <v>551</v>
      </c>
      <c r="AJ25" s="54">
        <v>-26776</v>
      </c>
      <c r="AK25" s="54">
        <f>SUM(AG25:AJ25)</f>
        <v>-33054</v>
      </c>
      <c r="AL25" s="54">
        <v>-10181</v>
      </c>
      <c r="AM25" s="54">
        <v>4737</v>
      </c>
      <c r="AN25" s="54">
        <v>-2326</v>
      </c>
      <c r="AO25" s="54">
        <v>-10996</v>
      </c>
      <c r="AP25" s="54">
        <f>SUM(AL25:AO25)</f>
        <v>-18766</v>
      </c>
      <c r="AQ25" s="54">
        <v>-4535</v>
      </c>
      <c r="AR25" s="54">
        <v>-20239</v>
      </c>
      <c r="AS25" s="54">
        <v>5621</v>
      </c>
      <c r="AT25" s="54">
        <v>-12515</v>
      </c>
      <c r="AU25" s="54">
        <f>SUM(AQ25:AT25)</f>
        <v>-31668</v>
      </c>
      <c r="AV25" s="54">
        <v>-2930</v>
      </c>
      <c r="AW25" s="54">
        <v>-1502</v>
      </c>
      <c r="AX25" s="62">
        <v>-5991</v>
      </c>
      <c r="AY25" s="62">
        <f>'P&amp;L - Consolidado'!O22</f>
        <v>-208253</v>
      </c>
      <c r="AZ25" s="54">
        <f t="shared" si="32"/>
        <v>-218676</v>
      </c>
      <c r="BA25" s="62">
        <f>'P&amp;L - Consolidado'!M22</f>
        <v>-5959</v>
      </c>
      <c r="BB25" s="62">
        <f>'P&amp;L - Consolidado'!L22</f>
        <v>-25694</v>
      </c>
      <c r="BC25" s="62">
        <f>'P&amp;L - Consolidado'!J22</f>
        <v>-12557</v>
      </c>
      <c r="BD25" s="62">
        <f>'P&amp;L - Consolidado'!H22</f>
        <v>-747155</v>
      </c>
      <c r="BE25" s="54">
        <f t="shared" si="33"/>
        <v>-791365</v>
      </c>
      <c r="BF25" s="62">
        <f>'P&amp;L - Consolidado'!F22</f>
        <v>-19773</v>
      </c>
      <c r="BG25" s="62">
        <f>'P&amp;L - Consolidado'!E22</f>
        <v>7464</v>
      </c>
    </row>
    <row r="26" spans="1:59" ht="15" thickBot="1" x14ac:dyDescent="0.4">
      <c r="A26" s="66"/>
      <c r="B26" s="67"/>
      <c r="C26" s="54">
        <f t="shared" ref="C26:AA26" si="34">SUM(C23:C25)</f>
        <v>-51106</v>
      </c>
      <c r="D26" s="54">
        <f t="shared" si="34"/>
        <v>-89647</v>
      </c>
      <c r="E26" s="54">
        <f t="shared" si="34"/>
        <v>-97391</v>
      </c>
      <c r="F26" s="54">
        <f t="shared" si="34"/>
        <v>-78616</v>
      </c>
      <c r="G26" s="54">
        <f t="shared" si="34"/>
        <v>-316760</v>
      </c>
      <c r="H26" s="54">
        <f t="shared" si="34"/>
        <v>-97388</v>
      </c>
      <c r="I26" s="54">
        <f t="shared" si="34"/>
        <v>-80938</v>
      </c>
      <c r="J26" s="54">
        <f t="shared" si="34"/>
        <v>-85952</v>
      </c>
      <c r="K26" s="54">
        <f t="shared" si="34"/>
        <v>-80212</v>
      </c>
      <c r="L26" s="54">
        <f t="shared" si="34"/>
        <v>-344490</v>
      </c>
      <c r="M26" s="54">
        <f t="shared" si="34"/>
        <v>-68479</v>
      </c>
      <c r="N26" s="54">
        <f t="shared" si="34"/>
        <v>-49042</v>
      </c>
      <c r="O26" s="54">
        <f t="shared" si="34"/>
        <v>-148923</v>
      </c>
      <c r="P26" s="54">
        <f t="shared" si="34"/>
        <v>-80764</v>
      </c>
      <c r="Q26" s="54">
        <f t="shared" si="34"/>
        <v>-347208</v>
      </c>
      <c r="R26" s="54">
        <f t="shared" si="34"/>
        <v>-64607</v>
      </c>
      <c r="S26" s="54">
        <f t="shared" si="34"/>
        <v>-64847</v>
      </c>
      <c r="T26" s="54">
        <f t="shared" si="34"/>
        <v>-49149</v>
      </c>
      <c r="U26" s="54">
        <f t="shared" si="34"/>
        <v>-42216</v>
      </c>
      <c r="V26" s="54">
        <f t="shared" si="34"/>
        <v>-220819</v>
      </c>
      <c r="W26" s="54">
        <f t="shared" si="34"/>
        <v>-77802</v>
      </c>
      <c r="X26" s="54">
        <f t="shared" si="34"/>
        <v>-49704</v>
      </c>
      <c r="Y26" s="54">
        <f t="shared" si="34"/>
        <v>-24105</v>
      </c>
      <c r="Z26" s="54">
        <f t="shared" si="34"/>
        <v>-18293</v>
      </c>
      <c r="AA26" s="54">
        <f t="shared" si="34"/>
        <v>-169904</v>
      </c>
      <c r="AB26" s="54">
        <v>-49580</v>
      </c>
      <c r="AC26" s="54">
        <f>SUM(AC23:AC25)</f>
        <v>-84121</v>
      </c>
      <c r="AD26" s="54">
        <f>SUM(AD23:AD25)</f>
        <v>-42240</v>
      </c>
      <c r="AE26" s="54">
        <f>SUM(AE23:AE25)</f>
        <v>-57045</v>
      </c>
      <c r="AF26" s="54">
        <f>SUM(AF23:AF25)</f>
        <v>-232986</v>
      </c>
      <c r="AG26" s="54">
        <v>-59042</v>
      </c>
      <c r="AH26" s="54">
        <f>SUM(AH23:AH25)</f>
        <v>-68543</v>
      </c>
      <c r="AI26" s="54">
        <f>SUM(AI23:AI25)</f>
        <v>-78756</v>
      </c>
      <c r="AJ26" s="54">
        <f>SUM(AJ23:AJ25)</f>
        <v>-118276</v>
      </c>
      <c r="AK26" s="54">
        <f>SUM(AK23:AK25)</f>
        <v>-324617</v>
      </c>
      <c r="AL26" s="54">
        <f t="shared" ref="AL26:AN26" si="35">SUM(AL23:AL25)</f>
        <v>-122252</v>
      </c>
      <c r="AM26" s="54">
        <f t="shared" si="35"/>
        <v>-112366</v>
      </c>
      <c r="AN26" s="54">
        <f t="shared" si="35"/>
        <v>-137777</v>
      </c>
      <c r="AO26" s="54">
        <f>SUM(AO23:AO25)</f>
        <v>-245269</v>
      </c>
      <c r="AP26" s="54">
        <f>SUM(AP23:AP25)</f>
        <v>-617664</v>
      </c>
      <c r="AQ26" s="54">
        <f t="shared" ref="AQ26:AV26" si="36">SUM(AQ23:AQ25)</f>
        <v>-131889</v>
      </c>
      <c r="AR26" s="54">
        <f t="shared" si="36"/>
        <v>-122408</v>
      </c>
      <c r="AS26" s="54">
        <f t="shared" si="36"/>
        <v>-118930</v>
      </c>
      <c r="AT26" s="54">
        <f t="shared" si="36"/>
        <v>-144649</v>
      </c>
      <c r="AU26" s="54">
        <f>SUM(AU23:AU25)</f>
        <v>-517876</v>
      </c>
      <c r="AV26" s="54">
        <f t="shared" si="36"/>
        <v>-95156</v>
      </c>
      <c r="AW26" s="54">
        <v>-116478</v>
      </c>
      <c r="AX26" s="62">
        <f>SUM(AX23:AX25)</f>
        <v>-99186</v>
      </c>
      <c r="AY26" s="62">
        <f>SUM(AY23:AY25)</f>
        <v>-124753</v>
      </c>
      <c r="AZ26" s="54">
        <f t="shared" si="32"/>
        <v>-435573</v>
      </c>
      <c r="BA26" s="62">
        <f>SUM(BA23:BA25)</f>
        <v>-139991</v>
      </c>
      <c r="BB26" s="62">
        <f>SUM(BB23:BB25)</f>
        <v>-151371</v>
      </c>
      <c r="BC26" s="62">
        <f>SUM(BC23:BC25)</f>
        <v>-144566</v>
      </c>
      <c r="BD26" s="62">
        <f>SUM(BD23:BD25)</f>
        <v>-142347</v>
      </c>
      <c r="BE26" s="54">
        <f t="shared" si="33"/>
        <v>-578275</v>
      </c>
      <c r="BF26" s="62">
        <f>SUM(BF23:BF25)</f>
        <v>-146281</v>
      </c>
      <c r="BG26" s="62">
        <f>SUM(BG23:BG25)</f>
        <v>-117042</v>
      </c>
    </row>
    <row r="27" spans="1:59" ht="15" thickBot="1" x14ac:dyDescent="0.4">
      <c r="A27" s="78" t="s">
        <v>487</v>
      </c>
      <c r="B27" s="79" t="s">
        <v>509</v>
      </c>
      <c r="C27" s="70">
        <f>C20+C26</f>
        <v>21801.77326742583</v>
      </c>
      <c r="D27" s="70">
        <f>D20+D26</f>
        <v>81898.083778807893</v>
      </c>
      <c r="E27" s="70">
        <f>E20+E26</f>
        <v>27498.102806709474</v>
      </c>
      <c r="F27" s="70">
        <f>F20+F26</f>
        <v>1644.1653114701621</v>
      </c>
      <c r="G27" s="70">
        <f>SUM(C27:F27)</f>
        <v>132842.12516441336</v>
      </c>
      <c r="H27" s="70">
        <f>H20+H26</f>
        <v>55687.071392671904</v>
      </c>
      <c r="I27" s="70">
        <f>I20+I26</f>
        <v>20185.001418314874</v>
      </c>
      <c r="J27" s="70">
        <f>J20+J26</f>
        <v>28224.251273186877</v>
      </c>
      <c r="K27" s="70">
        <f>K20+K26</f>
        <v>30735.611354256747</v>
      </c>
      <c r="L27" s="70">
        <f>SUM(H27:K27)</f>
        <v>134831.9354384304</v>
      </c>
      <c r="M27" s="70">
        <f>M20+M26</f>
        <v>47567.097535676323</v>
      </c>
      <c r="N27" s="70">
        <f>N20+N26</f>
        <v>71817.283537278185</v>
      </c>
      <c r="O27" s="70">
        <f>O20+O26</f>
        <v>-4937.4214462279342</v>
      </c>
      <c r="P27" s="70">
        <f>P20+P26</f>
        <v>34900.724679089617</v>
      </c>
      <c r="Q27" s="70">
        <f>SUM(M27:P27)</f>
        <v>149347.68430581619</v>
      </c>
      <c r="R27" s="70">
        <f>R20+R26</f>
        <v>82520.88880546391</v>
      </c>
      <c r="S27" s="70">
        <f>S20+S26</f>
        <v>125144.4507870283</v>
      </c>
      <c r="T27" s="70">
        <f>T20+T26</f>
        <v>170573.09999999998</v>
      </c>
      <c r="U27" s="70">
        <f>U20+U26</f>
        <v>102435.02045601048</v>
      </c>
      <c r="V27" s="70">
        <f>SUM(R27:U27)</f>
        <v>480673.46004850266</v>
      </c>
      <c r="W27" s="70">
        <f>W20+W26</f>
        <v>65963.433110436425</v>
      </c>
      <c r="X27" s="70">
        <f>X20+X26</f>
        <v>151948.0532058375</v>
      </c>
      <c r="Y27" s="70">
        <f>Y20+Y26</f>
        <v>202632.2778989207</v>
      </c>
      <c r="Z27" s="70">
        <f>Z20+Z26</f>
        <v>85806.203362151049</v>
      </c>
      <c r="AA27" s="70">
        <f>SUM(W27:Z27)</f>
        <v>506349.96757734567</v>
      </c>
      <c r="AB27" s="70">
        <v>35916.297901725862</v>
      </c>
      <c r="AC27" s="70">
        <f>AC20+AC26</f>
        <v>-416155.29790172563</v>
      </c>
      <c r="AD27" s="70">
        <f>AD20+AD26</f>
        <v>29239.35391853936</v>
      </c>
      <c r="AE27" s="70">
        <f>AE20+AE26</f>
        <v>-66707</v>
      </c>
      <c r="AF27" s="70">
        <f>SUM(AB27:AE27)</f>
        <v>-417706.64608146041</v>
      </c>
      <c r="AG27" s="70">
        <v>164039</v>
      </c>
      <c r="AH27" s="70">
        <f>AH20+AH26</f>
        <v>385747.51670642011</v>
      </c>
      <c r="AI27" s="70">
        <f>AI20+AI26</f>
        <v>275907.69733482646</v>
      </c>
      <c r="AJ27" s="70">
        <f>AJ20+AJ26</f>
        <v>131173</v>
      </c>
      <c r="AK27" s="70">
        <f>SUM(AG27:AJ27)</f>
        <v>956867.21404124657</v>
      </c>
      <c r="AL27" s="70">
        <f t="shared" ref="AL27:AN27" si="37">AL20+AL26</f>
        <v>297649.02047020476</v>
      </c>
      <c r="AM27" s="70">
        <f t="shared" si="37"/>
        <v>301529.23186276993</v>
      </c>
      <c r="AN27" s="70">
        <f t="shared" si="37"/>
        <v>107719.72225339012</v>
      </c>
      <c r="AO27" s="70">
        <f>AO20+AO26</f>
        <v>-78878.49043931812</v>
      </c>
      <c r="AP27" s="70">
        <f>SUM(AL27:AO27)</f>
        <v>628019.48414704669</v>
      </c>
      <c r="AQ27" s="70">
        <f t="shared" ref="AQ27:AV27" si="38">AQ20+AQ26</f>
        <v>33871.097454851959</v>
      </c>
      <c r="AR27" s="70">
        <f t="shared" si="38"/>
        <v>123217.0732633681</v>
      </c>
      <c r="AS27" s="70">
        <f t="shared" si="38"/>
        <v>78975.077833647374</v>
      </c>
      <c r="AT27" s="70">
        <f t="shared" si="38"/>
        <v>28636.273863691837</v>
      </c>
      <c r="AU27" s="70">
        <f>SUM(AQ27:AT27)</f>
        <v>264699.52241555927</v>
      </c>
      <c r="AV27" s="70">
        <f t="shared" si="38"/>
        <v>105733.75711928587</v>
      </c>
      <c r="AW27" s="70">
        <v>149955</v>
      </c>
      <c r="AX27" s="80">
        <f>AX20+AX26</f>
        <v>207378</v>
      </c>
      <c r="AY27" s="80">
        <f>AY20+AY26</f>
        <v>122396</v>
      </c>
      <c r="AZ27" s="70">
        <f>SUM(AV27:AY27)</f>
        <v>585462.75711928587</v>
      </c>
      <c r="BA27" s="70">
        <f t="shared" ref="BA27:BB27" si="39">BA20+BA26</f>
        <v>77038</v>
      </c>
      <c r="BB27" s="70">
        <f t="shared" si="39"/>
        <v>155485</v>
      </c>
      <c r="BC27" s="70">
        <f t="shared" ref="BC27:BD27" si="40">BC20+BC26</f>
        <v>77346</v>
      </c>
      <c r="BD27" s="70">
        <f t="shared" si="40"/>
        <v>53770</v>
      </c>
      <c r="BE27" s="70">
        <f>SUM(BA27:BD27)</f>
        <v>363639</v>
      </c>
      <c r="BF27" s="70">
        <f t="shared" ref="BF27:BG27" si="41">BF20+BF26</f>
        <v>72542</v>
      </c>
      <c r="BG27" s="70">
        <f t="shared" si="41"/>
        <v>166671</v>
      </c>
    </row>
    <row r="28" spans="1:59" x14ac:dyDescent="0.35">
      <c r="A28" s="59"/>
      <c r="B28" s="60"/>
      <c r="C28" s="73">
        <f t="shared" ref="C28:AA28" si="42">C27/C5</f>
        <v>1.4016501117517203E-2</v>
      </c>
      <c r="D28" s="73">
        <f t="shared" si="42"/>
        <v>4.9186415807070574E-2</v>
      </c>
      <c r="E28" s="73">
        <f t="shared" si="42"/>
        <v>1.5359387710164379E-2</v>
      </c>
      <c r="F28" s="73">
        <f t="shared" si="42"/>
        <v>8.9568436998380639E-4</v>
      </c>
      <c r="G28" s="74">
        <f t="shared" si="42"/>
        <v>1.9403049217849657E-2</v>
      </c>
      <c r="H28" s="74">
        <f t="shared" si="42"/>
        <v>3.1243500259864831E-2</v>
      </c>
      <c r="I28" s="74">
        <f t="shared" si="42"/>
        <v>1.1467920297332589E-2</v>
      </c>
      <c r="J28" s="74">
        <f t="shared" si="42"/>
        <v>1.7689793051294717E-2</v>
      </c>
      <c r="K28" s="74">
        <f t="shared" si="42"/>
        <v>1.8311803478224222E-2</v>
      </c>
      <c r="L28" s="74">
        <f t="shared" si="42"/>
        <v>1.978036313872732E-2</v>
      </c>
      <c r="M28" s="74">
        <f t="shared" si="42"/>
        <v>2.799652127932303E-2</v>
      </c>
      <c r="N28" s="74">
        <f t="shared" si="42"/>
        <v>3.7762618360261554E-2</v>
      </c>
      <c r="O28" s="74">
        <f t="shared" si="42"/>
        <v>-2.5550052283768256E-3</v>
      </c>
      <c r="P28" s="74">
        <f t="shared" si="42"/>
        <v>1.785528448100504E-2</v>
      </c>
      <c r="Q28" s="74">
        <f t="shared" si="42"/>
        <v>1.9945097568282964E-2</v>
      </c>
      <c r="R28" s="74">
        <f t="shared" si="42"/>
        <v>3.8493673151308506E-2</v>
      </c>
      <c r="S28" s="74">
        <f t="shared" si="42"/>
        <v>5.2154712693360576E-2</v>
      </c>
      <c r="T28" s="74">
        <f t="shared" si="42"/>
        <v>6.517114900413018E-2</v>
      </c>
      <c r="U28" s="74">
        <f t="shared" si="42"/>
        <v>4.1712282207653897E-2</v>
      </c>
      <c r="V28" s="74">
        <f t="shared" si="42"/>
        <v>4.9985286444244575E-2</v>
      </c>
      <c r="W28" s="74">
        <f t="shared" si="42"/>
        <v>2.6726196391031562E-2</v>
      </c>
      <c r="X28" s="74">
        <f t="shared" si="42"/>
        <v>5.6966328215672331E-2</v>
      </c>
      <c r="Y28" s="74">
        <f t="shared" si="42"/>
        <v>7.9703969301521613E-2</v>
      </c>
      <c r="Z28" s="74">
        <f t="shared" si="42"/>
        <v>3.6690736285434594E-2</v>
      </c>
      <c r="AA28" s="74">
        <f t="shared" si="42"/>
        <v>5.0552116562630138E-2</v>
      </c>
      <c r="AB28" s="74">
        <v>1.6145349148472446E-2</v>
      </c>
      <c r="AC28" s="74">
        <f>AC27/AC5</f>
        <v>-0.35512858187755847</v>
      </c>
      <c r="AD28" s="74">
        <f>AD27/AD5</f>
        <v>1.1627113691562664E-2</v>
      </c>
      <c r="AE28" s="74">
        <f>AE27/AE5</f>
        <v>-2.3410827793001212E-2</v>
      </c>
      <c r="AF28" s="74">
        <f>AF27/AF5</f>
        <v>-4.7680315486559821E-2</v>
      </c>
      <c r="AG28" s="74">
        <v>5.2356838092417216E-2</v>
      </c>
      <c r="AH28" s="74">
        <f>AH27/AH5</f>
        <v>0.12115633172295083</v>
      </c>
      <c r="AI28" s="74">
        <f>AI27/AI5</f>
        <v>7.6983647035452352E-2</v>
      </c>
      <c r="AJ28" s="74">
        <f>AJ27/AJ5</f>
        <v>3.4633958298679046E-2</v>
      </c>
      <c r="AK28" s="74">
        <f>AK27/AK5</f>
        <v>6.9903681965544279E-2</v>
      </c>
      <c r="AL28" s="74">
        <f t="shared" ref="AL28:AN28" si="43">AL27/AL5</f>
        <v>6.9589836056001414E-2</v>
      </c>
      <c r="AM28" s="74">
        <f t="shared" si="43"/>
        <v>7.1923094798274662E-2</v>
      </c>
      <c r="AN28" s="74">
        <f t="shared" si="43"/>
        <v>2.4944711902745505E-2</v>
      </c>
      <c r="AO28" s="74">
        <f>AO27/AO5</f>
        <v>-1.8961380697463823E-2</v>
      </c>
      <c r="AP28" s="74">
        <f>AP27/AP5</f>
        <v>3.7055955775150654E-2</v>
      </c>
      <c r="AQ28" s="74">
        <f t="shared" ref="AQ28:AV28" si="44">AQ27/AQ5</f>
        <v>8.4716861647995863E-3</v>
      </c>
      <c r="AR28" s="74">
        <f t="shared" si="44"/>
        <v>3.2415283599262684E-2</v>
      </c>
      <c r="AS28" s="74">
        <f t="shared" si="44"/>
        <v>2.1505248210388617E-2</v>
      </c>
      <c r="AT28" s="74">
        <f t="shared" si="44"/>
        <v>8.2205441777372344E-3</v>
      </c>
      <c r="AU28" s="74">
        <f>AU27/AU5</f>
        <v>1.7699473656392836E-2</v>
      </c>
      <c r="AV28" s="74">
        <f t="shared" si="44"/>
        <v>2.9405071720263742E-2</v>
      </c>
      <c r="AW28" s="74">
        <v>3.9004382286904539E-2</v>
      </c>
      <c r="AX28" s="74">
        <f>AX27/AX5</f>
        <v>5.207397699813654E-2</v>
      </c>
      <c r="AY28" s="74">
        <f t="shared" ref="AY28:BA28" si="45">AY27/AY5</f>
        <v>3.1310483778132392E-2</v>
      </c>
      <c r="AZ28" s="74">
        <f t="shared" si="45"/>
        <v>3.8186139963961592E-2</v>
      </c>
      <c r="BA28" s="74">
        <f t="shared" si="45"/>
        <v>1.9562473813181651E-2</v>
      </c>
      <c r="BB28" s="74">
        <f t="shared" ref="BB28" si="46">BB27/BB5</f>
        <v>3.7858829189806202E-2</v>
      </c>
      <c r="BC28" s="74">
        <f>BC27/BC5</f>
        <v>2.0341368699076556E-2</v>
      </c>
      <c r="BD28" s="74">
        <f>BD27/BD5</f>
        <v>1.5279388028825388E-2</v>
      </c>
      <c r="BE28" s="74">
        <f t="shared" ref="BE28:BF28" si="47">BE27/BE5</f>
        <v>2.3664342850962451E-2</v>
      </c>
      <c r="BF28" s="74">
        <f t="shared" si="47"/>
        <v>1.9053232275716363E-2</v>
      </c>
      <c r="BG28" s="74">
        <f t="shared" ref="BG28" si="48">BG27/BG5</f>
        <v>4.1538254491622364E-2</v>
      </c>
    </row>
    <row r="29" spans="1:59" x14ac:dyDescent="0.35">
      <c r="A29" s="59" t="s">
        <v>488</v>
      </c>
      <c r="B29" s="60" t="s">
        <v>510</v>
      </c>
      <c r="C29" s="54">
        <v>-12099.44734020258</v>
      </c>
      <c r="D29" s="54">
        <v>1746.267771423094</v>
      </c>
      <c r="E29" s="54">
        <v>-14932.496964964617</v>
      </c>
      <c r="F29" s="54">
        <v>12292.3</v>
      </c>
      <c r="G29" s="54">
        <f>SUM(C29:F29)</f>
        <v>-12993.376533744104</v>
      </c>
      <c r="H29" s="54">
        <v>-32944</v>
      </c>
      <c r="I29" s="54">
        <v>-5983.1559062331507</v>
      </c>
      <c r="J29" s="54">
        <v>-9933.8440937668493</v>
      </c>
      <c r="K29" s="54">
        <v>3159</v>
      </c>
      <c r="L29" s="54">
        <f>SUM(H29:K29)</f>
        <v>-45702</v>
      </c>
      <c r="M29" s="54">
        <v>-34646.520771125375</v>
      </c>
      <c r="N29" s="54">
        <v>-32522.365560963357</v>
      </c>
      <c r="O29" s="54">
        <v>-4448</v>
      </c>
      <c r="P29" s="54">
        <v>2478</v>
      </c>
      <c r="Q29" s="54">
        <f>SUM(M29:P29)</f>
        <v>-69138.886332088732</v>
      </c>
      <c r="R29" s="54">
        <v>-74940</v>
      </c>
      <c r="S29" s="54">
        <v>-60029</v>
      </c>
      <c r="T29" s="54">
        <v>-58279</v>
      </c>
      <c r="U29" s="54">
        <v>18716</v>
      </c>
      <c r="V29" s="54">
        <f>SUM(R29:U29)</f>
        <v>-174532</v>
      </c>
      <c r="W29" s="54">
        <v>15089</v>
      </c>
      <c r="X29" s="54">
        <v>-21886</v>
      </c>
      <c r="Y29" s="54">
        <v>-55824</v>
      </c>
      <c r="Z29" s="54">
        <v>-22315</v>
      </c>
      <c r="AA29" s="54">
        <f>SUM(W29:Z29)</f>
        <v>-84936</v>
      </c>
      <c r="AB29" s="54">
        <v>-5590</v>
      </c>
      <c r="AC29" s="54">
        <v>64469</v>
      </c>
      <c r="AD29" s="54">
        <v>-34932</v>
      </c>
      <c r="AE29" s="54">
        <v>-26154</v>
      </c>
      <c r="AF29" s="54">
        <f>SUM(AB29:AE29)</f>
        <v>-2207</v>
      </c>
      <c r="AG29" s="54">
        <v>-86037</v>
      </c>
      <c r="AH29" s="54">
        <v>-150726</v>
      </c>
      <c r="AI29" s="54">
        <v>-71865</v>
      </c>
      <c r="AJ29" s="54">
        <v>-21302</v>
      </c>
      <c r="AK29" s="54">
        <f>SUM(AG29:AJ29)</f>
        <v>-329930</v>
      </c>
      <c r="AL29" s="54">
        <v>-108937</v>
      </c>
      <c r="AM29" s="54">
        <v>-82338</v>
      </c>
      <c r="AN29" s="54">
        <v>-18131</v>
      </c>
      <c r="AO29" s="54">
        <v>-14442</v>
      </c>
      <c r="AP29" s="54">
        <f>SUM(AL29:AO29)</f>
        <v>-223848</v>
      </c>
      <c r="AQ29" s="54">
        <v>-33469</v>
      </c>
      <c r="AR29" s="54">
        <v>-41112</v>
      </c>
      <c r="AS29" s="54">
        <v>-72542</v>
      </c>
      <c r="AT29" s="54">
        <v>-11686</v>
      </c>
      <c r="AU29" s="54">
        <f>SUM(AQ29:AT29)</f>
        <v>-158809</v>
      </c>
      <c r="AV29" s="54">
        <v>-23910</v>
      </c>
      <c r="AW29" s="54">
        <v>-78459</v>
      </c>
      <c r="AX29" s="62">
        <v>-77798</v>
      </c>
      <c r="AY29" s="62">
        <f>'P&amp;L - Consolidado'!O24</f>
        <v>-25212</v>
      </c>
      <c r="AZ29" s="54">
        <f>SUM(AV29:AY29)</f>
        <v>-205379</v>
      </c>
      <c r="BA29" s="62">
        <f>'P&amp;L - Consolidado'!M24</f>
        <v>-41506</v>
      </c>
      <c r="BB29" s="62">
        <f>'P&amp;L - Consolidado'!L24</f>
        <v>-45152</v>
      </c>
      <c r="BC29" s="62">
        <f>'P&amp;L - Consolidado'!J24</f>
        <v>-3850</v>
      </c>
      <c r="BD29" s="62">
        <f>'P&amp;L - Consolidado'!H24</f>
        <v>-55996</v>
      </c>
      <c r="BE29" s="54">
        <f t="shared" ref="BE29:BE30" si="49">SUM(BA29:BD29)</f>
        <v>-146504</v>
      </c>
      <c r="BF29" s="62">
        <f>'P&amp;L - Consolidado'!F24</f>
        <v>-35437</v>
      </c>
      <c r="BG29" s="62">
        <f>'P&amp;L - Consolidado'!E24</f>
        <v>-43399</v>
      </c>
    </row>
    <row r="30" spans="1:59" x14ac:dyDescent="0.35">
      <c r="A30" s="59" t="s">
        <v>489</v>
      </c>
      <c r="B30" s="60" t="s">
        <v>511</v>
      </c>
      <c r="C30" s="54">
        <v>-16380.681299180698</v>
      </c>
      <c r="D30" s="54">
        <v>-13403.283071410391</v>
      </c>
      <c r="E30" s="54">
        <v>-10131.91488493991</v>
      </c>
      <c r="F30" s="54">
        <v>-30567.120744469001</v>
      </c>
      <c r="G30" s="54">
        <f>SUM(C30:F30)</f>
        <v>-70483</v>
      </c>
      <c r="H30" s="54">
        <v>-15761</v>
      </c>
      <c r="I30" s="54">
        <v>-21394.132814454148</v>
      </c>
      <c r="J30" s="54">
        <v>-13397.867185545852</v>
      </c>
      <c r="K30" s="54">
        <v>-17047</v>
      </c>
      <c r="L30" s="54">
        <f>SUM(H30:K30)</f>
        <v>-67600</v>
      </c>
      <c r="M30" s="54">
        <v>-14170.89018125473</v>
      </c>
      <c r="N30" s="54">
        <v>-14724.601991088828</v>
      </c>
      <c r="O30" s="54">
        <v>-19336</v>
      </c>
      <c r="P30" s="54">
        <v>-25574</v>
      </c>
      <c r="Q30" s="54">
        <f>SUM(M30:P30)</f>
        <v>-73805.492172343555</v>
      </c>
      <c r="R30" s="54">
        <v>-20547</v>
      </c>
      <c r="S30" s="54">
        <v>-20981</v>
      </c>
      <c r="T30" s="54">
        <v>-18815</v>
      </c>
      <c r="U30" s="54">
        <v>-44474</v>
      </c>
      <c r="V30" s="54">
        <f>SUM(R30:U30)</f>
        <v>-104817</v>
      </c>
      <c r="W30" s="54">
        <v>-17956</v>
      </c>
      <c r="X30" s="54">
        <v>-19672</v>
      </c>
      <c r="Y30" s="54">
        <v>-21970</v>
      </c>
      <c r="Z30" s="54">
        <v>-24382</v>
      </c>
      <c r="AA30" s="54">
        <f>SUM(W30:Z30)</f>
        <v>-83980</v>
      </c>
      <c r="AB30" s="54">
        <v>-21176</v>
      </c>
      <c r="AC30" s="54">
        <v>-667</v>
      </c>
      <c r="AD30" s="54">
        <v>-13184</v>
      </c>
      <c r="AE30" s="54">
        <v>-36839</v>
      </c>
      <c r="AF30" s="54">
        <f>SUM(AB30:AE30)</f>
        <v>-71866</v>
      </c>
      <c r="AG30" s="54">
        <v>-26500</v>
      </c>
      <c r="AH30" s="54">
        <v>-20235</v>
      </c>
      <c r="AI30" s="54">
        <v>-27027</v>
      </c>
      <c r="AJ30" s="54">
        <v>-15955</v>
      </c>
      <c r="AK30" s="54">
        <f>SUM(AG30:AJ30)</f>
        <v>-89717</v>
      </c>
      <c r="AL30" s="54">
        <v>-28506</v>
      </c>
      <c r="AM30" s="54">
        <v>-28706</v>
      </c>
      <c r="AN30" s="54">
        <v>-20201</v>
      </c>
      <c r="AO30" s="54">
        <v>-47826</v>
      </c>
      <c r="AP30" s="54">
        <f>SUM(AL30:AO30)</f>
        <v>-125239</v>
      </c>
      <c r="AQ30" s="54">
        <v>-16743</v>
      </c>
      <c r="AR30" s="54">
        <v>-22745</v>
      </c>
      <c r="AS30" s="54">
        <v>-11218</v>
      </c>
      <c r="AT30" s="54">
        <v>-24452</v>
      </c>
      <c r="AU30" s="54">
        <f>SUM(AQ30:AT30)</f>
        <v>-75158</v>
      </c>
      <c r="AV30" s="54">
        <v>-31567</v>
      </c>
      <c r="AW30" s="54">
        <v>-34571</v>
      </c>
      <c r="AX30" s="62">
        <v>-20408</v>
      </c>
      <c r="AY30" s="62">
        <v>-28818</v>
      </c>
      <c r="AZ30" s="54">
        <f>SUM(AV30:AY30)</f>
        <v>-115364</v>
      </c>
      <c r="BA30" s="62">
        <v>-24640</v>
      </c>
      <c r="BB30" s="62">
        <f>-'P&amp;L - Consolidado'!L33</f>
        <v>-23510</v>
      </c>
      <c r="BC30" s="62">
        <f>-'P&amp;L - Consolidado'!J33</f>
        <v>-38429</v>
      </c>
      <c r="BD30" s="62">
        <f>-'P&amp;L - Consolidado'!H33</f>
        <v>-32172</v>
      </c>
      <c r="BE30" s="54">
        <f t="shared" si="49"/>
        <v>-118751</v>
      </c>
      <c r="BF30" s="62">
        <f>-'P&amp;L - Consolidado'!F33</f>
        <v>-33185</v>
      </c>
      <c r="BG30" s="62">
        <f>-'P&amp;L - Consolidado'!E33</f>
        <v>-36403</v>
      </c>
    </row>
    <row r="31" spans="1:59" x14ac:dyDescent="0.35">
      <c r="A31" s="59"/>
      <c r="B31" s="60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4"/>
      <c r="AV31" s="64"/>
      <c r="AW31" s="63"/>
      <c r="AX31" s="65"/>
      <c r="AY31" s="63"/>
      <c r="AZ31" s="63"/>
      <c r="BA31" s="64"/>
      <c r="BB31" s="64"/>
      <c r="BC31" s="64"/>
      <c r="BD31" s="63"/>
      <c r="BE31" s="63"/>
      <c r="BF31" s="64"/>
      <c r="BG31" s="64"/>
    </row>
    <row r="32" spans="1:59" x14ac:dyDescent="0.35">
      <c r="A32" s="6" t="s">
        <v>490</v>
      </c>
      <c r="B32" s="7" t="s">
        <v>512</v>
      </c>
      <c r="C32" s="5">
        <f>C27+C29+C30</f>
        <v>-6678.3553719574484</v>
      </c>
      <c r="D32" s="5">
        <f>D27+D29+D30</f>
        <v>70241.068478820598</v>
      </c>
      <c r="E32" s="5">
        <f>E27+E29+E30</f>
        <v>2433.6909568049468</v>
      </c>
      <c r="F32" s="5">
        <f>F27+F29+F30</f>
        <v>-16630.655432998839</v>
      </c>
      <c r="G32" s="5">
        <f>SUM(C32:F32)</f>
        <v>49365.748630669259</v>
      </c>
      <c r="H32" s="5">
        <f>H27+H29+H30</f>
        <v>6982.0713926719036</v>
      </c>
      <c r="I32" s="5">
        <f>I27+I29+I30</f>
        <v>-7192.2873023724242</v>
      </c>
      <c r="J32" s="5">
        <f>J27+J29+J30</f>
        <v>4892.5399938741757</v>
      </c>
      <c r="K32" s="5">
        <f>K27+K29+K30</f>
        <v>16847.611354256747</v>
      </c>
      <c r="L32" s="5">
        <f>SUM(H32:K32)</f>
        <v>21529.935438430402</v>
      </c>
      <c r="M32" s="5">
        <f>M27+M29+M30</f>
        <v>-1250.3134167037824</v>
      </c>
      <c r="N32" s="5">
        <f>N27+N29+N30</f>
        <v>24570.315985226</v>
      </c>
      <c r="O32" s="5">
        <f>O27+O29+O30</f>
        <v>-28721.421446227934</v>
      </c>
      <c r="P32" s="5">
        <f>P27+P29+P30</f>
        <v>11804.724679089617</v>
      </c>
      <c r="Q32" s="5">
        <f>SUM(M32:P32)</f>
        <v>6403.3058013839</v>
      </c>
      <c r="R32" s="5">
        <f>R27+R29+R30</f>
        <v>-12966.11119453609</v>
      </c>
      <c r="S32" s="5">
        <f>S27+S29+S30</f>
        <v>44134.450787028298</v>
      </c>
      <c r="T32" s="5">
        <f>T27+T29+T30</f>
        <v>93479.099999999977</v>
      </c>
      <c r="U32" s="5">
        <f>U27+U29+U30</f>
        <v>76677.020456010476</v>
      </c>
      <c r="V32" s="5">
        <f>SUM(R32:U32)</f>
        <v>201324.46004850266</v>
      </c>
      <c r="W32" s="5">
        <f>W27+W29+W30</f>
        <v>63096.433110436425</v>
      </c>
      <c r="X32" s="5">
        <f>X27+X29+X30</f>
        <v>110390.0532058375</v>
      </c>
      <c r="Y32" s="5">
        <f>Y27+Y29+Y30</f>
        <v>124838.2778989207</v>
      </c>
      <c r="Z32" s="5">
        <f>Z27+Z29+Z30</f>
        <v>39109.203362151049</v>
      </c>
      <c r="AA32" s="5">
        <f>SUM(W32:Z32)</f>
        <v>337433.96757734567</v>
      </c>
      <c r="AB32" s="5">
        <v>9150.2979017258622</v>
      </c>
      <c r="AC32" s="5">
        <f>AC27+AC29+AC30</f>
        <v>-352353.29790172563</v>
      </c>
      <c r="AD32" s="5">
        <f>AD27+AD29+AD30</f>
        <v>-18876.64608146064</v>
      </c>
      <c r="AE32" s="5">
        <f>AE27+AE29+AE30</f>
        <v>-129700</v>
      </c>
      <c r="AF32" s="5">
        <f>SUM(AB32:AE32)</f>
        <v>-491779.64608146041</v>
      </c>
      <c r="AG32" s="5">
        <v>51502</v>
      </c>
      <c r="AH32" s="5">
        <f>AH27+AH29+AH30</f>
        <v>214786.51670642011</v>
      </c>
      <c r="AI32" s="5">
        <f>AI27+AI29+AI30</f>
        <v>177015.69733482646</v>
      </c>
      <c r="AJ32" s="5">
        <f>AJ27+AJ29+AJ30</f>
        <v>93916</v>
      </c>
      <c r="AK32" s="5">
        <f>SUM(AG32:AJ32)</f>
        <v>537220.21404124657</v>
      </c>
      <c r="AL32" s="5">
        <f t="shared" ref="AL32:AN32" si="50">AL27+AL29+AL30</f>
        <v>160206.02047020476</v>
      </c>
      <c r="AM32" s="5">
        <f t="shared" si="50"/>
        <v>190485.23186276993</v>
      </c>
      <c r="AN32" s="5">
        <f t="shared" si="50"/>
        <v>69387.722253390122</v>
      </c>
      <c r="AO32" s="5">
        <f>AO27+AO29+AO30</f>
        <v>-141146.49043931812</v>
      </c>
      <c r="AP32" s="5">
        <f>SUM(AL32:AO32)</f>
        <v>278932.48414704669</v>
      </c>
      <c r="AQ32" s="5">
        <f t="shared" ref="AQ32:AV32" si="51">AQ27+AQ29+AQ30</f>
        <v>-16340.902545148041</v>
      </c>
      <c r="AR32" s="5">
        <f t="shared" si="51"/>
        <v>59360.073263368104</v>
      </c>
      <c r="AS32" s="5">
        <f t="shared" si="51"/>
        <v>-4784.9221663526259</v>
      </c>
      <c r="AT32" s="5">
        <f t="shared" si="51"/>
        <v>-7501.7261363081634</v>
      </c>
      <c r="AU32" s="5">
        <f>SUM(AQ32:AT32)</f>
        <v>30732.522415559273</v>
      </c>
      <c r="AV32" s="5">
        <f t="shared" si="51"/>
        <v>50256.757119285874</v>
      </c>
      <c r="AW32" s="5">
        <v>36925</v>
      </c>
      <c r="AX32" s="5">
        <f>AX27+AX29+AX30</f>
        <v>109172</v>
      </c>
      <c r="AY32" s="5">
        <f>AY27+AY29+AY30</f>
        <v>68366</v>
      </c>
      <c r="AZ32" s="5">
        <f>SUM(AV32:AY32)</f>
        <v>264719.75711928587</v>
      </c>
      <c r="BA32" s="5">
        <f t="shared" ref="BA32:BB32" si="52">BA27+BA29+BA30</f>
        <v>10892</v>
      </c>
      <c r="BB32" s="5">
        <f t="shared" si="52"/>
        <v>86823</v>
      </c>
      <c r="BC32" s="5">
        <f t="shared" ref="BC32:BF32" si="53">BC27+BC29+BC30</f>
        <v>35067</v>
      </c>
      <c r="BD32" s="5">
        <f t="shared" si="53"/>
        <v>-34398</v>
      </c>
      <c r="BE32" s="5">
        <f t="shared" si="53"/>
        <v>98384</v>
      </c>
      <c r="BF32" s="5">
        <f t="shared" si="53"/>
        <v>3920</v>
      </c>
      <c r="BG32" s="5">
        <f t="shared" ref="BG32" si="54">BG27+BG29+BG30</f>
        <v>86869</v>
      </c>
    </row>
    <row r="33" spans="1:59" x14ac:dyDescent="0.35">
      <c r="A33" s="59"/>
      <c r="B33" s="60"/>
      <c r="C33" s="73">
        <f t="shared" ref="C33:AA33" si="55">C32/C5</f>
        <v>-4.2935578856825229E-3</v>
      </c>
      <c r="D33" s="73">
        <f t="shared" si="55"/>
        <v>4.2185436356035798E-2</v>
      </c>
      <c r="E33" s="73">
        <f t="shared" si="55"/>
        <v>1.359366616491355E-3</v>
      </c>
      <c r="F33" s="73">
        <f t="shared" si="55"/>
        <v>-9.0598056229540258E-3</v>
      </c>
      <c r="G33" s="74">
        <f t="shared" si="55"/>
        <v>7.2104089660669189E-3</v>
      </c>
      <c r="H33" s="74">
        <f t="shared" si="55"/>
        <v>3.9173248640266252E-3</v>
      </c>
      <c r="I33" s="74">
        <f t="shared" si="55"/>
        <v>-4.0862309508824394E-3</v>
      </c>
      <c r="J33" s="74">
        <f t="shared" si="55"/>
        <v>3.0664416621403088E-3</v>
      </c>
      <c r="K33" s="74">
        <f t="shared" si="55"/>
        <v>1.0037547151438758E-2</v>
      </c>
      <c r="L33" s="74">
        <f t="shared" si="55"/>
        <v>3.1585242764684399E-3</v>
      </c>
      <c r="M33" s="74">
        <f t="shared" si="55"/>
        <v>-7.3589577649375122E-4</v>
      </c>
      <c r="N33" s="74">
        <f t="shared" si="55"/>
        <v>1.2919445290067395E-2</v>
      </c>
      <c r="O33" s="74">
        <f t="shared" si="55"/>
        <v>-1.4862693566008979E-2</v>
      </c>
      <c r="P33" s="74">
        <f t="shared" si="55"/>
        <v>6.0393220858067339E-3</v>
      </c>
      <c r="Q33" s="74">
        <f t="shared" si="55"/>
        <v>8.5514924159544204E-4</v>
      </c>
      <c r="R33" s="74">
        <f t="shared" si="55"/>
        <v>-6.0483261098000559E-3</v>
      </c>
      <c r="S33" s="74">
        <f t="shared" si="55"/>
        <v>1.8393301390518507E-2</v>
      </c>
      <c r="T33" s="74">
        <f t="shared" si="55"/>
        <v>3.5715715753961118E-2</v>
      </c>
      <c r="U33" s="74">
        <f t="shared" si="55"/>
        <v>3.1223438057267378E-2</v>
      </c>
      <c r="V33" s="74">
        <f t="shared" si="55"/>
        <v>2.0935752938682821E-2</v>
      </c>
      <c r="W33" s="74">
        <f t="shared" si="55"/>
        <v>2.5564583032842592E-2</v>
      </c>
      <c r="X33" s="74">
        <f t="shared" si="55"/>
        <v>4.1385959674985033E-2</v>
      </c>
      <c r="Y33" s="74">
        <f t="shared" si="55"/>
        <v>4.9104251171048982E-2</v>
      </c>
      <c r="Z33" s="74">
        <f t="shared" si="55"/>
        <v>1.6723097056722449E-2</v>
      </c>
      <c r="AA33" s="74">
        <f t="shared" si="55"/>
        <v>3.3688165011198708E-2</v>
      </c>
      <c r="AB33" s="74">
        <v>4.1133068569631131E-3</v>
      </c>
      <c r="AC33" s="74">
        <f>AC32/AC5</f>
        <v>-0.30068276827096918</v>
      </c>
      <c r="AD33" s="74">
        <f>AD32/AD5</f>
        <v>-7.5063529350205905E-3</v>
      </c>
      <c r="AE33" s="74">
        <f>AE32/AE5</f>
        <v>-4.5518226943982748E-2</v>
      </c>
      <c r="AF33" s="74">
        <f>AF32/AF5</f>
        <v>-5.613558916287853E-2</v>
      </c>
      <c r="AG33" s="74">
        <v>1.6438053605762479E-2</v>
      </c>
      <c r="AH33" s="74">
        <f>AH32/AH5</f>
        <v>6.7460567704717644E-2</v>
      </c>
      <c r="AI33" s="74">
        <f>AI32/AI5</f>
        <v>4.9390843731414218E-2</v>
      </c>
      <c r="AJ33" s="74">
        <f>AJ32/AJ5</f>
        <v>2.4796892863460783E-2</v>
      </c>
      <c r="AK33" s="74">
        <f>AK32/AK5</f>
        <v>3.9246481054770618E-2</v>
      </c>
      <c r="AL33" s="74">
        <f t="shared" ref="AL33:AN33" si="56">AL32/AL5</f>
        <v>3.745589581344503E-2</v>
      </c>
      <c r="AM33" s="74">
        <f t="shared" si="56"/>
        <v>4.543601727865814E-2</v>
      </c>
      <c r="AN33" s="74">
        <f t="shared" si="56"/>
        <v>1.6068150799043363E-2</v>
      </c>
      <c r="AO33" s="74">
        <f>AO32/AO5</f>
        <v>-3.392981184635846E-2</v>
      </c>
      <c r="AP33" s="74">
        <f>AP32/AP5</f>
        <v>1.6458262932469367E-2</v>
      </c>
      <c r="AQ33" s="74">
        <f t="shared" ref="AQ33:AV33" si="57">AQ32/AQ5</f>
        <v>-4.0871128606504159E-3</v>
      </c>
      <c r="AR33" s="74">
        <f t="shared" si="57"/>
        <v>1.5616128173993367E-2</v>
      </c>
      <c r="AS33" s="74">
        <f t="shared" si="57"/>
        <v>-1.3029545734865062E-3</v>
      </c>
      <c r="AT33" s="74">
        <f t="shared" si="57"/>
        <v>-2.1535019327705556E-3</v>
      </c>
      <c r="AU33" s="74">
        <f>AU32/AU5</f>
        <v>2.0549695969406851E-3</v>
      </c>
      <c r="AV33" s="74">
        <f t="shared" si="57"/>
        <v>1.3976648402394893E-2</v>
      </c>
      <c r="AW33" s="75">
        <v>9.6044601109929652E-3</v>
      </c>
      <c r="AX33" s="74">
        <f>AX32/AX5</f>
        <v>2.7413805788659172E-2</v>
      </c>
      <c r="AY33" s="74">
        <f t="shared" ref="AY33:BA33" si="58">AY32/AY5</f>
        <v>1.7488909228862048E-2</v>
      </c>
      <c r="AZ33" s="74">
        <f t="shared" si="58"/>
        <v>1.7266043951833086E-2</v>
      </c>
      <c r="BA33" s="74">
        <f t="shared" si="58"/>
        <v>2.7658358832417058E-3</v>
      </c>
      <c r="BB33" s="74">
        <f t="shared" ref="BB33:BD33" si="59">BB32/BB5</f>
        <v>2.1140413073586158E-2</v>
      </c>
      <c r="BC33" s="74">
        <f t="shared" si="59"/>
        <v>9.2223356886008013E-3</v>
      </c>
      <c r="BD33" s="74">
        <f t="shared" si="59"/>
        <v>-9.7746027415944892E-3</v>
      </c>
      <c r="BE33" s="74">
        <f t="shared" ref="BE33:BF33" si="60">BE32/BE5</f>
        <v>6.402483526379431E-3</v>
      </c>
      <c r="BF33" s="74">
        <f t="shared" si="60"/>
        <v>1.0295921055500006E-3</v>
      </c>
      <c r="BG33" s="74">
        <f t="shared" ref="BG33" si="61">BG32/BG5</f>
        <v>2.1649756882917506E-2</v>
      </c>
    </row>
    <row r="34" spans="1:59" x14ac:dyDescent="0.35">
      <c r="A34" s="85" t="s">
        <v>433</v>
      </c>
      <c r="B34" s="86" t="s">
        <v>433</v>
      </c>
      <c r="C34" s="87">
        <v>139833.52446876714</v>
      </c>
      <c r="D34" s="87">
        <v>242501.90270424442</v>
      </c>
      <c r="E34" s="87">
        <v>204669.94694792386</v>
      </c>
      <c r="F34" s="87">
        <v>164061.59616483076</v>
      </c>
      <c r="G34" s="87">
        <f>SUM(C34:F34)</f>
        <v>751066.97028576618</v>
      </c>
      <c r="H34" s="87">
        <v>236295.41608878085</v>
      </c>
      <c r="I34" s="87">
        <v>179570.95419916275</v>
      </c>
      <c r="J34" s="87">
        <v>191109.1422097412</v>
      </c>
      <c r="K34" s="87">
        <v>189249.50693841849</v>
      </c>
      <c r="L34" s="87">
        <f>SUM(H34:K34)</f>
        <v>796225.01943610329</v>
      </c>
      <c r="M34" s="87">
        <v>185393.83930156686</v>
      </c>
      <c r="N34" s="87">
        <v>194139.02370856903</v>
      </c>
      <c r="O34" s="87">
        <v>220254.56887953178</v>
      </c>
      <c r="P34" s="87">
        <v>198765.91083096381</v>
      </c>
      <c r="Q34" s="87">
        <f>SUM(M34:P34)</f>
        <v>798553.34272063151</v>
      </c>
      <c r="R34" s="87">
        <v>227112.84987670087</v>
      </c>
      <c r="S34" s="87">
        <v>275408.49664469343</v>
      </c>
      <c r="T34" s="87">
        <v>311999.72710572486</v>
      </c>
      <c r="U34" s="87">
        <v>242554.66237312052</v>
      </c>
      <c r="V34" s="87">
        <f>SUM(R34:U34)</f>
        <v>1057075.7360002396</v>
      </c>
      <c r="W34" s="87">
        <v>242587.39314410309</v>
      </c>
      <c r="X34" s="87">
        <v>304247.27462448936</v>
      </c>
      <c r="Y34" s="87">
        <v>333779.6898767188</v>
      </c>
      <c r="Z34" s="87">
        <v>215195.55048964047</v>
      </c>
      <c r="AA34" s="87">
        <f>SUM(W34:Z34)</f>
        <v>1095809.9081349517</v>
      </c>
      <c r="AB34" s="87">
        <v>204967.45544998342</v>
      </c>
      <c r="AC34" s="87">
        <v>-199515.39091579503</v>
      </c>
      <c r="AD34" s="87">
        <v>207676.0069939376</v>
      </c>
      <c r="AE34" s="87">
        <v>159011.43980482308</v>
      </c>
      <c r="AF34" s="87">
        <f>SUM(AB34:AE34)</f>
        <v>372139.51133294904</v>
      </c>
      <c r="AG34" s="87">
        <v>367938.25623936759</v>
      </c>
      <c r="AH34" s="87">
        <v>592729.23202083085</v>
      </c>
      <c r="AI34" s="87">
        <v>489861.85875925387</v>
      </c>
      <c r="AJ34" s="87">
        <v>390803.27890392917</v>
      </c>
      <c r="AK34" s="87">
        <f>SUM(AG34:AJ34)</f>
        <v>1841332.6259233812</v>
      </c>
      <c r="AL34" s="87">
        <v>548151.66825893149</v>
      </c>
      <c r="AM34" s="87">
        <v>534572.7298016327</v>
      </c>
      <c r="AN34" s="87">
        <v>362701.61222606245</v>
      </c>
      <c r="AO34" s="87">
        <v>291488.71938322921</v>
      </c>
      <c r="AP34" s="87">
        <f>SUM(AL34:AO34)</f>
        <v>1736914.7296698559</v>
      </c>
      <c r="AQ34" s="87">
        <v>286760.45323558291</v>
      </c>
      <c r="AR34" s="87">
        <v>363406.59800742153</v>
      </c>
      <c r="AS34" s="87">
        <v>313322.0764477686</v>
      </c>
      <c r="AT34" s="87">
        <v>289375.02857628686</v>
      </c>
      <c r="AU34" s="87">
        <f>SUM(AQ34:AT34)</f>
        <v>1252864.15626706</v>
      </c>
      <c r="AV34" s="87">
        <v>316641.75711928587</v>
      </c>
      <c r="AW34" s="87">
        <v>388931</v>
      </c>
      <c r="AX34" s="88">
        <v>440235</v>
      </c>
      <c r="AY34" s="88">
        <v>378263</v>
      </c>
      <c r="AZ34" s="87">
        <f>SUM(AV34:AY34)</f>
        <v>1524070.7571192859</v>
      </c>
      <c r="BA34" s="87">
        <v>354362.01122472808</v>
      </c>
      <c r="BB34" s="87">
        <v>450478.87104875437</v>
      </c>
      <c r="BC34" s="87">
        <f>'Indicadores | KPI'!BD6</f>
        <v>360435</v>
      </c>
      <c r="BD34" s="87">
        <f>'Indicadores | KPI'!BE6</f>
        <v>328178</v>
      </c>
      <c r="BE34" s="87">
        <f>SUM(BA34:BD34)</f>
        <v>1493453.8822734824</v>
      </c>
      <c r="BF34" s="87">
        <f>'Indicadores | KPI'!BG6</f>
        <v>357046</v>
      </c>
      <c r="BG34" s="87">
        <f>'Indicadores | KPI'!BH6</f>
        <v>417527</v>
      </c>
    </row>
    <row r="35" spans="1:59" ht="15" thickBot="1" x14ac:dyDescent="0.4">
      <c r="A35" s="89"/>
      <c r="B35" s="90"/>
      <c r="C35" s="91">
        <f t="shared" ref="C35:AA35" si="62">C34/C5</f>
        <v>8.9899877773302869E-2</v>
      </c>
      <c r="D35" s="91">
        <f t="shared" si="62"/>
        <v>0.14564198415962448</v>
      </c>
      <c r="E35" s="91">
        <f t="shared" si="62"/>
        <v>0.11432079841613309</v>
      </c>
      <c r="F35" s="91">
        <f t="shared" si="62"/>
        <v>8.9375080701610377E-2</v>
      </c>
      <c r="G35" s="92">
        <f t="shared" si="62"/>
        <v>0.10970156772424067</v>
      </c>
      <c r="H35" s="92">
        <f t="shared" si="62"/>
        <v>0.13257468402165271</v>
      </c>
      <c r="I35" s="92">
        <f t="shared" si="62"/>
        <v>0.10202156283246268</v>
      </c>
      <c r="J35" s="92">
        <f t="shared" si="62"/>
        <v>0.11977930408777331</v>
      </c>
      <c r="K35" s="92">
        <f t="shared" si="62"/>
        <v>0.11275193909319113</v>
      </c>
      <c r="L35" s="92">
        <f t="shared" si="62"/>
        <v>0.11680927054390791</v>
      </c>
      <c r="M35" s="92">
        <f t="shared" si="62"/>
        <v>0.10911707537271567</v>
      </c>
      <c r="N35" s="92">
        <f t="shared" si="62"/>
        <v>0.10208124702092163</v>
      </c>
      <c r="O35" s="92">
        <f t="shared" si="62"/>
        <v>0.11397681587238526</v>
      </c>
      <c r="P35" s="92">
        <f t="shared" si="62"/>
        <v>0.10168905991626291</v>
      </c>
      <c r="Q35" s="92">
        <f t="shared" si="62"/>
        <v>0.10664527145548269</v>
      </c>
      <c r="R35" s="92">
        <f t="shared" si="62"/>
        <v>0.10594175533210039</v>
      </c>
      <c r="S35" s="92">
        <f t="shared" si="62"/>
        <v>0.1147781697508813</v>
      </c>
      <c r="T35" s="92">
        <f t="shared" si="62"/>
        <v>0.11920625646397441</v>
      </c>
      <c r="U35" s="92">
        <f t="shared" si="62"/>
        <v>9.8770015202317055E-2</v>
      </c>
      <c r="V35" s="92">
        <f t="shared" si="62"/>
        <v>0.10992542307599208</v>
      </c>
      <c r="W35" s="92">
        <f t="shared" si="62"/>
        <v>9.8288369865514216E-2</v>
      </c>
      <c r="X35" s="92">
        <f t="shared" si="62"/>
        <v>0.11406431171252812</v>
      </c>
      <c r="Y35" s="92">
        <f t="shared" si="62"/>
        <v>0.13128987361369981</v>
      </c>
      <c r="Z35" s="92">
        <f t="shared" si="62"/>
        <v>9.2017626738361141E-2</v>
      </c>
      <c r="AA35" s="92">
        <f t="shared" si="62"/>
        <v>0.1094016268462807</v>
      </c>
      <c r="AB35" s="92">
        <v>9.2138425329046383E-2</v>
      </c>
      <c r="AC35" s="92">
        <f>AC34/AC5</f>
        <v>-0.1702576374635148</v>
      </c>
      <c r="AD35" s="92">
        <f>AD34/AD5</f>
        <v>8.2582965104343167E-2</v>
      </c>
      <c r="AE35" s="92">
        <f>AE34/AE5</f>
        <v>5.5805079442755506E-2</v>
      </c>
      <c r="AF35" s="92">
        <f>AF34/AF5</f>
        <v>4.2478925034649472E-2</v>
      </c>
      <c r="AG35" s="92">
        <v>0.11743599820732195</v>
      </c>
      <c r="AH35" s="92">
        <f>AH34/AH5</f>
        <v>0.18616555219786454</v>
      </c>
      <c r="AI35" s="92">
        <f>AI34/AI5</f>
        <v>0.13668104512897508</v>
      </c>
      <c r="AJ35" s="92">
        <f>AJ34/AJ5</f>
        <v>0.10318483578591417</v>
      </c>
      <c r="AK35" s="92">
        <f>AK34/AK5</f>
        <v>0.13451806936900668</v>
      </c>
      <c r="AL35" s="92">
        <f t="shared" ref="AL35:AN35" si="63">AL34/AL5</f>
        <v>0.12815693015788435</v>
      </c>
      <c r="AM35" s="92">
        <f t="shared" si="63"/>
        <v>0.1275104403131089</v>
      </c>
      <c r="AN35" s="92">
        <f t="shared" si="63"/>
        <v>8.399100029573002E-2</v>
      </c>
      <c r="AO35" s="92">
        <f>AO34/AO5</f>
        <v>7.007016166839046E-2</v>
      </c>
      <c r="AP35" s="92">
        <f>AP34/AP5</f>
        <v>0.10248573019238323</v>
      </c>
      <c r="AQ35" s="92">
        <f t="shared" ref="AQ35:AV35" si="64">AQ34/AQ5</f>
        <v>7.1723231511045954E-2</v>
      </c>
      <c r="AR35" s="92">
        <f t="shared" si="64"/>
        <v>9.5603049352381744E-2</v>
      </c>
      <c r="AS35" s="92">
        <f t="shared" si="64"/>
        <v>8.5318928561193053E-2</v>
      </c>
      <c r="AT35" s="92">
        <f t="shared" si="64"/>
        <v>8.3070172385851723E-2</v>
      </c>
      <c r="AU35" s="92">
        <f>AU34/AU5</f>
        <v>8.377437150821318E-2</v>
      </c>
      <c r="AV35" s="92">
        <f t="shared" si="64"/>
        <v>8.805961153180876E-2</v>
      </c>
      <c r="AW35" s="92">
        <v>0.10116377184640771</v>
      </c>
      <c r="AX35" s="92">
        <f>AX34/AX5</f>
        <v>0.11054589813661352</v>
      </c>
      <c r="AY35" s="92">
        <f t="shared" ref="AY35:BA35" si="65">AY34/AY5</f>
        <v>9.6764579932086772E-2</v>
      </c>
      <c r="AZ35" s="92">
        <f t="shared" si="65"/>
        <v>9.9405775241276806E-2</v>
      </c>
      <c r="BA35" s="92">
        <f t="shared" si="65"/>
        <v>8.9984132051326951E-2</v>
      </c>
      <c r="BB35" s="92">
        <f t="shared" ref="BB35:BD35" si="66">BB34/BB5</f>
        <v>0.10968648186417677</v>
      </c>
      <c r="BC35" s="92">
        <f t="shared" si="66"/>
        <v>9.4791472436217245E-2</v>
      </c>
      <c r="BD35" s="92">
        <f t="shared" si="66"/>
        <v>9.325570028870854E-2</v>
      </c>
      <c r="BE35" s="92">
        <f t="shared" ref="BE35:BF35" si="67">BE34/BE5</f>
        <v>9.7188708312971384E-2</v>
      </c>
      <c r="BF35" s="92">
        <f t="shared" si="67"/>
        <v>9.3778505846480995E-2</v>
      </c>
      <c r="BG35" s="92">
        <f t="shared" ref="BG35" si="68">BG34/BG5</f>
        <v>0.10405735120761027</v>
      </c>
    </row>
    <row r="36" spans="1:59" ht="15" thickTop="1" x14ac:dyDescent="0.35"/>
    <row r="38" spans="1:59" x14ac:dyDescent="0.35">
      <c r="G38" s="93"/>
      <c r="L38" s="93"/>
      <c r="Q38" s="93"/>
      <c r="V38" s="93"/>
      <c r="AA38" s="93"/>
      <c r="AF38" s="93"/>
      <c r="AK38" s="93"/>
      <c r="AP38" s="93"/>
      <c r="AQ38" s="93"/>
      <c r="AR38" s="93"/>
      <c r="AS38" s="93"/>
    </row>
  </sheetData>
  <phoneticPr fontId="10" type="noConversion"/>
  <pageMargins left="0.7" right="0.7" top="0.75" bottom="0.75" header="0.3" footer="0.3"/>
  <customProperties>
    <customPr name="OrphanNamesChecked" r:id="rId1"/>
  </customProperties>
  <ignoredErrors>
    <ignoredError sqref="AZ18 AZ26:AZ27 AK11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A14F0-78D8-4812-9105-82B9D01061CD}">
  <dimension ref="A1:BG51"/>
  <sheetViews>
    <sheetView topLeftCell="G1" zoomScale="90" zoomScaleNormal="90" workbookViewId="0">
      <selection activeCell="BE8" sqref="BE8"/>
    </sheetView>
  </sheetViews>
  <sheetFormatPr defaultColWidth="8.7265625" defaultRowHeight="14.5" outlineLevelCol="1" x14ac:dyDescent="0.35"/>
  <cols>
    <col min="1" max="1" width="40.453125" style="34" bestFit="1" customWidth="1"/>
    <col min="2" max="2" width="42.7265625" style="34" bestFit="1" customWidth="1"/>
    <col min="3" max="6" width="10.54296875" style="34" hidden="1" customWidth="1" outlineLevel="1"/>
    <col min="7" max="7" width="11.7265625" style="34" bestFit="1" customWidth="1" collapsed="1"/>
    <col min="8" max="11" width="10.54296875" style="34" hidden="1" customWidth="1" outlineLevel="1"/>
    <col min="12" max="12" width="11.7265625" style="34" bestFit="1" customWidth="1" collapsed="1"/>
    <col min="13" max="16" width="10.54296875" style="34" hidden="1" customWidth="1" outlineLevel="1"/>
    <col min="17" max="17" width="11.7265625" style="34" bestFit="1" customWidth="1" collapsed="1"/>
    <col min="18" max="20" width="10.54296875" style="34" hidden="1" customWidth="1" outlineLevel="1"/>
    <col min="21" max="21" width="11.7265625" style="34" hidden="1" customWidth="1" outlineLevel="1"/>
    <col min="22" max="22" width="11.7265625" style="34" bestFit="1" customWidth="1" collapsed="1"/>
    <col min="23" max="26" width="10.54296875" style="34" hidden="1" customWidth="1" outlineLevel="1"/>
    <col min="27" max="27" width="12.81640625" style="34" bestFit="1" customWidth="1" collapsed="1"/>
    <col min="28" max="31" width="11.54296875" style="34" hidden="1" customWidth="1" outlineLevel="1"/>
    <col min="32" max="32" width="11.7265625" style="34" bestFit="1" customWidth="1" collapsed="1"/>
    <col min="33" max="36" width="11.26953125" style="34" hidden="1" customWidth="1" outlineLevel="1"/>
    <col min="37" max="37" width="12.81640625" style="34" bestFit="1" customWidth="1" collapsed="1"/>
    <col min="38" max="41" width="11.26953125" style="34" hidden="1" customWidth="1" outlineLevel="1"/>
    <col min="42" max="42" width="13.54296875" style="34" customWidth="1" collapsed="1"/>
    <col min="43" max="46" width="13.54296875" style="34" hidden="1" customWidth="1" outlineLevel="1"/>
    <col min="47" max="47" width="13.54296875" style="34" customWidth="1" collapsed="1"/>
    <col min="48" max="51" width="13.54296875" style="34" hidden="1" customWidth="1" outlineLevel="1"/>
    <col min="52" max="52" width="13.54296875" style="53" customWidth="1" collapsed="1"/>
    <col min="53" max="56" width="11.54296875" style="34" hidden="1" customWidth="1" outlineLevel="1"/>
    <col min="57" max="57" width="12.6328125" style="34" bestFit="1" customWidth="1" collapsed="1"/>
    <col min="58" max="59" width="11.54296875" style="34" bestFit="1" customWidth="1"/>
    <col min="60" max="16384" width="8.7265625" style="34"/>
  </cols>
  <sheetData>
    <row r="1" spans="1:59" ht="16.5" thickTop="1" thickBot="1" x14ac:dyDescent="0.4">
      <c r="A1" s="18" t="s">
        <v>439</v>
      </c>
      <c r="B1" s="18" t="s">
        <v>514</v>
      </c>
      <c r="C1" s="14"/>
      <c r="D1" s="14"/>
      <c r="E1" s="14"/>
      <c r="F1" s="14"/>
      <c r="G1" s="187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  <c r="AB1" s="188"/>
      <c r="AC1" s="188"/>
      <c r="AD1" s="188"/>
      <c r="AE1" s="188"/>
      <c r="AF1" s="188"/>
      <c r="AG1" s="188"/>
      <c r="AH1" s="188"/>
      <c r="AI1" s="188"/>
      <c r="AJ1" s="188"/>
      <c r="AK1" s="188"/>
      <c r="AL1" s="188"/>
      <c r="AM1" s="188"/>
      <c r="AN1" s="188"/>
      <c r="AO1" s="188"/>
      <c r="AP1" s="188"/>
      <c r="AQ1" s="188"/>
      <c r="AR1" s="188"/>
      <c r="AS1" s="188"/>
      <c r="AT1" s="188"/>
      <c r="AU1" s="188"/>
      <c r="AV1" s="188"/>
      <c r="AW1" s="188"/>
      <c r="AX1" s="188"/>
      <c r="AY1" s="188"/>
      <c r="AZ1" s="189"/>
      <c r="BA1" s="215"/>
      <c r="BB1" s="215"/>
      <c r="BC1" s="215"/>
      <c r="BD1" s="215"/>
      <c r="BE1" s="215"/>
      <c r="BF1" s="215"/>
      <c r="BG1" s="215"/>
    </row>
    <row r="2" spans="1:59" ht="15" thickBot="1" x14ac:dyDescent="0.4">
      <c r="A2" s="17"/>
      <c r="B2" s="14"/>
      <c r="C2" s="27" t="s">
        <v>659</v>
      </c>
      <c r="D2" s="27" t="s">
        <v>660</v>
      </c>
      <c r="E2" s="27" t="s">
        <v>661</v>
      </c>
      <c r="F2" s="27" t="s">
        <v>662</v>
      </c>
      <c r="G2" s="190">
        <v>2015</v>
      </c>
      <c r="H2" s="27" t="s">
        <v>655</v>
      </c>
      <c r="I2" s="27" t="s">
        <v>656</v>
      </c>
      <c r="J2" s="27" t="s">
        <v>657</v>
      </c>
      <c r="K2" s="27" t="s">
        <v>658</v>
      </c>
      <c r="L2" s="27">
        <v>2016</v>
      </c>
      <c r="M2" s="27" t="s">
        <v>651</v>
      </c>
      <c r="N2" s="27" t="s">
        <v>652</v>
      </c>
      <c r="O2" s="27" t="s">
        <v>653</v>
      </c>
      <c r="P2" s="27" t="s">
        <v>654</v>
      </c>
      <c r="Q2" s="27">
        <v>2017</v>
      </c>
      <c r="R2" s="27" t="s">
        <v>647</v>
      </c>
      <c r="S2" s="27" t="s">
        <v>648</v>
      </c>
      <c r="T2" s="27" t="s">
        <v>649</v>
      </c>
      <c r="U2" s="27" t="s">
        <v>650</v>
      </c>
      <c r="V2" s="27">
        <v>2018</v>
      </c>
      <c r="W2" s="27" t="s">
        <v>643</v>
      </c>
      <c r="X2" s="27" t="s">
        <v>644</v>
      </c>
      <c r="Y2" s="27" t="s">
        <v>645</v>
      </c>
      <c r="Z2" s="27" t="s">
        <v>646</v>
      </c>
      <c r="AA2" s="27">
        <v>2019</v>
      </c>
      <c r="AB2" s="27" t="s">
        <v>516</v>
      </c>
      <c r="AC2" s="27" t="s">
        <v>517</v>
      </c>
      <c r="AD2" s="27" t="s">
        <v>518</v>
      </c>
      <c r="AE2" s="27" t="s">
        <v>519</v>
      </c>
      <c r="AF2" s="27">
        <v>2020</v>
      </c>
      <c r="AG2" s="27" t="s">
        <v>520</v>
      </c>
      <c r="AH2" s="27" t="s">
        <v>521</v>
      </c>
      <c r="AI2" s="27" t="s">
        <v>522</v>
      </c>
      <c r="AJ2" s="27" t="s">
        <v>523</v>
      </c>
      <c r="AK2" s="27">
        <v>2021</v>
      </c>
      <c r="AL2" s="26" t="s">
        <v>524</v>
      </c>
      <c r="AM2" s="26" t="s">
        <v>525</v>
      </c>
      <c r="AN2" s="26" t="s">
        <v>526</v>
      </c>
      <c r="AO2" s="26" t="s">
        <v>527</v>
      </c>
      <c r="AP2" s="26">
        <v>2022</v>
      </c>
      <c r="AQ2" s="10" t="s">
        <v>528</v>
      </c>
      <c r="AR2" s="10" t="s">
        <v>529</v>
      </c>
      <c r="AS2" s="10" t="s">
        <v>530</v>
      </c>
      <c r="AT2" s="10" t="s">
        <v>531</v>
      </c>
      <c r="AU2" s="10">
        <v>2023</v>
      </c>
      <c r="AV2" s="10" t="s">
        <v>436</v>
      </c>
      <c r="AW2" s="10" t="s">
        <v>437</v>
      </c>
      <c r="AX2" s="10" t="s">
        <v>438</v>
      </c>
      <c r="AY2" s="10" t="s">
        <v>565</v>
      </c>
      <c r="AZ2" s="10">
        <v>2024</v>
      </c>
      <c r="BA2" s="191" t="s">
        <v>672</v>
      </c>
      <c r="BB2" s="191" t="s">
        <v>685</v>
      </c>
      <c r="BC2" s="191" t="s">
        <v>686</v>
      </c>
      <c r="BD2" s="191" t="s">
        <v>687</v>
      </c>
      <c r="BE2" s="10">
        <v>2025</v>
      </c>
      <c r="BF2" s="191" t="s">
        <v>688</v>
      </c>
      <c r="BG2" s="191" t="s">
        <v>690</v>
      </c>
    </row>
    <row r="3" spans="1:59" ht="15.5" thickTop="1" thickBot="1" x14ac:dyDescent="0.4">
      <c r="A3" s="206" t="s">
        <v>515</v>
      </c>
      <c r="B3" s="206" t="s">
        <v>557</v>
      </c>
      <c r="C3" s="16" t="s">
        <v>441</v>
      </c>
      <c r="D3" s="16" t="s">
        <v>442</v>
      </c>
      <c r="E3" s="16" t="s">
        <v>443</v>
      </c>
      <c r="F3" s="16" t="s">
        <v>444</v>
      </c>
      <c r="G3" s="192">
        <v>2015</v>
      </c>
      <c r="H3" s="16" t="s">
        <v>445</v>
      </c>
      <c r="I3" s="16" t="s">
        <v>446</v>
      </c>
      <c r="J3" s="16" t="s">
        <v>447</v>
      </c>
      <c r="K3" s="16" t="s">
        <v>448</v>
      </c>
      <c r="L3" s="16">
        <v>2016</v>
      </c>
      <c r="M3" s="16" t="s">
        <v>449</v>
      </c>
      <c r="N3" s="16" t="s">
        <v>450</v>
      </c>
      <c r="O3" s="16" t="s">
        <v>451</v>
      </c>
      <c r="P3" s="16" t="s">
        <v>452</v>
      </c>
      <c r="Q3" s="16">
        <v>2017</v>
      </c>
      <c r="R3" s="16" t="s">
        <v>453</v>
      </c>
      <c r="S3" s="16" t="s">
        <v>454</v>
      </c>
      <c r="T3" s="16" t="s">
        <v>455</v>
      </c>
      <c r="U3" s="16" t="s">
        <v>456</v>
      </c>
      <c r="V3" s="16">
        <v>2018</v>
      </c>
      <c r="W3" s="16" t="s">
        <v>457</v>
      </c>
      <c r="X3" s="16" t="s">
        <v>458</v>
      </c>
      <c r="Y3" s="16" t="s">
        <v>459</v>
      </c>
      <c r="Z3" s="16" t="s">
        <v>460</v>
      </c>
      <c r="AA3" s="16">
        <v>2019</v>
      </c>
      <c r="AB3" s="16" t="s">
        <v>461</v>
      </c>
      <c r="AC3" s="16" t="s">
        <v>462</v>
      </c>
      <c r="AD3" s="16" t="s">
        <v>463</v>
      </c>
      <c r="AE3" s="16" t="s">
        <v>464</v>
      </c>
      <c r="AF3" s="16">
        <v>2020</v>
      </c>
      <c r="AG3" s="16" t="s">
        <v>465</v>
      </c>
      <c r="AH3" s="16" t="s">
        <v>466</v>
      </c>
      <c r="AI3" s="16" t="s">
        <v>467</v>
      </c>
      <c r="AJ3" s="16" t="s">
        <v>468</v>
      </c>
      <c r="AK3" s="16">
        <v>2021</v>
      </c>
      <c r="AL3" s="16" t="s">
        <v>469</v>
      </c>
      <c r="AM3" s="16" t="s">
        <v>470</v>
      </c>
      <c r="AN3" s="16" t="s">
        <v>471</v>
      </c>
      <c r="AO3" s="16" t="s">
        <v>472</v>
      </c>
      <c r="AP3" s="16">
        <v>2022</v>
      </c>
      <c r="AQ3" s="16" t="s">
        <v>473</v>
      </c>
      <c r="AR3" s="16" t="s">
        <v>474</v>
      </c>
      <c r="AS3" s="16" t="s">
        <v>475</v>
      </c>
      <c r="AT3" s="16" t="s">
        <v>476</v>
      </c>
      <c r="AU3" s="16">
        <v>2023</v>
      </c>
      <c r="AV3" s="16" t="s">
        <v>428</v>
      </c>
      <c r="AW3" s="16" t="s">
        <v>429</v>
      </c>
      <c r="AX3" s="16" t="s">
        <v>427</v>
      </c>
      <c r="AY3" s="16" t="s">
        <v>491</v>
      </c>
      <c r="AZ3" s="16">
        <v>2024</v>
      </c>
      <c r="BA3" s="16" t="s">
        <v>671</v>
      </c>
      <c r="BB3" s="16" t="s">
        <v>673</v>
      </c>
      <c r="BC3" s="16" t="s">
        <v>674</v>
      </c>
      <c r="BD3" s="16" t="s">
        <v>675</v>
      </c>
      <c r="BE3" s="16">
        <v>2025</v>
      </c>
      <c r="BF3" s="16" t="s">
        <v>689</v>
      </c>
      <c r="BG3" s="16" t="s">
        <v>691</v>
      </c>
    </row>
    <row r="4" spans="1:59" x14ac:dyDescent="0.35">
      <c r="A4" s="207" t="s">
        <v>532</v>
      </c>
      <c r="B4" s="210" t="s">
        <v>548</v>
      </c>
      <c r="C4" s="100">
        <v>55826.718399145138</v>
      </c>
      <c r="D4" s="100">
        <v>51406.334400231368</v>
      </c>
      <c r="E4" s="100">
        <v>45925.258824726654</v>
      </c>
      <c r="F4" s="100">
        <v>45857.582245896832</v>
      </c>
      <c r="G4" s="193">
        <v>199015.89387000003</v>
      </c>
      <c r="H4" s="100">
        <v>64556.253759999992</v>
      </c>
      <c r="I4" s="100">
        <v>77321.594199999992</v>
      </c>
      <c r="J4" s="100">
        <v>86827.660340000002</v>
      </c>
      <c r="K4" s="100">
        <v>83670.502370000118</v>
      </c>
      <c r="L4" s="100">
        <v>312376.01067000011</v>
      </c>
      <c r="M4" s="100">
        <v>95863.582580000002</v>
      </c>
      <c r="N4" s="100">
        <v>96598.922820000007</v>
      </c>
      <c r="O4" s="100">
        <v>103304.59287999998</v>
      </c>
      <c r="P4" s="100">
        <v>99676.892949999834</v>
      </c>
      <c r="Q4" s="100">
        <v>395443.99122999981</v>
      </c>
      <c r="R4" s="100">
        <v>124153.38591000001</v>
      </c>
      <c r="S4" s="100">
        <v>131893.75735</v>
      </c>
      <c r="T4" s="100">
        <v>128774.12575000001</v>
      </c>
      <c r="U4" s="100">
        <v>115297.10082999989</v>
      </c>
      <c r="V4" s="100">
        <v>500118.36983999988</v>
      </c>
      <c r="W4" s="100">
        <v>128353.30144000001</v>
      </c>
      <c r="X4" s="100">
        <v>128200.67141000001</v>
      </c>
      <c r="Y4" s="100">
        <v>132201.89676999999</v>
      </c>
      <c r="Z4" s="100">
        <v>98378.282050000023</v>
      </c>
      <c r="AA4" s="100">
        <v>487134.15167000011</v>
      </c>
      <c r="AB4" s="100">
        <v>83410.737129999994</v>
      </c>
      <c r="AC4" s="100">
        <v>16630.592110000001</v>
      </c>
      <c r="AD4" s="100">
        <v>85530.497569999992</v>
      </c>
      <c r="AE4" s="100">
        <v>108157.47970999999</v>
      </c>
      <c r="AF4" s="100">
        <v>293729.30651999998</v>
      </c>
      <c r="AG4" s="100">
        <v>113754.43523</v>
      </c>
      <c r="AH4" s="100">
        <v>127555.90883999999</v>
      </c>
      <c r="AI4" s="100">
        <v>146455.94026000009</v>
      </c>
      <c r="AJ4" s="100">
        <v>126539.63522000008</v>
      </c>
      <c r="AK4" s="100">
        <f>SUM(AG4:AJ4)</f>
        <v>514305.91955000011</v>
      </c>
      <c r="AL4" s="100">
        <v>127475.65444000001</v>
      </c>
      <c r="AM4" s="100">
        <v>142561.86045000001</v>
      </c>
      <c r="AN4" s="100">
        <v>185289.02143000002</v>
      </c>
      <c r="AO4" s="100">
        <v>145037.49833999999</v>
      </c>
      <c r="AP4" s="100">
        <f>SUM(AL4:AO4)</f>
        <v>600364.03466</v>
      </c>
      <c r="AQ4" s="100">
        <v>163406.35586999997</v>
      </c>
      <c r="AR4" s="100">
        <v>168729.98629999999</v>
      </c>
      <c r="AS4" s="100">
        <v>175382.85274000006</v>
      </c>
      <c r="AT4" s="194">
        <v>160190.46491000013</v>
      </c>
      <c r="AU4" s="100">
        <f>SUM(AQ4:AT4)</f>
        <v>667709.65982000018</v>
      </c>
      <c r="AV4" s="194">
        <v>163394.69384000002</v>
      </c>
      <c r="AW4" s="194">
        <v>182932.09773000001</v>
      </c>
      <c r="AX4" s="194">
        <v>222634.44228000008</v>
      </c>
      <c r="AY4" s="194">
        <v>214167.84809999977</v>
      </c>
      <c r="AZ4" s="100">
        <f>SUM(AV4:AY4)</f>
        <v>783129.08194999979</v>
      </c>
      <c r="BA4" s="194">
        <v>226790.47607</v>
      </c>
      <c r="BB4" s="242">
        <v>262871</v>
      </c>
      <c r="BC4" s="242">
        <v>263219</v>
      </c>
      <c r="BD4" s="242">
        <v>221455</v>
      </c>
      <c r="BE4" s="194">
        <f>SUM(BA4:BD4)</f>
        <v>974335.47606999998</v>
      </c>
      <c r="BF4" s="194">
        <v>241468</v>
      </c>
      <c r="BG4" s="194">
        <v>295494</v>
      </c>
    </row>
    <row r="5" spans="1:59" x14ac:dyDescent="0.35">
      <c r="A5" s="177" t="s">
        <v>533</v>
      </c>
      <c r="B5" s="211" t="s">
        <v>549</v>
      </c>
      <c r="C5" s="100">
        <v>86091.388359442077</v>
      </c>
      <c r="D5" s="100">
        <v>77419.531453280681</v>
      </c>
      <c r="E5" s="100">
        <v>75153.513989413841</v>
      </c>
      <c r="F5" s="100">
        <v>65774.839007863455</v>
      </c>
      <c r="G5" s="193">
        <v>304439.27281000005</v>
      </c>
      <c r="H5" s="100">
        <v>59818.322800000009</v>
      </c>
      <c r="I5" s="100">
        <v>62127.664569999986</v>
      </c>
      <c r="J5" s="100">
        <v>69106.489279999994</v>
      </c>
      <c r="K5" s="100">
        <v>77518.810319999815</v>
      </c>
      <c r="L5" s="100">
        <v>268571.28696999978</v>
      </c>
      <c r="M5" s="100">
        <v>80416.907449999999</v>
      </c>
      <c r="N5" s="100">
        <v>93925.83885</v>
      </c>
      <c r="O5" s="100">
        <v>99338.178940000013</v>
      </c>
      <c r="P5" s="100">
        <v>102702.66294999991</v>
      </c>
      <c r="Q5" s="100">
        <v>376383.58818999992</v>
      </c>
      <c r="R5" s="100">
        <v>99069.386259999999</v>
      </c>
      <c r="S5" s="100">
        <v>105517.0797400001</v>
      </c>
      <c r="T5" s="100">
        <v>110520.81600999991</v>
      </c>
      <c r="U5" s="100">
        <v>97538.080650000105</v>
      </c>
      <c r="V5" s="100">
        <v>412645.36266000016</v>
      </c>
      <c r="W5" s="100">
        <v>106924.05317999999</v>
      </c>
      <c r="X5" s="100">
        <v>127513.60588999999</v>
      </c>
      <c r="Y5" s="100">
        <v>129235.29453000012</v>
      </c>
      <c r="Z5" s="100">
        <v>99418.60722999979</v>
      </c>
      <c r="AA5" s="100">
        <v>463091.56082999991</v>
      </c>
      <c r="AB5" s="100">
        <v>92178.856640000013</v>
      </c>
      <c r="AC5" s="100">
        <v>19156.33215000002</v>
      </c>
      <c r="AD5" s="100">
        <v>93941.460199999798</v>
      </c>
      <c r="AE5" s="100">
        <v>93076.701199999996</v>
      </c>
      <c r="AF5" s="100">
        <v>298353.35018999979</v>
      </c>
      <c r="AG5" s="100">
        <v>94939.347860000009</v>
      </c>
      <c r="AH5" s="100">
        <v>112655.04987999998</v>
      </c>
      <c r="AI5" s="100">
        <v>104828.07339000006</v>
      </c>
      <c r="AJ5" s="100">
        <v>114536.83676999988</v>
      </c>
      <c r="AK5" s="100">
        <f t="shared" ref="AK5:AK8" si="0">SUM(AG5:AJ5)</f>
        <v>426959.30789999996</v>
      </c>
      <c r="AL5" s="100">
        <v>127454.00647999998</v>
      </c>
      <c r="AM5" s="100">
        <v>150685.69646000001</v>
      </c>
      <c r="AN5" s="100">
        <v>176694.31582000019</v>
      </c>
      <c r="AO5" s="100">
        <v>135961.37374999968</v>
      </c>
      <c r="AP5" s="100">
        <f t="shared" ref="AP5:AP8" si="1">SUM(AL5:AO5)</f>
        <v>590795.39250999992</v>
      </c>
      <c r="AQ5" s="100">
        <v>136872.30304999999</v>
      </c>
      <c r="AR5" s="100">
        <v>150553.85833999992</v>
      </c>
      <c r="AS5" s="100">
        <v>161730.19282</v>
      </c>
      <c r="AT5" s="194">
        <v>131773.19263999999</v>
      </c>
      <c r="AU5" s="100">
        <f>SUM(AQ5:AT5)</f>
        <v>580929.54684999993</v>
      </c>
      <c r="AV5" s="194">
        <v>132047.01742000002</v>
      </c>
      <c r="AW5" s="194">
        <v>136812.83074000009</v>
      </c>
      <c r="AX5" s="194">
        <v>164831.32793999987</v>
      </c>
      <c r="AY5" s="194">
        <v>146000.07223999995</v>
      </c>
      <c r="AZ5" s="100">
        <f t="shared" ref="AZ5:AZ9" si="2">SUM(AV5:AY5)</f>
        <v>579691.24833999993</v>
      </c>
      <c r="BA5" s="194">
        <v>132684.02836</v>
      </c>
      <c r="BB5" s="242">
        <v>145772</v>
      </c>
      <c r="BC5" s="242">
        <v>181207</v>
      </c>
      <c r="BD5" s="242">
        <v>147606</v>
      </c>
      <c r="BE5" s="194">
        <f>SUM(BA5:BD5)</f>
        <v>607269.02836</v>
      </c>
      <c r="BF5" s="194">
        <v>149936</v>
      </c>
      <c r="BG5" s="194">
        <v>166699</v>
      </c>
    </row>
    <row r="6" spans="1:59" x14ac:dyDescent="0.35">
      <c r="A6" s="177" t="s">
        <v>534</v>
      </c>
      <c r="B6" s="211" t="s">
        <v>550</v>
      </c>
      <c r="C6" s="100">
        <v>95298.834036285552</v>
      </c>
      <c r="D6" s="100">
        <v>79696.222604775394</v>
      </c>
      <c r="E6" s="100">
        <v>78127.409423055069</v>
      </c>
      <c r="F6" s="100">
        <v>46507.34987678894</v>
      </c>
      <c r="G6" s="193">
        <v>299629.81594090501</v>
      </c>
      <c r="H6" s="100">
        <v>61136.573549999994</v>
      </c>
      <c r="I6" s="100">
        <v>72734.942530190485</v>
      </c>
      <c r="J6" s="100">
        <v>84326.806478800005</v>
      </c>
      <c r="K6" s="100">
        <v>76884.650485649894</v>
      </c>
      <c r="L6" s="100">
        <v>295082.97304464038</v>
      </c>
      <c r="M6" s="100">
        <v>82579.905055399999</v>
      </c>
      <c r="N6" s="100">
        <v>107693.61040000001</v>
      </c>
      <c r="O6" s="100">
        <v>119111.54439049994</v>
      </c>
      <c r="P6" s="100">
        <v>93763.766759950086</v>
      </c>
      <c r="Q6" s="100">
        <v>403148.82660585002</v>
      </c>
      <c r="R6" s="100">
        <v>127748.14941</v>
      </c>
      <c r="S6" s="100">
        <v>134414.5888899999</v>
      </c>
      <c r="T6" s="100">
        <v>158953.38855200011</v>
      </c>
      <c r="U6" s="100">
        <v>145584.44740123698</v>
      </c>
      <c r="V6" s="100">
        <v>566700.57425323699</v>
      </c>
      <c r="W6" s="100">
        <v>153568.00476000001</v>
      </c>
      <c r="X6" s="100">
        <v>174301.92961999989</v>
      </c>
      <c r="Y6" s="100">
        <v>181888.91392999998</v>
      </c>
      <c r="Z6" s="100">
        <v>140410.60606999995</v>
      </c>
      <c r="AA6" s="100">
        <v>650169.45437999989</v>
      </c>
      <c r="AB6" s="100">
        <v>126965.30540999664</v>
      </c>
      <c r="AC6" s="100">
        <v>75193.895329999912</v>
      </c>
      <c r="AD6" s="100">
        <v>168498.37789999999</v>
      </c>
      <c r="AE6" s="100">
        <v>183865.60433999979</v>
      </c>
      <c r="AF6" s="100">
        <v>554523.18297999632</v>
      </c>
      <c r="AG6" s="100">
        <v>242798.06747000001</v>
      </c>
      <c r="AH6" s="100">
        <v>275929.32553999999</v>
      </c>
      <c r="AI6" s="100">
        <v>370919.38997999992</v>
      </c>
      <c r="AJ6" s="100">
        <v>361028.52770999994</v>
      </c>
      <c r="AK6" s="100">
        <f t="shared" si="0"/>
        <v>1250675.3106999998</v>
      </c>
      <c r="AL6" s="100">
        <v>394994.82927999995</v>
      </c>
      <c r="AM6" s="100">
        <v>399312.14734999981</v>
      </c>
      <c r="AN6" s="100">
        <v>420374.52578999999</v>
      </c>
      <c r="AO6" s="100">
        <v>355379.31778999639</v>
      </c>
      <c r="AP6" s="100">
        <f t="shared" si="1"/>
        <v>1570060.8202099963</v>
      </c>
      <c r="AQ6" s="100">
        <v>288711.05414999998</v>
      </c>
      <c r="AR6" s="100">
        <v>263324.2028000002</v>
      </c>
      <c r="AS6" s="100">
        <v>255887.04995000007</v>
      </c>
      <c r="AT6" s="194">
        <v>217163.7337000003</v>
      </c>
      <c r="AU6" s="100">
        <f>SUM(AQ6:AT6)</f>
        <v>1025086.0406000005</v>
      </c>
      <c r="AV6" s="194">
        <v>242314.76492999998</v>
      </c>
      <c r="AW6" s="194">
        <v>267040.94572000008</v>
      </c>
      <c r="AX6" s="194">
        <v>280967.80577999994</v>
      </c>
      <c r="AY6" s="194">
        <v>236546.19681000002</v>
      </c>
      <c r="AZ6" s="100">
        <f t="shared" si="2"/>
        <v>1026869.71324</v>
      </c>
      <c r="BA6" s="194">
        <v>235906.03882999998</v>
      </c>
      <c r="BB6" s="242">
        <v>253852</v>
      </c>
      <c r="BC6" s="242">
        <v>248267</v>
      </c>
      <c r="BD6" s="242">
        <v>144060</v>
      </c>
      <c r="BE6" s="194">
        <f>SUM(BA6:BD6)</f>
        <v>882085.03882999998</v>
      </c>
      <c r="BF6" s="194">
        <v>198324</v>
      </c>
      <c r="BG6" s="194">
        <v>207281</v>
      </c>
    </row>
    <row r="7" spans="1:59" x14ac:dyDescent="0.35">
      <c r="A7" s="177" t="s">
        <v>535</v>
      </c>
      <c r="B7" s="211" t="s">
        <v>551</v>
      </c>
      <c r="C7" s="100">
        <v>40363.38089</v>
      </c>
      <c r="D7" s="100">
        <v>34789.907909999994</v>
      </c>
      <c r="E7" s="100">
        <v>37781.838530000008</v>
      </c>
      <c r="F7" s="100">
        <v>39295.597409999973</v>
      </c>
      <c r="G7" s="193">
        <v>152230.72473999998</v>
      </c>
      <c r="H7" s="100">
        <v>36783.018909999999</v>
      </c>
      <c r="I7" s="100">
        <v>33576.173999999999</v>
      </c>
      <c r="J7" s="100">
        <v>31535.433989999998</v>
      </c>
      <c r="K7" s="100">
        <v>40634.13446999999</v>
      </c>
      <c r="L7" s="100">
        <v>142528.76136999999</v>
      </c>
      <c r="M7" s="100">
        <v>38943.069300000003</v>
      </c>
      <c r="N7" s="100">
        <v>40239.605820000012</v>
      </c>
      <c r="O7" s="100">
        <v>42229.592089999991</v>
      </c>
      <c r="P7" s="100">
        <v>44369.981300000029</v>
      </c>
      <c r="Q7" s="100">
        <v>165782.24851000003</v>
      </c>
      <c r="R7" s="100">
        <v>45447.7958</v>
      </c>
      <c r="S7" s="100">
        <v>47932.09931000002</v>
      </c>
      <c r="T7" s="100">
        <v>38424.190060000008</v>
      </c>
      <c r="U7" s="100">
        <v>34089.412130000004</v>
      </c>
      <c r="V7" s="100">
        <v>165893.49730000002</v>
      </c>
      <c r="W7" s="100">
        <v>37994.363250000002</v>
      </c>
      <c r="X7" s="100">
        <v>55877.181710000004</v>
      </c>
      <c r="Y7" s="100">
        <v>47728.539269999994</v>
      </c>
      <c r="Z7" s="100">
        <v>51413.113360000003</v>
      </c>
      <c r="AA7" s="100">
        <v>193013.19759000003</v>
      </c>
      <c r="AB7" s="100">
        <v>39538.184209999992</v>
      </c>
      <c r="AC7" s="100">
        <v>14437.726060000005</v>
      </c>
      <c r="AD7" s="100">
        <v>54943.614999999998</v>
      </c>
      <c r="AE7" s="100">
        <v>58059.968000000008</v>
      </c>
      <c r="AF7" s="100">
        <v>166979.49327000001</v>
      </c>
      <c r="AG7" s="100">
        <v>64791.642240000001</v>
      </c>
      <c r="AH7" s="100">
        <v>90402.496119999996</v>
      </c>
      <c r="AI7" s="100">
        <v>111407.27677</v>
      </c>
      <c r="AJ7" s="100">
        <v>75705.885960000014</v>
      </c>
      <c r="AK7" s="100">
        <f t="shared" si="0"/>
        <v>342307.30108999996</v>
      </c>
      <c r="AL7" s="100">
        <v>101866.81951</v>
      </c>
      <c r="AM7" s="100">
        <v>112573.03474999999</v>
      </c>
      <c r="AN7" s="100">
        <v>127900.73421</v>
      </c>
      <c r="AO7" s="100">
        <v>118183.35931</v>
      </c>
      <c r="AP7" s="100">
        <f t="shared" si="1"/>
        <v>460523.94777999993</v>
      </c>
      <c r="AQ7" s="100">
        <v>114473.50968999999</v>
      </c>
      <c r="AR7" s="100">
        <v>115560.92623000001</v>
      </c>
      <c r="AS7" s="100">
        <v>123975.95102000001</v>
      </c>
      <c r="AT7" s="194">
        <v>113081.20718999999</v>
      </c>
      <c r="AU7" s="100">
        <f>SUM(AQ7:AT7)</f>
        <v>467091.59412999998</v>
      </c>
      <c r="AV7" s="194">
        <v>102806.90599</v>
      </c>
      <c r="AW7" s="194">
        <v>114782.30006000001</v>
      </c>
      <c r="AX7" s="194">
        <v>124815.20778</v>
      </c>
      <c r="AY7" s="194">
        <v>125568.69282</v>
      </c>
      <c r="AZ7" s="100">
        <f t="shared" si="2"/>
        <v>467973.10664999997</v>
      </c>
      <c r="BA7" s="194">
        <v>114125.01048999999</v>
      </c>
      <c r="BB7" s="242">
        <v>127840</v>
      </c>
      <c r="BC7" s="242">
        <v>134215</v>
      </c>
      <c r="BD7" s="242">
        <v>130597</v>
      </c>
      <c r="BE7" s="194">
        <f>SUM(BA7:BD7)</f>
        <v>506777.01049000002</v>
      </c>
      <c r="BF7" s="194">
        <v>119229</v>
      </c>
      <c r="BG7" s="194">
        <v>121304</v>
      </c>
    </row>
    <row r="8" spans="1:59" ht="15" thickBot="1" x14ac:dyDescent="0.4">
      <c r="A8" s="177" t="s">
        <v>536</v>
      </c>
      <c r="B8" s="211" t="s">
        <v>552</v>
      </c>
      <c r="C8" s="100">
        <v>127634.43813018</v>
      </c>
      <c r="D8" s="100">
        <v>110636.91558799249</v>
      </c>
      <c r="E8" s="100">
        <v>86980.480704562491</v>
      </c>
      <c r="F8" s="100">
        <v>70049.061202945071</v>
      </c>
      <c r="G8" s="193">
        <v>395300.89562567999</v>
      </c>
      <c r="H8" s="100">
        <v>87087.919263734992</v>
      </c>
      <c r="I8" s="100">
        <v>100373.8933879578</v>
      </c>
      <c r="J8" s="100">
        <v>96446.381073500088</v>
      </c>
      <c r="K8" s="100">
        <v>97788.663923500018</v>
      </c>
      <c r="L8" s="100">
        <v>381696.85764869297</v>
      </c>
      <c r="M8" s="100">
        <v>97232.561330500001</v>
      </c>
      <c r="N8" s="100">
        <v>118669.36644149999</v>
      </c>
      <c r="O8" s="100">
        <v>136190.93696675001</v>
      </c>
      <c r="P8" s="100">
        <v>138473.88571950013</v>
      </c>
      <c r="Q8" s="100">
        <v>490566.75045825017</v>
      </c>
      <c r="R8" s="100">
        <v>161369.19550999999</v>
      </c>
      <c r="S8" s="100">
        <v>159558.89770000003</v>
      </c>
      <c r="T8" s="100">
        <v>190171.08577999999</v>
      </c>
      <c r="U8" s="100">
        <v>212994.04792999971</v>
      </c>
      <c r="V8" s="100">
        <v>724093.2269199997</v>
      </c>
      <c r="W8" s="100">
        <v>177666.72791999998</v>
      </c>
      <c r="X8" s="100">
        <v>254171.68307</v>
      </c>
      <c r="Y8" s="100">
        <v>231663.78625000009</v>
      </c>
      <c r="Z8" s="100">
        <v>224006.00416000001</v>
      </c>
      <c r="AA8" s="100">
        <v>887508.20140000002</v>
      </c>
      <c r="AB8" s="100">
        <v>172629.47178999998</v>
      </c>
      <c r="AC8" s="100">
        <v>52179.131500000076</v>
      </c>
      <c r="AD8" s="100">
        <v>178119.39204000001</v>
      </c>
      <c r="AE8" s="100">
        <v>218552.4775399997</v>
      </c>
      <c r="AF8" s="100">
        <v>621480.47286999971</v>
      </c>
      <c r="AG8" s="100">
        <v>268303</v>
      </c>
      <c r="AH8" s="100">
        <v>328999.84837000002</v>
      </c>
      <c r="AI8" s="100">
        <v>431475.42985000019</v>
      </c>
      <c r="AJ8" s="100">
        <v>419685.75931000081</v>
      </c>
      <c r="AK8" s="100">
        <f t="shared" si="0"/>
        <v>1448464.037530001</v>
      </c>
      <c r="AL8" s="100">
        <v>443102.79735000001</v>
      </c>
      <c r="AM8" s="100">
        <v>467558.07281000004</v>
      </c>
      <c r="AN8" s="100">
        <v>527852.75990999921</v>
      </c>
      <c r="AO8" s="100">
        <v>506447.06848999986</v>
      </c>
      <c r="AP8" s="100">
        <f t="shared" si="1"/>
        <v>1944960.698559999</v>
      </c>
      <c r="AQ8" s="100">
        <v>322144.64017000003</v>
      </c>
      <c r="AR8" s="100">
        <v>308928.59319999989</v>
      </c>
      <c r="AS8" s="100">
        <v>296337.21195999999</v>
      </c>
      <c r="AT8" s="194">
        <v>279039.06019000016</v>
      </c>
      <c r="AU8" s="100">
        <f>SUM(AQ8:AT8)</f>
        <v>1206449.5055200001</v>
      </c>
      <c r="AV8" s="194">
        <v>335321.58910000004</v>
      </c>
      <c r="AW8" s="194">
        <v>367842.02190999995</v>
      </c>
      <c r="AX8" s="194">
        <v>407291.26716000005</v>
      </c>
      <c r="AY8" s="194">
        <v>392927.6067699999</v>
      </c>
      <c r="AZ8" s="100">
        <f t="shared" si="2"/>
        <v>1503382.4849399999</v>
      </c>
      <c r="BA8" s="100">
        <v>331454.68700999999</v>
      </c>
      <c r="BB8" s="243">
        <v>405024</v>
      </c>
      <c r="BC8" s="243">
        <v>404903</v>
      </c>
      <c r="BD8" s="243">
        <v>287366</v>
      </c>
      <c r="BE8" s="100">
        <f t="shared" ref="BE5:BE8" si="3">SUM(BA8:BD8)</f>
        <v>1428747.68701</v>
      </c>
      <c r="BF8" s="100">
        <v>329078</v>
      </c>
      <c r="BG8" s="100">
        <v>349236</v>
      </c>
    </row>
    <row r="9" spans="1:59" x14ac:dyDescent="0.35">
      <c r="A9" s="254" t="s">
        <v>537</v>
      </c>
      <c r="B9" s="254" t="s">
        <v>553</v>
      </c>
      <c r="C9" s="101">
        <f t="shared" ref="C9:AU9" si="4">SUM(C4:C8)</f>
        <v>405214.75981505273</v>
      </c>
      <c r="D9" s="101">
        <f t="shared" si="4"/>
        <v>353948.91195627989</v>
      </c>
      <c r="E9" s="101">
        <f t="shared" si="4"/>
        <v>323968.50147175806</v>
      </c>
      <c r="F9" s="101">
        <f t="shared" si="4"/>
        <v>267484.42974349426</v>
      </c>
      <c r="G9" s="195">
        <f t="shared" si="4"/>
        <v>1350616.6029865851</v>
      </c>
      <c r="H9" s="101">
        <f t="shared" si="4"/>
        <v>309382.08828373498</v>
      </c>
      <c r="I9" s="101">
        <f t="shared" si="4"/>
        <v>346134.26868814824</v>
      </c>
      <c r="J9" s="101">
        <f t="shared" si="4"/>
        <v>368242.77116230008</v>
      </c>
      <c r="K9" s="101">
        <f t="shared" si="4"/>
        <v>376496.76156914979</v>
      </c>
      <c r="L9" s="101">
        <f t="shared" si="4"/>
        <v>1400255.8897033331</v>
      </c>
      <c r="M9" s="101">
        <f t="shared" si="4"/>
        <v>395036.02571589994</v>
      </c>
      <c r="N9" s="101">
        <f t="shared" si="4"/>
        <v>457127.3443315</v>
      </c>
      <c r="O9" s="101">
        <f t="shared" si="4"/>
        <v>500174.84526724997</v>
      </c>
      <c r="P9" s="101">
        <f t="shared" si="4"/>
        <v>478987.18967945001</v>
      </c>
      <c r="Q9" s="101">
        <f t="shared" si="4"/>
        <v>1831325.4049940999</v>
      </c>
      <c r="R9" s="101">
        <f t="shared" si="4"/>
        <v>557787.91289000004</v>
      </c>
      <c r="S9" s="101">
        <f t="shared" si="4"/>
        <v>579316.42299000011</v>
      </c>
      <c r="T9" s="101">
        <f t="shared" si="4"/>
        <v>626843.60615200002</v>
      </c>
      <c r="U9" s="101">
        <f t="shared" si="4"/>
        <v>605503.08894123673</v>
      </c>
      <c r="V9" s="101">
        <f t="shared" si="4"/>
        <v>2369451.0309732365</v>
      </c>
      <c r="W9" s="101">
        <f t="shared" si="4"/>
        <v>604506.45054999995</v>
      </c>
      <c r="X9" s="101">
        <f t="shared" si="4"/>
        <v>740065.07169999997</v>
      </c>
      <c r="Y9" s="101">
        <f t="shared" si="4"/>
        <v>722718.43075000017</v>
      </c>
      <c r="Z9" s="101">
        <f t="shared" si="4"/>
        <v>613626.61286999984</v>
      </c>
      <c r="AA9" s="101">
        <f t="shared" si="4"/>
        <v>2680916.56587</v>
      </c>
      <c r="AB9" s="101">
        <f t="shared" si="4"/>
        <v>514722.55517999659</v>
      </c>
      <c r="AC9" s="101">
        <f t="shared" si="4"/>
        <v>177597.67715</v>
      </c>
      <c r="AD9" s="101">
        <f t="shared" si="4"/>
        <v>581033.34270999976</v>
      </c>
      <c r="AE9" s="101">
        <f t="shared" si="4"/>
        <v>661712.23078999948</v>
      </c>
      <c r="AF9" s="101">
        <f t="shared" si="4"/>
        <v>1935065.8058299958</v>
      </c>
      <c r="AG9" s="101">
        <f t="shared" si="4"/>
        <v>784586.49280000012</v>
      </c>
      <c r="AH9" s="101">
        <f t="shared" si="4"/>
        <v>935542.62875000003</v>
      </c>
      <c r="AI9" s="101">
        <f t="shared" si="4"/>
        <v>1165086.1102500004</v>
      </c>
      <c r="AJ9" s="101">
        <f t="shared" si="4"/>
        <v>1097496.6449700007</v>
      </c>
      <c r="AK9" s="101">
        <f>SUM(AK4:AK8)</f>
        <v>3982711.8767700009</v>
      </c>
      <c r="AL9" s="101">
        <f t="shared" si="4"/>
        <v>1194894.1070599998</v>
      </c>
      <c r="AM9" s="101">
        <f t="shared" si="4"/>
        <v>1272690.8118199999</v>
      </c>
      <c r="AN9" s="101">
        <f t="shared" si="4"/>
        <v>1438111.3571599994</v>
      </c>
      <c r="AO9" s="101">
        <f t="shared" si="4"/>
        <v>1261008.617679996</v>
      </c>
      <c r="AP9" s="101">
        <f>SUM(AP4:AP8)</f>
        <v>5166704.8937199954</v>
      </c>
      <c r="AQ9" s="101">
        <f t="shared" si="4"/>
        <v>1025607.8629299999</v>
      </c>
      <c r="AR9" s="101">
        <f t="shared" si="4"/>
        <v>1007097.56687</v>
      </c>
      <c r="AS9" s="101">
        <f t="shared" si="4"/>
        <v>1013313.2584900002</v>
      </c>
      <c r="AT9" s="102">
        <f>SUM(AT4:AT8)</f>
        <v>901247.65863000066</v>
      </c>
      <c r="AU9" s="101">
        <f t="shared" si="4"/>
        <v>3947266.3469200009</v>
      </c>
      <c r="AV9" s="101">
        <f>SUM(AV4:AV8)+1</f>
        <v>975885.97127999994</v>
      </c>
      <c r="AW9" s="101">
        <f>SUM(AW4:AW8)</f>
        <v>1069410.1961600001</v>
      </c>
      <c r="AX9" s="101">
        <f>SUM(AX4:AX8)-1</f>
        <v>1200539.05094</v>
      </c>
      <c r="AY9" s="101">
        <f>SUM(AY4:AY8)</f>
        <v>1115210.4167399995</v>
      </c>
      <c r="AZ9" s="101">
        <f t="shared" si="2"/>
        <v>4361045.6351199998</v>
      </c>
      <c r="BA9" s="101">
        <f t="shared" ref="BA9:BG9" si="5">SUM(BA4:BA8)</f>
        <v>1040960.24076</v>
      </c>
      <c r="BB9" s="101">
        <f t="shared" si="5"/>
        <v>1195359</v>
      </c>
      <c r="BC9" s="101">
        <f t="shared" si="5"/>
        <v>1231811</v>
      </c>
      <c r="BD9" s="101">
        <f t="shared" si="5"/>
        <v>931084</v>
      </c>
      <c r="BE9" s="101">
        <f t="shared" si="5"/>
        <v>4399214.2407600004</v>
      </c>
      <c r="BF9" s="101">
        <f t="shared" si="5"/>
        <v>1038035</v>
      </c>
      <c r="BG9" s="101">
        <f t="shared" si="5"/>
        <v>1140014</v>
      </c>
    </row>
    <row r="10" spans="1:59" ht="15" thickBot="1" x14ac:dyDescent="0.4">
      <c r="A10" s="255"/>
      <c r="B10" s="255"/>
      <c r="C10" s="96">
        <f t="shared" ref="C10:AH10" si="6">C9/C$27</f>
        <v>0.26051519131557155</v>
      </c>
      <c r="D10" s="96">
        <f t="shared" si="6"/>
        <v>0.21257491695363337</v>
      </c>
      <c r="E10" s="96">
        <f t="shared" si="6"/>
        <v>0.18095641735153634</v>
      </c>
      <c r="F10" s="96">
        <f t="shared" si="6"/>
        <v>0.14571627899440831</v>
      </c>
      <c r="G10" s="196">
        <f t="shared" si="6"/>
        <v>0.19727237650653606</v>
      </c>
      <c r="H10" s="97">
        <f t="shared" si="6"/>
        <v>0.17358029391083452</v>
      </c>
      <c r="I10" s="97">
        <f t="shared" si="6"/>
        <v>0.19665297989055708</v>
      </c>
      <c r="J10" s="97">
        <f t="shared" si="6"/>
        <v>0.23079939651020659</v>
      </c>
      <c r="K10" s="97">
        <f t="shared" si="6"/>
        <v>0.22431087930677079</v>
      </c>
      <c r="L10" s="97">
        <f t="shared" si="6"/>
        <v>0.20542291381700678</v>
      </c>
      <c r="M10" s="97">
        <f t="shared" si="6"/>
        <v>0.23250597730411907</v>
      </c>
      <c r="N10" s="97">
        <f t="shared" si="6"/>
        <v>0.24036449996148865</v>
      </c>
      <c r="O10" s="97">
        <f t="shared" si="6"/>
        <v>0.25882930162592999</v>
      </c>
      <c r="P10" s="97">
        <f t="shared" si="6"/>
        <v>0.24505083736539435</v>
      </c>
      <c r="Q10" s="97">
        <f t="shared" si="6"/>
        <v>0.24456999946749391</v>
      </c>
      <c r="R10" s="97">
        <f t="shared" si="6"/>
        <v>0.26019238655464111</v>
      </c>
      <c r="S10" s="97">
        <f t="shared" si="6"/>
        <v>0.24143361654648179</v>
      </c>
      <c r="T10" s="97">
        <f t="shared" si="6"/>
        <v>0.23949916573551749</v>
      </c>
      <c r="U10" s="97">
        <f t="shared" si="6"/>
        <v>0.24656531197253645</v>
      </c>
      <c r="V10" s="97">
        <f t="shared" si="6"/>
        <v>0.24639948330871014</v>
      </c>
      <c r="W10" s="97">
        <f t="shared" si="6"/>
        <v>0.24492592713990927</v>
      </c>
      <c r="X10" s="97">
        <f t="shared" si="6"/>
        <v>0.27745537491205174</v>
      </c>
      <c r="Y10" s="97">
        <f t="shared" si="6"/>
        <v>0.28427608445113162</v>
      </c>
      <c r="Z10" s="97">
        <f t="shared" si="6"/>
        <v>0.26238682179579442</v>
      </c>
      <c r="AA10" s="97">
        <f t="shared" si="6"/>
        <v>0.26765284432282954</v>
      </c>
      <c r="AB10" s="97">
        <f t="shared" si="6"/>
        <v>0.23138177906127858</v>
      </c>
      <c r="AC10" s="97">
        <f t="shared" si="6"/>
        <v>0.15155396830350953</v>
      </c>
      <c r="AD10" s="97">
        <f t="shared" si="6"/>
        <v>0.23104958687251204</v>
      </c>
      <c r="AE10" s="97">
        <f t="shared" si="6"/>
        <v>0.2322280037890313</v>
      </c>
      <c r="AF10" s="97">
        <f t="shared" si="6"/>
        <v>0.22088360996899897</v>
      </c>
      <c r="AG10" s="97">
        <f t="shared" si="6"/>
        <v>0.25041893023305928</v>
      </c>
      <c r="AH10" s="97">
        <f t="shared" si="6"/>
        <v>0.29383705185602166</v>
      </c>
      <c r="AI10" s="97">
        <f t="shared" ref="AI10:AX10" si="7">AI9/AI$27</f>
        <v>0.32508175817320173</v>
      </c>
      <c r="AJ10" s="97">
        <f t="shared" si="7"/>
        <v>0.28977499830131309</v>
      </c>
      <c r="AK10" s="97">
        <f t="shared" si="7"/>
        <v>0.29095596075443914</v>
      </c>
      <c r="AL10" s="97">
        <f t="shared" si="7"/>
        <v>0.27936424291375145</v>
      </c>
      <c r="AM10" s="97">
        <f t="shared" si="7"/>
        <v>0.30357209065394969</v>
      </c>
      <c r="AN10" s="97">
        <f t="shared" si="7"/>
        <v>0.33302421615195604</v>
      </c>
      <c r="AO10" s="97">
        <f t="shared" si="7"/>
        <v>0.30313030684673903</v>
      </c>
      <c r="AP10" s="97">
        <f t="shared" si="7"/>
        <v>0.30485867564016</v>
      </c>
      <c r="AQ10" s="97">
        <f t="shared" si="7"/>
        <v>0.25652042819972504</v>
      </c>
      <c r="AR10" s="97">
        <f t="shared" si="7"/>
        <v>0.2649418016610105</v>
      </c>
      <c r="AS10" s="97">
        <f t="shared" si="7"/>
        <v>0.27592945369532923</v>
      </c>
      <c r="AT10" s="97">
        <f t="shared" si="7"/>
        <v>0.2587189330997306</v>
      </c>
      <c r="AU10" s="97">
        <f t="shared" si="7"/>
        <v>0.26393903113888578</v>
      </c>
      <c r="AV10" s="97">
        <f t="shared" si="7"/>
        <v>0.27139866040841787</v>
      </c>
      <c r="AW10" s="97">
        <f t="shared" si="7"/>
        <v>0.27816137803629137</v>
      </c>
      <c r="AX10" s="97">
        <f t="shared" si="7"/>
        <v>0.30146326451753924</v>
      </c>
      <c r="AY10" s="97">
        <f t="shared" ref="AY10:BG10" si="8">AY9/AY$27</f>
        <v>0.28528523281673529</v>
      </c>
      <c r="AZ10" s="97">
        <f t="shared" si="8"/>
        <v>0.34782858479764739</v>
      </c>
      <c r="BA10" s="97">
        <f t="shared" si="8"/>
        <v>0.26433390428633396</v>
      </c>
      <c r="BB10" s="97">
        <f t="shared" si="8"/>
        <v>0.29105632184131941</v>
      </c>
      <c r="BC10" s="97">
        <f t="shared" si="8"/>
        <v>0.32395610036921407</v>
      </c>
      <c r="BD10" s="97">
        <f t="shared" si="8"/>
        <v>0.26457864466116532</v>
      </c>
      <c r="BE10" s="97">
        <f t="shared" si="8"/>
        <v>0.28628529317657103</v>
      </c>
      <c r="BF10" s="97">
        <f t="shared" si="8"/>
        <v>0.27264097991953951</v>
      </c>
      <c r="BG10" s="97">
        <f t="shared" si="8"/>
        <v>0.28411776287423957</v>
      </c>
    </row>
    <row r="11" spans="1:59" x14ac:dyDescent="0.35">
      <c r="A11" s="177" t="s">
        <v>532</v>
      </c>
      <c r="B11" s="211" t="s">
        <v>548</v>
      </c>
      <c r="C11" s="100">
        <v>53275.100068636355</v>
      </c>
      <c r="D11" s="100">
        <v>63877.321718789812</v>
      </c>
      <c r="E11" s="100">
        <v>82085.679293033361</v>
      </c>
      <c r="F11" s="100">
        <v>83012.251064572658</v>
      </c>
      <c r="G11" s="193">
        <v>282250.3521450322</v>
      </c>
      <c r="H11" s="100">
        <v>86654.425014943961</v>
      </c>
      <c r="I11" s="100">
        <v>72616.156394045989</v>
      </c>
      <c r="J11" s="100">
        <v>67056.831298372679</v>
      </c>
      <c r="K11" s="100">
        <v>65454.115556856035</v>
      </c>
      <c r="L11" s="100">
        <v>291781.52826421865</v>
      </c>
      <c r="M11" s="100">
        <v>68516.392751945416</v>
      </c>
      <c r="N11" s="100">
        <v>72898.643500962586</v>
      </c>
      <c r="O11" s="100">
        <v>57623.205124868022</v>
      </c>
      <c r="P11" s="100">
        <v>61361.504489780898</v>
      </c>
      <c r="Q11" s="100">
        <v>260399.74586755692</v>
      </c>
      <c r="R11" s="100">
        <v>62973.433296189847</v>
      </c>
      <c r="S11" s="100">
        <v>81461.695556072969</v>
      </c>
      <c r="T11" s="100">
        <v>114428.02701701119</v>
      </c>
      <c r="U11" s="100">
        <v>103342.65362357</v>
      </c>
      <c r="V11" s="100">
        <v>362205.80949284398</v>
      </c>
      <c r="W11" s="100">
        <v>111241.08203432822</v>
      </c>
      <c r="X11" s="100">
        <v>119366.20369565784</v>
      </c>
      <c r="Y11" s="100">
        <v>109273.064626231</v>
      </c>
      <c r="Z11" s="100">
        <v>96133.624205977831</v>
      </c>
      <c r="AA11" s="100">
        <v>436013.97456219484</v>
      </c>
      <c r="AB11" s="100">
        <v>101482.62703320684</v>
      </c>
      <c r="AC11" s="100">
        <v>41140.639637760542</v>
      </c>
      <c r="AD11" s="100">
        <v>117716.99651948985</v>
      </c>
      <c r="AE11" s="100">
        <v>120970.98056079278</v>
      </c>
      <c r="AF11" s="100">
        <v>381311.24375124997</v>
      </c>
      <c r="AG11" s="100">
        <v>129983.68803208109</v>
      </c>
      <c r="AH11" s="100">
        <v>103211.49452651822</v>
      </c>
      <c r="AI11" s="100">
        <v>128707.25382105054</v>
      </c>
      <c r="AJ11" s="100">
        <v>156471.69057166137</v>
      </c>
      <c r="AK11" s="100">
        <f t="shared" ref="AK11:AK14" si="9">SUM(AG11:AJ11)</f>
        <v>518374.12695131125</v>
      </c>
      <c r="AL11" s="100">
        <v>148343.43055220888</v>
      </c>
      <c r="AM11" s="100">
        <v>143272.88941204711</v>
      </c>
      <c r="AN11" s="100">
        <v>143074.17165372235</v>
      </c>
      <c r="AO11" s="100">
        <v>117387.85693188335</v>
      </c>
      <c r="AP11" s="100">
        <f t="shared" ref="AP11:AP14" si="10">SUM(AL11:AO11)</f>
        <v>552078.34854986169</v>
      </c>
      <c r="AQ11" s="100">
        <v>161443.33654272163</v>
      </c>
      <c r="AR11" s="100">
        <v>158063.15497186448</v>
      </c>
      <c r="AS11" s="100">
        <v>159105.47778234651</v>
      </c>
      <c r="AT11" s="194">
        <v>155776.73171322333</v>
      </c>
      <c r="AU11" s="100">
        <f>SUM(AQ11:AT11)</f>
        <v>634388.70101015596</v>
      </c>
      <c r="AV11" s="194">
        <v>155580.91549262888</v>
      </c>
      <c r="AW11" s="194">
        <v>162880.50780222769</v>
      </c>
      <c r="AX11" s="194">
        <v>179724.6101738656</v>
      </c>
      <c r="AY11" s="194">
        <v>166325.51898586284</v>
      </c>
      <c r="AZ11" s="100">
        <f>SUM(AV11:AX11)</f>
        <v>498186.03346872213</v>
      </c>
      <c r="BA11" s="194">
        <v>155636.23254595604</v>
      </c>
      <c r="BB11" s="242">
        <v>147141</v>
      </c>
      <c r="BC11" s="242">
        <v>145961</v>
      </c>
      <c r="BD11" s="242">
        <v>129678</v>
      </c>
      <c r="BE11" s="194">
        <f t="shared" ref="BE11:BE14" si="11">SUM(BA11:BD11)</f>
        <v>578416.23254595604</v>
      </c>
      <c r="BF11" s="194">
        <v>201616</v>
      </c>
      <c r="BG11" s="194">
        <v>193933</v>
      </c>
    </row>
    <row r="12" spans="1:59" x14ac:dyDescent="0.35">
      <c r="A12" s="177" t="s">
        <v>533</v>
      </c>
      <c r="B12" s="211" t="s">
        <v>549</v>
      </c>
      <c r="C12" s="100">
        <v>244122.99744587226</v>
      </c>
      <c r="D12" s="100">
        <v>260693.20728242741</v>
      </c>
      <c r="E12" s="100">
        <v>294548.31231267762</v>
      </c>
      <c r="F12" s="100">
        <v>299216.05311808723</v>
      </c>
      <c r="G12" s="193">
        <v>1098580.5701590646</v>
      </c>
      <c r="H12" s="100">
        <v>291770.42669169104</v>
      </c>
      <c r="I12" s="100">
        <v>272197.77200271428</v>
      </c>
      <c r="J12" s="100">
        <v>252003.8188012201</v>
      </c>
      <c r="K12" s="100">
        <v>262169.22661190503</v>
      </c>
      <c r="L12" s="100">
        <v>1078141.2441075305</v>
      </c>
      <c r="M12" s="100">
        <v>248823.72861926095</v>
      </c>
      <c r="N12" s="100">
        <v>262123.366446823</v>
      </c>
      <c r="O12" s="100">
        <v>245239.50219385879</v>
      </c>
      <c r="P12" s="100">
        <v>238714.53844197653</v>
      </c>
      <c r="Q12" s="100">
        <v>994901.13570191921</v>
      </c>
      <c r="R12" s="100">
        <v>246005.44559986258</v>
      </c>
      <c r="S12" s="100">
        <v>280931.49390677229</v>
      </c>
      <c r="T12" s="100">
        <v>323004.35411230277</v>
      </c>
      <c r="U12" s="100">
        <v>313664.75851574284</v>
      </c>
      <c r="V12" s="100">
        <v>1163606.0521346803</v>
      </c>
      <c r="W12" s="100">
        <v>276063.80202087364</v>
      </c>
      <c r="X12" s="100">
        <v>277832.00657990063</v>
      </c>
      <c r="Y12" s="100">
        <v>289028.30880674685</v>
      </c>
      <c r="Z12" s="100">
        <v>250178.21374285227</v>
      </c>
      <c r="AA12" s="100">
        <v>1093102.3311503734</v>
      </c>
      <c r="AB12" s="100">
        <v>254896.63683348315</v>
      </c>
      <c r="AC12" s="100">
        <v>100027.77805215229</v>
      </c>
      <c r="AD12" s="100">
        <v>340541.09129827964</v>
      </c>
      <c r="AE12" s="100">
        <v>346120.76705443021</v>
      </c>
      <c r="AF12" s="100">
        <v>1041586.2732383454</v>
      </c>
      <c r="AG12" s="100">
        <v>369418.65813993494</v>
      </c>
      <c r="AH12" s="100">
        <v>305202.27523738286</v>
      </c>
      <c r="AI12" s="100">
        <v>407144.36425534775</v>
      </c>
      <c r="AJ12" s="100">
        <v>461827.69666740298</v>
      </c>
      <c r="AK12" s="100">
        <f t="shared" si="9"/>
        <v>1543592.9943000686</v>
      </c>
      <c r="AL12" s="100">
        <v>503922.50689194439</v>
      </c>
      <c r="AM12" s="100">
        <v>472172.4282591904</v>
      </c>
      <c r="AN12" s="100">
        <v>411485.7537297493</v>
      </c>
      <c r="AO12" s="100">
        <v>371550.91380737087</v>
      </c>
      <c r="AP12" s="100">
        <f t="shared" si="10"/>
        <v>1759131.602688255</v>
      </c>
      <c r="AQ12" s="100">
        <v>351310.91011023638</v>
      </c>
      <c r="AR12" s="100">
        <v>361344.84771387826</v>
      </c>
      <c r="AS12" s="100">
        <v>414048.24686833471</v>
      </c>
      <c r="AT12" s="194">
        <v>332993.36273795145</v>
      </c>
      <c r="AU12" s="100">
        <f>SUM(AQ12:AT12)</f>
        <v>1459697.3674304006</v>
      </c>
      <c r="AV12" s="194">
        <v>348859.56674909766</v>
      </c>
      <c r="AW12" s="194">
        <v>445102.01897688321</v>
      </c>
      <c r="AX12" s="194">
        <v>420112.72712789977</v>
      </c>
      <c r="AY12" s="194">
        <v>377114.94743457343</v>
      </c>
      <c r="AZ12" s="100">
        <f t="shared" ref="AZ12:AZ15" si="12">SUM(AV12:AX12)</f>
        <v>1214074.3128538807</v>
      </c>
      <c r="BA12" s="194">
        <v>386922.31591827585</v>
      </c>
      <c r="BB12" s="242">
        <v>455338</v>
      </c>
      <c r="BC12" s="242">
        <v>444008</v>
      </c>
      <c r="BD12" s="242">
        <v>383787</v>
      </c>
      <c r="BE12" s="194">
        <f t="shared" si="11"/>
        <v>1670055.3159182759</v>
      </c>
      <c r="BF12" s="194">
        <v>362125</v>
      </c>
      <c r="BG12" s="194">
        <v>397656</v>
      </c>
    </row>
    <row r="13" spans="1:59" x14ac:dyDescent="0.35">
      <c r="A13" s="177" t="s">
        <v>534</v>
      </c>
      <c r="B13" s="211" t="s">
        <v>550</v>
      </c>
      <c r="C13" s="100">
        <v>54757.896811190003</v>
      </c>
      <c r="D13" s="100">
        <v>70142.72482945025</v>
      </c>
      <c r="E13" s="100">
        <v>78374.825248841691</v>
      </c>
      <c r="F13" s="100">
        <v>63410.082717227458</v>
      </c>
      <c r="G13" s="193">
        <v>266685.52960670943</v>
      </c>
      <c r="H13" s="100">
        <v>69068.160561497178</v>
      </c>
      <c r="I13" s="100">
        <v>62434.890513013801</v>
      </c>
      <c r="J13" s="100">
        <v>52766.802320991541</v>
      </c>
      <c r="K13" s="100">
        <v>57591.806369278347</v>
      </c>
      <c r="L13" s="100">
        <v>241861.6597647809</v>
      </c>
      <c r="M13" s="100">
        <v>53180.706506902963</v>
      </c>
      <c r="N13" s="100">
        <v>60510.454215391954</v>
      </c>
      <c r="O13" s="100">
        <v>55112.662970313919</v>
      </c>
      <c r="P13" s="100">
        <v>52423.354325360677</v>
      </c>
      <c r="Q13" s="100">
        <v>221227.17801796951</v>
      </c>
      <c r="R13" s="100">
        <v>64059.76626206834</v>
      </c>
      <c r="S13" s="100">
        <v>81495.955999277605</v>
      </c>
      <c r="T13" s="100">
        <v>99096.902452246242</v>
      </c>
      <c r="U13" s="100">
        <v>92088.437573253119</v>
      </c>
      <c r="V13" s="100">
        <v>336741.06228684529</v>
      </c>
      <c r="W13" s="100">
        <v>96754.317361473208</v>
      </c>
      <c r="X13" s="100">
        <v>105344.66990282349</v>
      </c>
      <c r="Y13" s="100">
        <v>104080.19199134648</v>
      </c>
      <c r="Z13" s="100">
        <v>78235.224555388049</v>
      </c>
      <c r="AA13" s="100">
        <v>384414.4038110312</v>
      </c>
      <c r="AB13" s="100">
        <v>78320.672204709495</v>
      </c>
      <c r="AC13" s="100">
        <v>64523.784340685146</v>
      </c>
      <c r="AD13" s="100">
        <v>86864.929710436438</v>
      </c>
      <c r="AE13" s="100">
        <v>79960.790959864331</v>
      </c>
      <c r="AF13" s="100">
        <v>309670.17721569538</v>
      </c>
      <c r="AG13" s="100">
        <v>91487.890642123748</v>
      </c>
      <c r="AH13" s="100">
        <v>98214.065710381328</v>
      </c>
      <c r="AI13" s="100">
        <v>99802.77100425362</v>
      </c>
      <c r="AJ13" s="100">
        <v>106363.44830683572</v>
      </c>
      <c r="AK13" s="100">
        <f t="shared" si="9"/>
        <v>395868.17566359439</v>
      </c>
      <c r="AL13" s="100">
        <v>117452.60205592765</v>
      </c>
      <c r="AM13" s="100">
        <v>120117.38664544324</v>
      </c>
      <c r="AN13" s="100">
        <v>125619.58135239372</v>
      </c>
      <c r="AO13" s="100">
        <v>90704.862970989867</v>
      </c>
      <c r="AP13" s="100">
        <f t="shared" si="10"/>
        <v>453894.43302475451</v>
      </c>
      <c r="AQ13" s="100">
        <v>95520.239832020918</v>
      </c>
      <c r="AR13" s="100">
        <v>90849.811255262597</v>
      </c>
      <c r="AS13" s="100">
        <v>91533.285581868782</v>
      </c>
      <c r="AT13" s="194">
        <v>78466.727605067092</v>
      </c>
      <c r="AU13" s="100">
        <f>SUM(AQ13:AT13)</f>
        <v>356370.06427421939</v>
      </c>
      <c r="AV13" s="194">
        <v>88311.188719565995</v>
      </c>
      <c r="AW13" s="194">
        <v>98481.628777308011</v>
      </c>
      <c r="AX13" s="194">
        <v>95178.626177595113</v>
      </c>
      <c r="AY13" s="194">
        <v>72332.593382752733</v>
      </c>
      <c r="AZ13" s="100">
        <f t="shared" si="12"/>
        <v>281971.44367446913</v>
      </c>
      <c r="BA13" s="194">
        <v>104175.74336328928</v>
      </c>
      <c r="BB13" s="242">
        <v>104795</v>
      </c>
      <c r="BC13" s="242">
        <v>101486</v>
      </c>
      <c r="BD13" s="242">
        <v>73068</v>
      </c>
      <c r="BE13" s="194">
        <f t="shared" si="11"/>
        <v>383524.74336328928</v>
      </c>
      <c r="BF13" s="194">
        <v>79240</v>
      </c>
      <c r="BG13" s="194">
        <v>101080</v>
      </c>
    </row>
    <row r="14" spans="1:59" ht="15" thickBot="1" x14ac:dyDescent="0.4">
      <c r="A14" s="177" t="s">
        <v>536</v>
      </c>
      <c r="B14" s="211" t="s">
        <v>552</v>
      </c>
      <c r="C14" s="100">
        <v>147943.91550986498</v>
      </c>
      <c r="D14" s="100">
        <v>174442.38781495299</v>
      </c>
      <c r="E14" s="100">
        <v>183499.400857812</v>
      </c>
      <c r="F14" s="100">
        <v>192858.05011012411</v>
      </c>
      <c r="G14" s="193">
        <v>698743.75429275411</v>
      </c>
      <c r="H14" s="100">
        <v>164011.52894128198</v>
      </c>
      <c r="I14" s="100">
        <v>135064.120865537</v>
      </c>
      <c r="J14" s="100">
        <v>113935.65527400802</v>
      </c>
      <c r="K14" s="100">
        <v>119573.59952054385</v>
      </c>
      <c r="L14" s="100">
        <v>532584.9046013708</v>
      </c>
      <c r="M14" s="100">
        <v>138093.56483082281</v>
      </c>
      <c r="N14" s="100">
        <v>171087.76799405826</v>
      </c>
      <c r="O14" s="100">
        <v>180757.79920613894</v>
      </c>
      <c r="P14" s="100">
        <v>160617.13495641027</v>
      </c>
      <c r="Q14" s="100">
        <v>650556.26698743028</v>
      </c>
      <c r="R14" s="100">
        <v>188842.88752704841</v>
      </c>
      <c r="S14" s="100">
        <v>229640.73488972249</v>
      </c>
      <c r="T14" s="100">
        <v>309280.17486038501</v>
      </c>
      <c r="U14" s="100">
        <v>221734.45549479942</v>
      </c>
      <c r="V14" s="100">
        <v>949498.25277195533</v>
      </c>
      <c r="W14" s="100">
        <v>293325.18878568831</v>
      </c>
      <c r="X14" s="100">
        <v>322880.49831650342</v>
      </c>
      <c r="Y14" s="100">
        <v>299885.6314808047</v>
      </c>
      <c r="Z14" s="100">
        <v>213185.0293695096</v>
      </c>
      <c r="AA14" s="100">
        <v>1129276.347952506</v>
      </c>
      <c r="AB14" s="100">
        <v>233162.003265045</v>
      </c>
      <c r="AC14" s="100">
        <v>138438.39292413311</v>
      </c>
      <c r="AD14" s="100">
        <v>252292.99147557182</v>
      </c>
      <c r="AE14" s="100">
        <v>245558.88584139699</v>
      </c>
      <c r="AF14" s="100">
        <v>869452.27350614697</v>
      </c>
      <c r="AG14" s="100">
        <v>278553</v>
      </c>
      <c r="AH14" s="100">
        <v>337755.91401742399</v>
      </c>
      <c r="AI14" s="100">
        <v>429152.38373062847</v>
      </c>
      <c r="AJ14" s="100">
        <v>418602.53402022447</v>
      </c>
      <c r="AK14" s="100">
        <f t="shared" si="9"/>
        <v>1464063.8317682771</v>
      </c>
      <c r="AL14" s="100">
        <v>561996.03738508606</v>
      </c>
      <c r="AM14" s="100">
        <v>537796.04462331801</v>
      </c>
      <c r="AN14" s="100">
        <v>561455.278817849</v>
      </c>
      <c r="AO14" s="100">
        <v>572083.58771796618</v>
      </c>
      <c r="AP14" s="100">
        <f t="shared" si="10"/>
        <v>2233330.9485442191</v>
      </c>
      <c r="AQ14" s="100">
        <v>538166.76537564071</v>
      </c>
      <c r="AR14" s="100">
        <v>446993.64503408124</v>
      </c>
      <c r="AS14" s="100">
        <v>446152.62270906242</v>
      </c>
      <c r="AT14" s="194">
        <v>436593.96418303833</v>
      </c>
      <c r="AU14" s="100">
        <f>SUM(AQ14:AT14)</f>
        <v>1867906.9973018228</v>
      </c>
      <c r="AV14" s="194">
        <v>469229.17655069969</v>
      </c>
      <c r="AW14" s="194">
        <v>494976.05142804061</v>
      </c>
      <c r="AX14" s="194">
        <v>544900.71562292404</v>
      </c>
      <c r="AY14" s="194">
        <v>464603.88557741966</v>
      </c>
      <c r="AZ14" s="100">
        <f t="shared" si="12"/>
        <v>1509105.9436016644</v>
      </c>
      <c r="BA14" s="103">
        <v>423778.31004462345</v>
      </c>
      <c r="BB14" s="244">
        <v>336349</v>
      </c>
      <c r="BC14" s="244">
        <v>238695</v>
      </c>
      <c r="BD14" s="244">
        <v>245874</v>
      </c>
      <c r="BE14" s="103">
        <f t="shared" si="11"/>
        <v>1244696.3100446234</v>
      </c>
      <c r="BF14" s="103">
        <v>307665</v>
      </c>
      <c r="BG14" s="103">
        <v>345139</v>
      </c>
    </row>
    <row r="15" spans="1:59" ht="15" thickTop="1" x14ac:dyDescent="0.35">
      <c r="A15" s="254" t="s">
        <v>538</v>
      </c>
      <c r="B15" s="254" t="s">
        <v>554</v>
      </c>
      <c r="C15" s="101">
        <f t="shared" ref="C15:AU15" si="13">SUM(C11:C14)</f>
        <v>500099.90983556362</v>
      </c>
      <c r="D15" s="101">
        <f t="shared" si="13"/>
        <v>569155.64164562046</v>
      </c>
      <c r="E15" s="101">
        <f t="shared" si="13"/>
        <v>638508.21771236474</v>
      </c>
      <c r="F15" s="101">
        <f t="shared" si="13"/>
        <v>638496.4370100114</v>
      </c>
      <c r="G15" s="195">
        <f t="shared" si="13"/>
        <v>2346260.2062035603</v>
      </c>
      <c r="H15" s="101">
        <f t="shared" si="13"/>
        <v>611504.54120941414</v>
      </c>
      <c r="I15" s="101">
        <f t="shared" si="13"/>
        <v>542312.93977531104</v>
      </c>
      <c r="J15" s="101">
        <f t="shared" si="13"/>
        <v>485763.10769459233</v>
      </c>
      <c r="K15" s="101">
        <f t="shared" si="13"/>
        <v>504788.74805858324</v>
      </c>
      <c r="L15" s="101">
        <f t="shared" si="13"/>
        <v>2144369.336737901</v>
      </c>
      <c r="M15" s="101">
        <f t="shared" si="13"/>
        <v>508614.39270893211</v>
      </c>
      <c r="N15" s="101">
        <f t="shared" si="13"/>
        <v>566620.23215723573</v>
      </c>
      <c r="O15" s="101">
        <f t="shared" si="13"/>
        <v>538733.16949517967</v>
      </c>
      <c r="P15" s="101">
        <f t="shared" si="13"/>
        <v>513116.53221352835</v>
      </c>
      <c r="Q15" s="101">
        <f t="shared" si="13"/>
        <v>2127084.326574876</v>
      </c>
      <c r="R15" s="101">
        <f t="shared" si="13"/>
        <v>561881.53268516925</v>
      </c>
      <c r="S15" s="101">
        <f t="shared" si="13"/>
        <v>673529.88035184541</v>
      </c>
      <c r="T15" s="101">
        <f t="shared" si="13"/>
        <v>845809.45844194526</v>
      </c>
      <c r="U15" s="101">
        <f t="shared" si="13"/>
        <v>730830.30520736543</v>
      </c>
      <c r="V15" s="101">
        <f t="shared" si="13"/>
        <v>2812051.1766863251</v>
      </c>
      <c r="W15" s="101">
        <f t="shared" si="13"/>
        <v>777384.39020236349</v>
      </c>
      <c r="X15" s="101">
        <f t="shared" si="13"/>
        <v>825423.37849488528</v>
      </c>
      <c r="Y15" s="101">
        <f t="shared" si="13"/>
        <v>802267.19690512901</v>
      </c>
      <c r="Z15" s="101">
        <f t="shared" si="13"/>
        <v>637732.09187372774</v>
      </c>
      <c r="AA15" s="101">
        <f t="shared" si="13"/>
        <v>3042807.0574761056</v>
      </c>
      <c r="AB15" s="101">
        <f t="shared" si="13"/>
        <v>667861.93933644448</v>
      </c>
      <c r="AC15" s="101">
        <f t="shared" si="13"/>
        <v>344130.59495473106</v>
      </c>
      <c r="AD15" s="101">
        <f t="shared" si="13"/>
        <v>797416.00900377776</v>
      </c>
      <c r="AE15" s="101">
        <f t="shared" si="13"/>
        <v>792611.42441648431</v>
      </c>
      <c r="AF15" s="101">
        <f t="shared" si="13"/>
        <v>2602019.9677114375</v>
      </c>
      <c r="AG15" s="101">
        <f t="shared" si="13"/>
        <v>869443.23681413976</v>
      </c>
      <c r="AH15" s="101">
        <f t="shared" si="13"/>
        <v>844383.74949170637</v>
      </c>
      <c r="AI15" s="101">
        <f t="shared" si="13"/>
        <v>1064806.7728112803</v>
      </c>
      <c r="AJ15" s="101">
        <f t="shared" si="13"/>
        <v>1143265.3695661244</v>
      </c>
      <c r="AK15" s="101">
        <f t="shared" si="13"/>
        <v>3921899.1286832513</v>
      </c>
      <c r="AL15" s="101">
        <f t="shared" si="13"/>
        <v>1331714.576885167</v>
      </c>
      <c r="AM15" s="101">
        <f t="shared" si="13"/>
        <v>1273358.7489399989</v>
      </c>
      <c r="AN15" s="101">
        <f t="shared" si="13"/>
        <v>1241634.7855537143</v>
      </c>
      <c r="AO15" s="101">
        <f t="shared" si="13"/>
        <v>1151727.2214282104</v>
      </c>
      <c r="AP15" s="101">
        <f t="shared" si="13"/>
        <v>4998435.3328070901</v>
      </c>
      <c r="AQ15" s="101">
        <f t="shared" si="13"/>
        <v>1146441.2518606195</v>
      </c>
      <c r="AR15" s="101">
        <f t="shared" si="13"/>
        <v>1057251.4589750867</v>
      </c>
      <c r="AS15" s="101">
        <f t="shared" si="13"/>
        <v>1110839.6329416125</v>
      </c>
      <c r="AT15" s="102">
        <f>SUM(AT11:AT14)</f>
        <v>1003830.7862392802</v>
      </c>
      <c r="AU15" s="101">
        <f t="shared" si="13"/>
        <v>4318363.1300165989</v>
      </c>
      <c r="AV15" s="102">
        <f>SUM(AV11:AV14)-1</f>
        <v>1061979.8475119923</v>
      </c>
      <c r="AW15" s="102">
        <f>SUM(AW11:AW14)</f>
        <v>1201440.2069844594</v>
      </c>
      <c r="AX15" s="102">
        <f>SUM(AX11:AX14)+1</f>
        <v>1239917.6791022844</v>
      </c>
      <c r="AY15" s="102">
        <f>SUM(AY11:AY14)</f>
        <v>1080376.9453806086</v>
      </c>
      <c r="AZ15" s="101">
        <f t="shared" si="12"/>
        <v>3503337.7335987361</v>
      </c>
      <c r="BA15" s="101">
        <f t="shared" ref="BA15:BG15" si="14">SUM(BA11:BA14)</f>
        <v>1070512.6018721447</v>
      </c>
      <c r="BB15" s="101">
        <f t="shared" si="14"/>
        <v>1043623</v>
      </c>
      <c r="BC15" s="101">
        <f t="shared" si="14"/>
        <v>930150</v>
      </c>
      <c r="BD15" s="101">
        <f t="shared" si="14"/>
        <v>832407</v>
      </c>
      <c r="BE15" s="101">
        <f t="shared" si="14"/>
        <v>3876692.6018721447</v>
      </c>
      <c r="BF15" s="101">
        <f t="shared" si="14"/>
        <v>950646</v>
      </c>
      <c r="BG15" s="101">
        <f t="shared" si="14"/>
        <v>1037808</v>
      </c>
    </row>
    <row r="16" spans="1:59" ht="15" thickBot="1" x14ac:dyDescent="0.4">
      <c r="A16" s="255"/>
      <c r="B16" s="255"/>
      <c r="C16" s="96">
        <f t="shared" ref="C16:AH16" si="15">C15/C$27</f>
        <v>0.32151746828564615</v>
      </c>
      <c r="D16" s="96">
        <f t="shared" si="15"/>
        <v>0.34182394455687509</v>
      </c>
      <c r="E16" s="96">
        <f t="shared" si="15"/>
        <v>0.35664627580103397</v>
      </c>
      <c r="F16" s="96">
        <f t="shared" si="15"/>
        <v>0.34783080660622778</v>
      </c>
      <c r="G16" s="196">
        <f t="shared" si="15"/>
        <v>0.34269705092992175</v>
      </c>
      <c r="H16" s="97">
        <f t="shared" si="15"/>
        <v>0.34308753483360738</v>
      </c>
      <c r="I16" s="97">
        <f t="shared" si="15"/>
        <v>0.30811007544620728</v>
      </c>
      <c r="J16" s="97">
        <f t="shared" si="15"/>
        <v>0.30445630133882823</v>
      </c>
      <c r="K16" s="97">
        <f t="shared" si="15"/>
        <v>0.30074523740727666</v>
      </c>
      <c r="L16" s="97">
        <f t="shared" si="15"/>
        <v>0.31458721273143114</v>
      </c>
      <c r="M16" s="97">
        <f t="shared" si="15"/>
        <v>0.29935468855890618</v>
      </c>
      <c r="N16" s="97">
        <f t="shared" si="15"/>
        <v>0.2979375232293483</v>
      </c>
      <c r="O16" s="97">
        <f t="shared" si="15"/>
        <v>0.27878237248947724</v>
      </c>
      <c r="P16" s="97">
        <f t="shared" si="15"/>
        <v>0.26251147962662741</v>
      </c>
      <c r="Q16" s="97">
        <f t="shared" si="15"/>
        <v>0.28406803684318904</v>
      </c>
      <c r="R16" s="97">
        <f t="shared" si="15"/>
        <v>0.26210194515126573</v>
      </c>
      <c r="S16" s="97">
        <f t="shared" si="15"/>
        <v>0.28069764365763916</v>
      </c>
      <c r="T16" s="97">
        <f t="shared" si="15"/>
        <v>0.32315980841150266</v>
      </c>
      <c r="U16" s="97">
        <f t="shared" si="15"/>
        <v>0.29759947635861855</v>
      </c>
      <c r="V16" s="97">
        <f t="shared" si="15"/>
        <v>0.29242552300756419</v>
      </c>
      <c r="W16" s="97">
        <f t="shared" si="15"/>
        <v>0.31497032387524271</v>
      </c>
      <c r="X16" s="97">
        <f t="shared" si="15"/>
        <v>0.30945677846326985</v>
      </c>
      <c r="Y16" s="97">
        <f t="shared" si="15"/>
        <v>0.31556601812838858</v>
      </c>
      <c r="Z16" s="97">
        <f t="shared" si="15"/>
        <v>0.27269432784425424</v>
      </c>
      <c r="AA16" s="97">
        <f t="shared" si="15"/>
        <v>0.30378265926928177</v>
      </c>
      <c r="AB16" s="97">
        <f t="shared" si="15"/>
        <v>0.30022209467184374</v>
      </c>
      <c r="AC16" s="97">
        <f t="shared" si="15"/>
        <v>0.29366576250874793</v>
      </c>
      <c r="AD16" s="97">
        <f t="shared" si="15"/>
        <v>0.31709477908190847</v>
      </c>
      <c r="AE16" s="97">
        <f t="shared" si="15"/>
        <v>0.27816709486066016</v>
      </c>
      <c r="AF16" s="97">
        <f t="shared" si="15"/>
        <v>0.29701499656906977</v>
      </c>
      <c r="AG16" s="97">
        <f t="shared" si="15"/>
        <v>0.27750292320781245</v>
      </c>
      <c r="AH16" s="97">
        <f t="shared" si="15"/>
        <v>0.26520569342445</v>
      </c>
      <c r="AI16" s="97">
        <f t="shared" ref="AI16:BA16" si="16">AI15/AI$27</f>
        <v>0.29710186635556785</v>
      </c>
      <c r="AJ16" s="97">
        <f t="shared" si="16"/>
        <v>0.30185943806054122</v>
      </c>
      <c r="AK16" s="97">
        <f t="shared" si="16"/>
        <v>0.28651330155810084</v>
      </c>
      <c r="AL16" s="97">
        <f t="shared" si="16"/>
        <v>0.31135263982856887</v>
      </c>
      <c r="AM16" s="97">
        <f t="shared" si="16"/>
        <v>0.30373141220012595</v>
      </c>
      <c r="AN16" s="97">
        <f t="shared" si="16"/>
        <v>0.28752603137951838</v>
      </c>
      <c r="AO16" s="97">
        <f t="shared" si="16"/>
        <v>0.27686046006378051</v>
      </c>
      <c r="AP16" s="97">
        <f t="shared" si="16"/>
        <v>0.29493001965037985</v>
      </c>
      <c r="AQ16" s="97">
        <f t="shared" si="16"/>
        <v>0.2867427322494962</v>
      </c>
      <c r="AR16" s="97">
        <f t="shared" si="16"/>
        <v>0.27813601736737098</v>
      </c>
      <c r="AS16" s="97">
        <f t="shared" si="16"/>
        <v>0.30248629482797196</v>
      </c>
      <c r="AT16" s="97">
        <f t="shared" si="16"/>
        <v>0.28816721745860535</v>
      </c>
      <c r="AU16" s="97">
        <f t="shared" si="16"/>
        <v>0.28875289389372621</v>
      </c>
      <c r="AV16" s="97">
        <f t="shared" si="16"/>
        <v>0.29534178836227465</v>
      </c>
      <c r="AW16" s="97">
        <f t="shared" si="16"/>
        <v>0.31250334511772676</v>
      </c>
      <c r="AX16" s="97">
        <f t="shared" si="16"/>
        <v>0.3113514974648387</v>
      </c>
      <c r="AY16" s="97">
        <f t="shared" si="16"/>
        <v>0.27637438080404664</v>
      </c>
      <c r="AZ16" s="97">
        <f t="shared" si="16"/>
        <v>0.27941945760269843</v>
      </c>
      <c r="BA16" s="97">
        <f t="shared" si="16"/>
        <v>0.27183821683140252</v>
      </c>
      <c r="BB16" s="97">
        <f t="shared" ref="BB16:BC16" si="17">BB15/BB$27</f>
        <v>0.25411033151463563</v>
      </c>
      <c r="BC16" s="97">
        <f t="shared" si="17"/>
        <v>0.2446217534657707</v>
      </c>
      <c r="BD16" s="97">
        <f t="shared" ref="BD16:BG16" si="18">BD15/BD$27</f>
        <v>0.23653839596262702</v>
      </c>
      <c r="BE16" s="97">
        <f t="shared" si="18"/>
        <v>0.25228143421600602</v>
      </c>
      <c r="BF16" s="97">
        <f t="shared" si="18"/>
        <v>0.24968816754405249</v>
      </c>
      <c r="BG16" s="97">
        <f t="shared" si="18"/>
        <v>0.25864567211717471</v>
      </c>
    </row>
    <row r="17" spans="1:59" x14ac:dyDescent="0.35">
      <c r="A17" s="177" t="s">
        <v>532</v>
      </c>
      <c r="B17" s="211" t="s">
        <v>548</v>
      </c>
      <c r="C17" s="100">
        <v>248710.1951144521</v>
      </c>
      <c r="D17" s="100">
        <v>290526.21692604624</v>
      </c>
      <c r="E17" s="100">
        <v>325938.00620025757</v>
      </c>
      <c r="F17" s="100">
        <v>351251.33529994916</v>
      </c>
      <c r="G17" s="193">
        <v>1216425.7535407052</v>
      </c>
      <c r="H17" s="100">
        <v>338233.24403809296</v>
      </c>
      <c r="I17" s="100">
        <v>343067.95054582262</v>
      </c>
      <c r="J17" s="100">
        <v>291502.19886264554</v>
      </c>
      <c r="K17" s="100">
        <v>345182.31587396015</v>
      </c>
      <c r="L17" s="100">
        <v>1317985.7093205212</v>
      </c>
      <c r="M17" s="100">
        <v>330407.15864541277</v>
      </c>
      <c r="N17" s="100">
        <v>352205.15395791474</v>
      </c>
      <c r="O17" s="100">
        <v>355061.05065742461</v>
      </c>
      <c r="P17" s="100">
        <v>396406.66783482116</v>
      </c>
      <c r="Q17" s="100">
        <v>1434080.0310955732</v>
      </c>
      <c r="R17" s="100">
        <v>421216.15268230101</v>
      </c>
      <c r="S17" s="100">
        <v>460483.01344080892</v>
      </c>
      <c r="T17" s="100">
        <v>457984.14443000854</v>
      </c>
      <c r="U17" s="100">
        <v>443699.02509091893</v>
      </c>
      <c r="V17" s="100">
        <v>1783382.3356440372</v>
      </c>
      <c r="W17" s="100">
        <v>445823.68526964594</v>
      </c>
      <c r="X17" s="100">
        <v>441063.9665036092</v>
      </c>
      <c r="Y17" s="100">
        <v>416771.86621679936</v>
      </c>
      <c r="Z17" s="100">
        <v>462199.42157036997</v>
      </c>
      <c r="AA17" s="100">
        <v>1765858.9395604245</v>
      </c>
      <c r="AB17" s="100">
        <v>434454.60215222521</v>
      </c>
      <c r="AC17" s="100">
        <v>249798.47678144317</v>
      </c>
      <c r="AD17" s="100">
        <v>460201.0623368771</v>
      </c>
      <c r="AE17" s="100">
        <v>534808.5113519656</v>
      </c>
      <c r="AF17" s="100">
        <v>1679262.6526225111</v>
      </c>
      <c r="AG17" s="100">
        <v>533486.93270210689</v>
      </c>
      <c r="AH17" s="100">
        <v>516146.03863761434</v>
      </c>
      <c r="AI17" s="100">
        <v>420969.30158131756</v>
      </c>
      <c r="AJ17" s="100">
        <v>510036.95159779338</v>
      </c>
      <c r="AK17" s="100">
        <f t="shared" ref="AK17:AK19" si="19">SUM(AG17:AJ17)</f>
        <v>1980639.2245188323</v>
      </c>
      <c r="AL17" s="100">
        <v>562153.43675431842</v>
      </c>
      <c r="AM17" s="100">
        <v>593709.47639360384</v>
      </c>
      <c r="AN17" s="100">
        <v>597017.62623295886</v>
      </c>
      <c r="AO17" s="100">
        <v>683953.29072510113</v>
      </c>
      <c r="AP17" s="100">
        <f t="shared" ref="AP17:AP19" si="20">SUM(AL17:AO17)</f>
        <v>2436833.8301059823</v>
      </c>
      <c r="AQ17" s="100">
        <v>682080.44995932642</v>
      </c>
      <c r="AR17" s="100">
        <v>675394.72071913956</v>
      </c>
      <c r="AS17" s="100">
        <v>562619.24782509718</v>
      </c>
      <c r="AT17" s="194">
        <v>539782.75758359465</v>
      </c>
      <c r="AU17" s="100">
        <f>SUM(AQ17:AT17)</f>
        <v>2459877.1760871578</v>
      </c>
      <c r="AV17" s="194">
        <v>581580.62283917109</v>
      </c>
      <c r="AW17" s="194">
        <v>594550.63695618208</v>
      </c>
      <c r="AX17" s="194">
        <v>591961.88681657042</v>
      </c>
      <c r="AY17" s="194">
        <v>688796.04223890789</v>
      </c>
      <c r="AZ17" s="100">
        <f>SUM(AV17:AX17)</f>
        <v>1768093.1466119238</v>
      </c>
      <c r="BA17" s="194">
        <v>734965.84833129402</v>
      </c>
      <c r="BB17" s="242">
        <v>765300</v>
      </c>
      <c r="BC17" s="242">
        <v>673711</v>
      </c>
      <c r="BD17" s="242">
        <v>706370</v>
      </c>
      <c r="BE17" s="194">
        <f t="shared" ref="BE17:BE19" si="21">SUM(BA17:BD17)</f>
        <v>2880346.848331294</v>
      </c>
      <c r="BF17" s="194">
        <v>744105</v>
      </c>
      <c r="BG17" s="194">
        <v>752470</v>
      </c>
    </row>
    <row r="18" spans="1:59" x14ac:dyDescent="0.35">
      <c r="A18" s="177" t="s">
        <v>533</v>
      </c>
      <c r="B18" s="211" t="s">
        <v>549</v>
      </c>
      <c r="C18" s="100">
        <v>156523.93141942937</v>
      </c>
      <c r="D18" s="100">
        <v>177654.29388117316</v>
      </c>
      <c r="E18" s="100">
        <v>208356.77312953997</v>
      </c>
      <c r="F18" s="100">
        <v>266499.90134457021</v>
      </c>
      <c r="G18" s="193">
        <v>809034.89977471263</v>
      </c>
      <c r="H18" s="100">
        <v>213272.36813251654</v>
      </c>
      <c r="I18" s="100">
        <v>214409.01578887051</v>
      </c>
      <c r="J18" s="100">
        <v>186290.90407197038</v>
      </c>
      <c r="K18" s="100">
        <v>200232.69415101208</v>
      </c>
      <c r="L18" s="100">
        <v>814204.98214436951</v>
      </c>
      <c r="M18" s="100">
        <v>179351.04658957353</v>
      </c>
      <c r="N18" s="100">
        <v>199811.8761809119</v>
      </c>
      <c r="O18" s="100">
        <v>210343.90927947307</v>
      </c>
      <c r="P18" s="100">
        <v>221962.69891267701</v>
      </c>
      <c r="Q18" s="100">
        <v>811469.53096263553</v>
      </c>
      <c r="R18" s="100">
        <v>218079.24240159208</v>
      </c>
      <c r="S18" s="100">
        <v>255283.16493692505</v>
      </c>
      <c r="T18" s="100">
        <v>239059.93186740193</v>
      </c>
      <c r="U18" s="100">
        <v>245998.97248660767</v>
      </c>
      <c r="V18" s="100">
        <v>958421.31169252691</v>
      </c>
      <c r="W18" s="100">
        <v>220617.17415492216</v>
      </c>
      <c r="X18" s="100">
        <v>243228.13674833032</v>
      </c>
      <c r="Y18" s="100">
        <v>225416.17118226222</v>
      </c>
      <c r="Z18" s="100">
        <v>236500.59574595417</v>
      </c>
      <c r="AA18" s="100">
        <v>925762.07783146878</v>
      </c>
      <c r="AB18" s="100">
        <v>229434.01248868598</v>
      </c>
      <c r="AC18" s="100">
        <v>186327.56722280741</v>
      </c>
      <c r="AD18" s="100">
        <v>256661.7562945789</v>
      </c>
      <c r="AE18" s="100">
        <v>313960.32943959901</v>
      </c>
      <c r="AF18" s="100">
        <v>986383.66544567118</v>
      </c>
      <c r="AG18" s="100">
        <v>288002.17982702859</v>
      </c>
      <c r="AH18" s="100">
        <v>263464.51676334155</v>
      </c>
      <c r="AI18" s="100">
        <v>287498.36883436632</v>
      </c>
      <c r="AJ18" s="100">
        <v>310681.502713433</v>
      </c>
      <c r="AK18" s="100">
        <f t="shared" si="19"/>
        <v>1149646.5681381696</v>
      </c>
      <c r="AL18" s="100">
        <v>329746.47006010148</v>
      </c>
      <c r="AM18" s="100">
        <v>334589.57025237905</v>
      </c>
      <c r="AN18" s="100">
        <v>299896.20147899038</v>
      </c>
      <c r="AO18" s="100">
        <v>308267.24337980314</v>
      </c>
      <c r="AP18" s="100">
        <f t="shared" si="20"/>
        <v>1272499.485171274</v>
      </c>
      <c r="AQ18" s="100">
        <v>330487.59579026699</v>
      </c>
      <c r="AR18" s="100">
        <v>321817.06385709927</v>
      </c>
      <c r="AS18" s="100">
        <v>305693.49855743686</v>
      </c>
      <c r="AT18" s="194">
        <v>356817.25983025751</v>
      </c>
      <c r="AU18" s="100">
        <f>SUM(AQ18:AT18)</f>
        <v>1314815.4180350606</v>
      </c>
      <c r="AV18" s="194">
        <v>355103.83652495616</v>
      </c>
      <c r="AW18" s="194">
        <v>351441.66038312309</v>
      </c>
      <c r="AX18" s="194">
        <v>307973.06908830686</v>
      </c>
      <c r="AY18" s="194">
        <v>361149.35610541253</v>
      </c>
      <c r="AZ18" s="100">
        <f t="shared" ref="AZ18:AZ20" si="22">SUM(AV18:AX18)</f>
        <v>1014518.5659963861</v>
      </c>
      <c r="BA18" s="194">
        <v>387433.29990745726</v>
      </c>
      <c r="BB18" s="242">
        <v>377226</v>
      </c>
      <c r="BC18" s="242">
        <v>348437</v>
      </c>
      <c r="BD18" s="242">
        <v>361147</v>
      </c>
      <c r="BE18" s="194">
        <f t="shared" si="21"/>
        <v>1474243.2999074573</v>
      </c>
      <c r="BF18" s="194">
        <v>360281</v>
      </c>
      <c r="BG18" s="194">
        <v>339662</v>
      </c>
    </row>
    <row r="19" spans="1:59" ht="15" thickBot="1" x14ac:dyDescent="0.4">
      <c r="A19" s="177" t="s">
        <v>534</v>
      </c>
      <c r="B19" s="211" t="s">
        <v>550</v>
      </c>
      <c r="C19" s="100">
        <v>128288.89733637436</v>
      </c>
      <c r="D19" s="100">
        <v>142702.30877004442</v>
      </c>
      <c r="E19" s="100">
        <v>138592.66836473404</v>
      </c>
      <c r="F19" s="100">
        <v>152734.10322042624</v>
      </c>
      <c r="G19" s="193">
        <v>562317.97769157903</v>
      </c>
      <c r="H19" s="100">
        <v>158293.15532803425</v>
      </c>
      <c r="I19" s="100">
        <v>164439.94046125427</v>
      </c>
      <c r="J19" s="100">
        <v>135292.31276112469</v>
      </c>
      <c r="K19" s="100">
        <v>127192.86941224348</v>
      </c>
      <c r="L19" s="100">
        <v>585218.27796265658</v>
      </c>
      <c r="M19" s="100">
        <v>142321.31856751154</v>
      </c>
      <c r="N19" s="100">
        <v>163508.17411932565</v>
      </c>
      <c r="O19" s="100">
        <v>156031.20416996203</v>
      </c>
      <c r="P19" s="100">
        <v>164837.69097529445</v>
      </c>
      <c r="Q19" s="100">
        <v>626698.38783209363</v>
      </c>
      <c r="R19" s="100">
        <v>186621.81042941159</v>
      </c>
      <c r="S19" s="100">
        <v>198325.2430422146</v>
      </c>
      <c r="T19" s="100">
        <v>196772.28400924697</v>
      </c>
      <c r="U19" s="100">
        <v>189416.34878869203</v>
      </c>
      <c r="V19" s="100">
        <v>771135.68626956525</v>
      </c>
      <c r="W19" s="100">
        <v>192901.0447069364</v>
      </c>
      <c r="X19" s="100">
        <v>178354.0445431043</v>
      </c>
      <c r="Y19" s="100">
        <v>160685.93450075254</v>
      </c>
      <c r="Z19" s="100">
        <v>162147.83471359045</v>
      </c>
      <c r="AA19" s="100">
        <v>694088.85846438352</v>
      </c>
      <c r="AB19" s="100">
        <v>187764.02025939891</v>
      </c>
      <c r="AC19" s="100">
        <v>139872.01750154467</v>
      </c>
      <c r="AD19" s="100">
        <v>204193.60086262083</v>
      </c>
      <c r="AE19" s="100">
        <v>243966.33288272363</v>
      </c>
      <c r="AF19" s="100">
        <v>775795.97150628793</v>
      </c>
      <c r="AG19" s="100">
        <v>300299.18869647832</v>
      </c>
      <c r="AH19" s="100">
        <v>291912.76968375751</v>
      </c>
      <c r="AI19" s="100">
        <v>307154.6862987632</v>
      </c>
      <c r="AJ19" s="100">
        <v>356182.8083396618</v>
      </c>
      <c r="AK19" s="100">
        <f t="shared" si="19"/>
        <v>1255549.4530186607</v>
      </c>
      <c r="AL19" s="100">
        <v>425137.19665135955</v>
      </c>
      <c r="AM19" s="100">
        <v>387719.1315859587</v>
      </c>
      <c r="AN19" s="100">
        <v>344397</v>
      </c>
      <c r="AO19" s="100">
        <v>390316.1914781392</v>
      </c>
      <c r="AP19" s="100">
        <f t="shared" si="20"/>
        <v>1547569.5197154575</v>
      </c>
      <c r="AQ19" s="100">
        <v>439094.61363996984</v>
      </c>
      <c r="AR19" s="100">
        <v>395115.24149570847</v>
      </c>
      <c r="AS19" s="100">
        <v>326142.81126583333</v>
      </c>
      <c r="AT19" s="194">
        <v>328430.12461245584</v>
      </c>
      <c r="AU19" s="100">
        <f>SUM(AQ19:AT19)</f>
        <v>1488782.7910139672</v>
      </c>
      <c r="AV19" s="194">
        <v>307448.09672759275</v>
      </c>
      <c r="AW19" s="194">
        <v>305185.13091876719</v>
      </c>
      <c r="AX19" s="194">
        <v>281356.60507845064</v>
      </c>
      <c r="AY19" s="194">
        <v>309170.27423784882</v>
      </c>
      <c r="AZ19" s="100">
        <f t="shared" si="22"/>
        <v>893989.83272481058</v>
      </c>
      <c r="BA19" s="103">
        <v>353134.39639323391</v>
      </c>
      <c r="BB19" s="244">
        <v>382310</v>
      </c>
      <c r="BC19" s="244">
        <v>344277</v>
      </c>
      <c r="BD19" s="244">
        <v>365405</v>
      </c>
      <c r="BE19" s="103">
        <f t="shared" si="21"/>
        <v>1445126.3963932339</v>
      </c>
      <c r="BF19" s="103">
        <v>393187</v>
      </c>
      <c r="BG19" s="103">
        <v>389787</v>
      </c>
    </row>
    <row r="20" spans="1:59" ht="15" thickTop="1" x14ac:dyDescent="0.35">
      <c r="A20" s="254" t="s">
        <v>539</v>
      </c>
      <c r="B20" s="254" t="s">
        <v>555</v>
      </c>
      <c r="C20" s="101">
        <f t="shared" ref="C20:AU20" si="23">SUM(C17:C19)</f>
        <v>533523.0238702558</v>
      </c>
      <c r="D20" s="101">
        <f t="shared" si="23"/>
        <v>610882.8195772639</v>
      </c>
      <c r="E20" s="101">
        <f t="shared" si="23"/>
        <v>672887.44769453153</v>
      </c>
      <c r="F20" s="101">
        <f t="shared" si="23"/>
        <v>770485.33986494562</v>
      </c>
      <c r="G20" s="195">
        <f t="shared" si="23"/>
        <v>2587778.6310069971</v>
      </c>
      <c r="H20" s="101">
        <f t="shared" si="23"/>
        <v>709798.76749864384</v>
      </c>
      <c r="I20" s="101">
        <f t="shared" si="23"/>
        <v>721916.90679594735</v>
      </c>
      <c r="J20" s="101">
        <f t="shared" si="23"/>
        <v>613085.41569574061</v>
      </c>
      <c r="K20" s="101">
        <f t="shared" si="23"/>
        <v>672607.87943721574</v>
      </c>
      <c r="L20" s="101">
        <f t="shared" si="23"/>
        <v>2717408.9694275474</v>
      </c>
      <c r="M20" s="101">
        <f t="shared" si="23"/>
        <v>652079.52380249777</v>
      </c>
      <c r="N20" s="101">
        <f t="shared" si="23"/>
        <v>715525.20425815228</v>
      </c>
      <c r="O20" s="101">
        <f t="shared" si="23"/>
        <v>721436.16410685983</v>
      </c>
      <c r="P20" s="101">
        <f t="shared" si="23"/>
        <v>783207.05772279261</v>
      </c>
      <c r="Q20" s="101">
        <f t="shared" si="23"/>
        <v>2872247.949890302</v>
      </c>
      <c r="R20" s="101">
        <f t="shared" si="23"/>
        <v>825917.20551330468</v>
      </c>
      <c r="S20" s="101">
        <f t="shared" si="23"/>
        <v>914091.42141994857</v>
      </c>
      <c r="T20" s="101">
        <f t="shared" si="23"/>
        <v>893816.3603066575</v>
      </c>
      <c r="U20" s="101">
        <f t="shared" si="23"/>
        <v>879114.34636621864</v>
      </c>
      <c r="V20" s="101">
        <f t="shared" si="23"/>
        <v>3512939.3336061295</v>
      </c>
      <c r="W20" s="101">
        <f t="shared" si="23"/>
        <v>859341.90413150447</v>
      </c>
      <c r="X20" s="101">
        <f t="shared" si="23"/>
        <v>862646.14779504389</v>
      </c>
      <c r="Y20" s="101">
        <f t="shared" si="23"/>
        <v>802873.97189981421</v>
      </c>
      <c r="Z20" s="101">
        <f t="shared" si="23"/>
        <v>860847.85202991462</v>
      </c>
      <c r="AA20" s="101">
        <f t="shared" si="23"/>
        <v>3385709.8758562766</v>
      </c>
      <c r="AB20" s="101">
        <f t="shared" si="23"/>
        <v>851652.63490031008</v>
      </c>
      <c r="AC20" s="101">
        <f t="shared" si="23"/>
        <v>575998.06150579522</v>
      </c>
      <c r="AD20" s="101">
        <f t="shared" si="23"/>
        <v>921056.41949407686</v>
      </c>
      <c r="AE20" s="101">
        <f t="shared" si="23"/>
        <v>1092735.1736742882</v>
      </c>
      <c r="AF20" s="101">
        <f t="shared" si="23"/>
        <v>3441442.2895744699</v>
      </c>
      <c r="AG20" s="101">
        <f t="shared" si="23"/>
        <v>1121788.3012256138</v>
      </c>
      <c r="AH20" s="101">
        <f t="shared" si="23"/>
        <v>1071523.3250847135</v>
      </c>
      <c r="AI20" s="101">
        <f t="shared" si="23"/>
        <v>1015622.356714447</v>
      </c>
      <c r="AJ20" s="101">
        <f t="shared" si="23"/>
        <v>1176901.2626508882</v>
      </c>
      <c r="AK20" s="101">
        <f t="shared" si="23"/>
        <v>4385835.2456756625</v>
      </c>
      <c r="AL20" s="101">
        <f t="shared" si="23"/>
        <v>1317037.1034657795</v>
      </c>
      <c r="AM20" s="101">
        <f t="shared" si="23"/>
        <v>1316018.1782319415</v>
      </c>
      <c r="AN20" s="101">
        <f t="shared" si="23"/>
        <v>1241310.8277119491</v>
      </c>
      <c r="AO20" s="101">
        <f t="shared" si="23"/>
        <v>1382536.7255830434</v>
      </c>
      <c r="AP20" s="101">
        <f t="shared" si="23"/>
        <v>5256902.8349927133</v>
      </c>
      <c r="AQ20" s="101">
        <f t="shared" si="23"/>
        <v>1451662.6593895634</v>
      </c>
      <c r="AR20" s="101">
        <f t="shared" si="23"/>
        <v>1392327.0260719473</v>
      </c>
      <c r="AS20" s="101">
        <f t="shared" si="23"/>
        <v>1194455.5576483672</v>
      </c>
      <c r="AT20" s="102">
        <f>SUM(AT17:AT19)</f>
        <v>1225030.142026308</v>
      </c>
      <c r="AU20" s="101">
        <f t="shared" si="23"/>
        <v>5263475.3851361852</v>
      </c>
      <c r="AV20" s="102">
        <f>SUM(AV17:AV19)-1</f>
        <v>1244131.55609172</v>
      </c>
      <c r="AW20" s="102">
        <f>SUM(AW17:AW19)</f>
        <v>1251177.4282580724</v>
      </c>
      <c r="AX20" s="102">
        <f>SUM(AX17:AX19)</f>
        <v>1181291.5609833279</v>
      </c>
      <c r="AY20" s="102">
        <f>SUM(AY17:AY19)</f>
        <v>1359115.6725821693</v>
      </c>
      <c r="AZ20" s="101">
        <f t="shared" si="22"/>
        <v>3676600.54533312</v>
      </c>
      <c r="BA20" s="101">
        <f t="shared" ref="BA20:BG20" si="24">SUM(BA17:BA19)</f>
        <v>1475533.5446319852</v>
      </c>
      <c r="BB20" s="101">
        <f t="shared" si="24"/>
        <v>1524836</v>
      </c>
      <c r="BC20" s="101">
        <f t="shared" si="24"/>
        <v>1366425</v>
      </c>
      <c r="BD20" s="101">
        <f t="shared" si="24"/>
        <v>1432922</v>
      </c>
      <c r="BE20" s="101">
        <f t="shared" si="24"/>
        <v>5799716.544631985</v>
      </c>
      <c r="BF20" s="101">
        <f t="shared" si="24"/>
        <v>1497573</v>
      </c>
      <c r="BG20" s="101">
        <f t="shared" si="24"/>
        <v>1481919</v>
      </c>
    </row>
    <row r="21" spans="1:59" ht="15" thickBot="1" x14ac:dyDescent="0.4">
      <c r="A21" s="255"/>
      <c r="B21" s="255"/>
      <c r="C21" s="96">
        <f t="shared" ref="C21:AH21" si="25">C20/C$27</f>
        <v>0.34300540458659462</v>
      </c>
      <c r="D21" s="96">
        <f t="shared" si="25"/>
        <v>0.3668844860189272</v>
      </c>
      <c r="E21" s="96">
        <f t="shared" si="25"/>
        <v>0.3758491991118354</v>
      </c>
      <c r="F21" s="96">
        <f t="shared" si="25"/>
        <v>0.4197338022722521</v>
      </c>
      <c r="G21" s="196">
        <f t="shared" si="25"/>
        <v>0.37797346729096237</v>
      </c>
      <c r="H21" s="97">
        <f t="shared" si="25"/>
        <v>0.39823597857083831</v>
      </c>
      <c r="I21" s="97">
        <f t="shared" si="25"/>
        <v>0.41015040635200073</v>
      </c>
      <c r="J21" s="97">
        <f t="shared" si="25"/>
        <v>0.38425667802022156</v>
      </c>
      <c r="K21" s="97">
        <f t="shared" si="25"/>
        <v>0.40072924993144726</v>
      </c>
      <c r="L21" s="97">
        <f t="shared" si="25"/>
        <v>0.39865432642496779</v>
      </c>
      <c r="M21" s="97">
        <f t="shared" si="25"/>
        <v>0.38379382408717366</v>
      </c>
      <c r="N21" s="97">
        <f t="shared" si="25"/>
        <v>0.376234018953439</v>
      </c>
      <c r="O21" s="97">
        <f t="shared" si="25"/>
        <v>0.37332708809795639</v>
      </c>
      <c r="P21" s="97">
        <f t="shared" si="25"/>
        <v>0.40069035135135528</v>
      </c>
      <c r="Q21" s="97">
        <f t="shared" si="25"/>
        <v>0.38358321118656946</v>
      </c>
      <c r="R21" s="97">
        <f t="shared" si="25"/>
        <v>0.38526716666487915</v>
      </c>
      <c r="S21" s="97">
        <f t="shared" si="25"/>
        <v>0.38095311813962135</v>
      </c>
      <c r="T21" s="97">
        <f t="shared" si="25"/>
        <v>0.34150188422324418</v>
      </c>
      <c r="U21" s="97">
        <f t="shared" si="25"/>
        <v>0.35798182871426332</v>
      </c>
      <c r="V21" s="97">
        <f t="shared" si="25"/>
        <v>0.36531096248900358</v>
      </c>
      <c r="W21" s="97">
        <f t="shared" si="25"/>
        <v>0.34817678522385748</v>
      </c>
      <c r="X21" s="97">
        <f t="shared" si="25"/>
        <v>0.32341184512749804</v>
      </c>
      <c r="Y21" s="97">
        <f t="shared" si="25"/>
        <v>0.31580468869813305</v>
      </c>
      <c r="Z21" s="97">
        <f t="shared" si="25"/>
        <v>0.36809865675059711</v>
      </c>
      <c r="AA21" s="97">
        <f t="shared" si="25"/>
        <v>0.33801681479436563</v>
      </c>
      <c r="AB21" s="97">
        <f t="shared" si="25"/>
        <v>0.38284100788345915</v>
      </c>
      <c r="AC21" s="97">
        <f t="shared" si="25"/>
        <v>0.49153115827411725</v>
      </c>
      <c r="AD21" s="97">
        <f t="shared" si="25"/>
        <v>0.36626074541232878</v>
      </c>
      <c r="AE21" s="97">
        <f t="shared" si="25"/>
        <v>0.38349556838246601</v>
      </c>
      <c r="AF21" s="97">
        <f t="shared" si="25"/>
        <v>0.39283325359322135</v>
      </c>
      <c r="AG21" s="97">
        <f t="shared" si="25"/>
        <v>0.35804468840440257</v>
      </c>
      <c r="AH21" s="97">
        <f t="shared" si="25"/>
        <v>0.33654613393569932</v>
      </c>
      <c r="AI21" s="97">
        <f t="shared" ref="AI21:BA21" si="26">AI20/AI$27</f>
        <v>0.28337845456753269</v>
      </c>
      <c r="AJ21" s="97">
        <f t="shared" si="26"/>
        <v>0.31074041360262777</v>
      </c>
      <c r="AK21" s="97">
        <f t="shared" si="26"/>
        <v>0.32040603164373394</v>
      </c>
      <c r="AL21" s="97">
        <f t="shared" si="26"/>
        <v>0.30792107110171096</v>
      </c>
      <c r="AM21" s="97">
        <f t="shared" si="26"/>
        <v>0.31390687038367332</v>
      </c>
      <c r="AN21" s="97">
        <f t="shared" si="26"/>
        <v>0.28745101228883185</v>
      </c>
      <c r="AO21" s="97">
        <f t="shared" si="26"/>
        <v>0.33234410612031617</v>
      </c>
      <c r="AP21" s="97">
        <f t="shared" si="26"/>
        <v>0.3101807572158452</v>
      </c>
      <c r="AQ21" s="97">
        <f t="shared" si="26"/>
        <v>0.36308333862059933</v>
      </c>
      <c r="AR21" s="97">
        <f t="shared" si="26"/>
        <v>0.36628589217556479</v>
      </c>
      <c r="AS21" s="97">
        <f t="shared" si="26"/>
        <v>0.32525526210561889</v>
      </c>
      <c r="AT21" s="97">
        <f t="shared" si="26"/>
        <v>0.35166636864481904</v>
      </c>
      <c r="AU21" s="97">
        <f t="shared" si="26"/>
        <v>0.35194903801214755</v>
      </c>
      <c r="AV21" s="97">
        <f t="shared" si="26"/>
        <v>0.34599906918659196</v>
      </c>
      <c r="AW21" s="97">
        <f t="shared" si="26"/>
        <v>0.32544035849093211</v>
      </c>
      <c r="AX21" s="97">
        <f t="shared" si="26"/>
        <v>0.29663009299216175</v>
      </c>
      <c r="AY21" s="97">
        <f t="shared" si="26"/>
        <v>0.34767934845059351</v>
      </c>
      <c r="AZ21" s="97">
        <f t="shared" si="26"/>
        <v>0.29323856513927288</v>
      </c>
      <c r="BA21" s="97">
        <f t="shared" si="26"/>
        <v>0.37468630163363847</v>
      </c>
      <c r="BB21" s="97">
        <f t="shared" ref="BB21:BC21" si="27">BB20/BB$27</f>
        <v>0.37128022424328605</v>
      </c>
      <c r="BC21" s="97">
        <f t="shared" si="27"/>
        <v>0.35935846850450542</v>
      </c>
      <c r="BD21" s="97">
        <f t="shared" ref="BD21:BG21" si="28">BD20/BD$27</f>
        <v>0.40718190911364205</v>
      </c>
      <c r="BE21" s="97">
        <f t="shared" si="28"/>
        <v>0.3774250264824871</v>
      </c>
      <c r="BF21" s="97">
        <f t="shared" si="28"/>
        <v>0.39333911690939566</v>
      </c>
      <c r="BG21" s="97">
        <f t="shared" si="28"/>
        <v>0.36932836881023412</v>
      </c>
    </row>
    <row r="22" spans="1:59" x14ac:dyDescent="0.35">
      <c r="A22" s="177" t="s">
        <v>532</v>
      </c>
      <c r="B22" s="211" t="s">
        <v>548</v>
      </c>
      <c r="C22" s="100">
        <v>61365.780604043524</v>
      </c>
      <c r="D22" s="100">
        <v>71970.106324745182</v>
      </c>
      <c r="E22" s="100">
        <v>97043.097817754577</v>
      </c>
      <c r="F22" s="100">
        <v>93637.613936594746</v>
      </c>
      <c r="G22" s="193">
        <v>324016.59868313803</v>
      </c>
      <c r="H22" s="100">
        <v>82233.343491858308</v>
      </c>
      <c r="I22" s="100">
        <v>84507.346261198138</v>
      </c>
      <c r="J22" s="100">
        <v>68905.930228853016</v>
      </c>
      <c r="K22" s="100">
        <v>70561.62888077079</v>
      </c>
      <c r="L22" s="100">
        <v>306208.24886268028</v>
      </c>
      <c r="M22" s="100">
        <v>79705.340227755689</v>
      </c>
      <c r="N22" s="100">
        <v>96505.991826101221</v>
      </c>
      <c r="O22" s="100">
        <v>98910.275627807045</v>
      </c>
      <c r="P22" s="100">
        <v>105078.03277987981</v>
      </c>
      <c r="Q22" s="100">
        <v>374046.54619832453</v>
      </c>
      <c r="R22" s="100">
        <v>127300.82693269025</v>
      </c>
      <c r="S22" s="100">
        <v>139070.76830439467</v>
      </c>
      <c r="T22" s="100">
        <v>160616.53948102845</v>
      </c>
      <c r="U22" s="100">
        <v>156982.62745883208</v>
      </c>
      <c r="V22" s="100">
        <v>583970.76217694534</v>
      </c>
      <c r="W22" s="100">
        <v>149644.16844696767</v>
      </c>
      <c r="X22" s="100">
        <v>150830.43590661429</v>
      </c>
      <c r="Y22" s="100">
        <v>153705.33687358085</v>
      </c>
      <c r="Z22" s="100">
        <v>146433.20034843439</v>
      </c>
      <c r="AA22" s="100">
        <v>600613.14157559723</v>
      </c>
      <c r="AB22" s="100">
        <v>132801.89421657939</v>
      </c>
      <c r="AC22" s="100">
        <v>44414.63896386214</v>
      </c>
      <c r="AD22" s="100">
        <v>139344.65990683305</v>
      </c>
      <c r="AE22" s="100">
        <v>192925.79678925668</v>
      </c>
      <c r="AF22" s="100">
        <v>509486.98987653124</v>
      </c>
      <c r="AG22" s="100">
        <v>206260.79775802739</v>
      </c>
      <c r="AH22" s="100">
        <v>211790.19838130608</v>
      </c>
      <c r="AI22" s="100">
        <v>202231.51005172855</v>
      </c>
      <c r="AJ22" s="100">
        <v>214630.37604956754</v>
      </c>
      <c r="AK22" s="100">
        <f t="shared" ref="AK22:AK24" si="29">SUM(AG22:AJ22)</f>
        <v>834912.88224062952</v>
      </c>
      <c r="AL22" s="100">
        <v>254874.22195578206</v>
      </c>
      <c r="AM22" s="100">
        <v>184676.35851342251</v>
      </c>
      <c r="AN22" s="100">
        <v>241020.28294379055</v>
      </c>
      <c r="AO22" s="100">
        <v>224228.4685234403</v>
      </c>
      <c r="AP22" s="100">
        <f t="shared" ref="AP22:AP24" si="30">SUM(AL22:AO22)</f>
        <v>904799.33193643542</v>
      </c>
      <c r="AQ22" s="100">
        <v>226468.96377371764</v>
      </c>
      <c r="AR22" s="100">
        <v>195792.84133373894</v>
      </c>
      <c r="AS22" s="100">
        <v>210712.14478690433</v>
      </c>
      <c r="AT22" s="194">
        <v>195849.44323499696</v>
      </c>
      <c r="AU22" s="100">
        <f>SUM(AQ22:AT22)</f>
        <v>828823.39312935795</v>
      </c>
      <c r="AV22" s="194">
        <v>162311.16102870333</v>
      </c>
      <c r="AW22" s="194">
        <v>167304.92279070144</v>
      </c>
      <c r="AX22" s="194">
        <v>202252.67061467899</v>
      </c>
      <c r="AY22" s="98">
        <v>180884.93168629624</v>
      </c>
      <c r="AZ22" s="100">
        <f>SUM(AV22:AX22)</f>
        <v>531868.75443408382</v>
      </c>
      <c r="BA22" s="194">
        <v>194703.60194398701</v>
      </c>
      <c r="BB22" s="242">
        <v>201712</v>
      </c>
      <c r="BC22" s="242">
        <v>134564</v>
      </c>
      <c r="BD22" s="242">
        <v>166576</v>
      </c>
      <c r="BE22" s="194">
        <f t="shared" ref="BE22:BE24" si="31">SUM(BA22:BD22)</f>
        <v>697555.60194398696</v>
      </c>
      <c r="BF22" s="194">
        <v>173996</v>
      </c>
      <c r="BG22" s="194">
        <v>206937</v>
      </c>
    </row>
    <row r="23" spans="1:59" x14ac:dyDescent="0.35">
      <c r="A23" s="177" t="s">
        <v>533</v>
      </c>
      <c r="B23" s="211" t="s">
        <v>549</v>
      </c>
      <c r="C23" s="100">
        <v>16170.097189505788</v>
      </c>
      <c r="D23" s="100">
        <v>18109.868015147516</v>
      </c>
      <c r="E23" s="100">
        <v>16273.421192330145</v>
      </c>
      <c r="F23" s="100">
        <v>17096.690930386656</v>
      </c>
      <c r="G23" s="193">
        <v>67650.077327370105</v>
      </c>
      <c r="H23" s="100">
        <v>20310.378097818502</v>
      </c>
      <c r="I23" s="100">
        <v>18021.824603569701</v>
      </c>
      <c r="J23" s="100">
        <v>18331.90838274252</v>
      </c>
      <c r="K23" s="100">
        <v>18753.749782887018</v>
      </c>
      <c r="L23" s="100">
        <v>75417.860867017749</v>
      </c>
      <c r="M23" s="100">
        <v>17429.212386956598</v>
      </c>
      <c r="N23" s="100">
        <v>20302.0620274502</v>
      </c>
      <c r="O23" s="100">
        <v>20680.287691203965</v>
      </c>
      <c r="P23" s="100">
        <v>18001.021779741524</v>
      </c>
      <c r="Q23" s="100">
        <v>82565.678148571547</v>
      </c>
      <c r="R23" s="100">
        <v>16205.244509457501</v>
      </c>
      <c r="S23" s="100">
        <v>22667.508175215298</v>
      </c>
      <c r="T23" s="100">
        <v>22562.088096961692</v>
      </c>
      <c r="U23" s="100">
        <v>17787.82212182572</v>
      </c>
      <c r="V23" s="100">
        <v>79222.662903460208</v>
      </c>
      <c r="W23" s="100">
        <v>21425.4667545802</v>
      </c>
      <c r="X23" s="100">
        <v>23447.797456071501</v>
      </c>
      <c r="Y23" s="100">
        <v>17595.338546996802</v>
      </c>
      <c r="Z23" s="100">
        <v>22601.516405524118</v>
      </c>
      <c r="AA23" s="100">
        <v>85070.119163172625</v>
      </c>
      <c r="AB23" s="100">
        <v>21293.925512449408</v>
      </c>
      <c r="AC23" s="100">
        <v>4894.6562450982974</v>
      </c>
      <c r="AD23" s="100">
        <v>29992.536088731962</v>
      </c>
      <c r="AE23" s="100">
        <v>43560.686626033843</v>
      </c>
      <c r="AF23" s="100">
        <v>99741.80447231351</v>
      </c>
      <c r="AG23" s="100">
        <v>50822.948425956783</v>
      </c>
      <c r="AH23" s="100">
        <v>36682.441836000304</v>
      </c>
      <c r="AI23" s="100">
        <v>41095.751333759967</v>
      </c>
      <c r="AJ23" s="100">
        <v>45814.323035306974</v>
      </c>
      <c r="AK23" s="100">
        <f t="shared" si="29"/>
        <v>174415.46463102402</v>
      </c>
      <c r="AL23" s="100">
        <v>58657.530305270557</v>
      </c>
      <c r="AM23" s="100">
        <v>51834.178181000025</v>
      </c>
      <c r="AN23" s="100">
        <v>57762.819449555798</v>
      </c>
      <c r="AO23" s="100">
        <v>49841.251070749902</v>
      </c>
      <c r="AP23" s="100">
        <f t="shared" si="30"/>
        <v>218095.77900657628</v>
      </c>
      <c r="AQ23" s="100">
        <v>54701.684907040959</v>
      </c>
      <c r="AR23" s="100">
        <v>44864.503388604018</v>
      </c>
      <c r="AS23" s="100">
        <v>50250.070110643101</v>
      </c>
      <c r="AT23" s="194">
        <v>44009.443263081819</v>
      </c>
      <c r="AU23" s="100">
        <f>SUM(AQ23:AT23)</f>
        <v>193825.70166936988</v>
      </c>
      <c r="AV23" s="194">
        <v>57652.576621631364</v>
      </c>
      <c r="AW23" s="194">
        <v>54545.461121750821</v>
      </c>
      <c r="AX23" s="194">
        <v>56454.367349455024</v>
      </c>
      <c r="AY23" s="98">
        <v>49531.329836606637</v>
      </c>
      <c r="AZ23" s="100">
        <f t="shared" ref="AZ23:AZ25" si="32">SUM(AV23:AX23)</f>
        <v>168652.4050928372</v>
      </c>
      <c r="BA23" s="194">
        <v>54381.660650763166</v>
      </c>
      <c r="BB23" s="242">
        <v>53610</v>
      </c>
      <c r="BC23" s="242">
        <v>49048</v>
      </c>
      <c r="BD23" s="242">
        <v>49306</v>
      </c>
      <c r="BE23" s="194">
        <f t="shared" si="31"/>
        <v>206345.66065076317</v>
      </c>
      <c r="BF23" s="194">
        <v>50987</v>
      </c>
      <c r="BG23" s="194">
        <v>47699</v>
      </c>
    </row>
    <row r="24" spans="1:59" ht="15" thickBot="1" x14ac:dyDescent="0.4">
      <c r="A24" s="177" t="s">
        <v>534</v>
      </c>
      <c r="B24" s="211" t="s">
        <v>550</v>
      </c>
      <c r="C24" s="104">
        <v>39062.630961404313</v>
      </c>
      <c r="D24" s="104">
        <v>40987.575369530598</v>
      </c>
      <c r="E24" s="104">
        <v>41631.623634930671</v>
      </c>
      <c r="F24" s="104">
        <v>48451.836964657938</v>
      </c>
      <c r="G24" s="197">
        <v>170133.6669305235</v>
      </c>
      <c r="H24" s="104">
        <v>49128.090945204509</v>
      </c>
      <c r="I24" s="104">
        <v>47233.96382027954</v>
      </c>
      <c r="J24" s="104">
        <v>41180.979644993255</v>
      </c>
      <c r="K24" s="104">
        <v>35250.889389706586</v>
      </c>
      <c r="L24" s="104">
        <v>172793.92380018398</v>
      </c>
      <c r="M24" s="104">
        <v>46171.505420397196</v>
      </c>
      <c r="N24" s="104">
        <v>45728.061491709217</v>
      </c>
      <c r="O24" s="104">
        <v>52515.881157744734</v>
      </c>
      <c r="P24" s="104">
        <v>56254.332027696917</v>
      </c>
      <c r="Q24" s="104">
        <v>200669.78009754806</v>
      </c>
      <c r="R24" s="104">
        <v>54659.138451917592</v>
      </c>
      <c r="S24" s="104">
        <v>70809.336702277476</v>
      </c>
      <c r="T24" s="104">
        <v>67662.134080606833</v>
      </c>
      <c r="U24" s="104">
        <v>65533.124220301492</v>
      </c>
      <c r="V24" s="104">
        <v>258663.73345510339</v>
      </c>
      <c r="W24" s="104">
        <v>55817.094275855707</v>
      </c>
      <c r="X24" s="104">
        <v>64917.264287402817</v>
      </c>
      <c r="Y24" s="104">
        <v>43151.478562926284</v>
      </c>
      <c r="Z24" s="104">
        <v>57392.232036035493</v>
      </c>
      <c r="AA24" s="104">
        <v>221278.06916222029</v>
      </c>
      <c r="AB24" s="104">
        <v>36226.639203131301</v>
      </c>
      <c r="AC24" s="104">
        <v>24808.824598810126</v>
      </c>
      <c r="AD24" s="104">
        <v>45913.066663029058</v>
      </c>
      <c r="AE24" s="104">
        <v>65862.252655214121</v>
      </c>
      <c r="AF24" s="104">
        <v>172810.78312018461</v>
      </c>
      <c r="AG24" s="104">
        <v>100194</v>
      </c>
      <c r="AH24" s="104">
        <v>83960.093475857488</v>
      </c>
      <c r="AI24" s="104">
        <v>95136.239439937141</v>
      </c>
      <c r="AJ24" s="104">
        <v>109301.74300556586</v>
      </c>
      <c r="AK24" s="104">
        <f t="shared" si="29"/>
        <v>388592.07592136052</v>
      </c>
      <c r="AL24" s="104">
        <v>120013.03632058227</v>
      </c>
      <c r="AM24" s="104">
        <v>93805.843283176291</v>
      </c>
      <c r="AN24" s="104">
        <v>98498.616712810835</v>
      </c>
      <c r="AO24" s="104">
        <v>90613.316318872981</v>
      </c>
      <c r="AP24" s="104">
        <f t="shared" si="30"/>
        <v>402930.81263544236</v>
      </c>
      <c r="AQ24" s="104">
        <v>93270.356345666907</v>
      </c>
      <c r="AR24" s="104">
        <v>103869.5866428452</v>
      </c>
      <c r="AS24" s="104">
        <v>92792.851114493242</v>
      </c>
      <c r="AT24" s="194">
        <v>113533.51291640269</v>
      </c>
      <c r="AU24" s="104">
        <f>SUM(AQ24:AT24)</f>
        <v>403466.30701940798</v>
      </c>
      <c r="AV24" s="194">
        <v>93803.503299962991</v>
      </c>
      <c r="AW24" s="194">
        <v>100690.29333632649</v>
      </c>
      <c r="AX24" s="194">
        <v>101917.29230239842</v>
      </c>
      <c r="AY24" s="98">
        <v>123987.40982103987</v>
      </c>
      <c r="AZ24" s="100">
        <f t="shared" si="32"/>
        <v>296411.08893868793</v>
      </c>
      <c r="BA24" s="103">
        <v>101958.76244238234</v>
      </c>
      <c r="BB24" s="244">
        <v>87828</v>
      </c>
      <c r="BC24" s="244">
        <v>90403</v>
      </c>
      <c r="BD24" s="244">
        <v>106825</v>
      </c>
      <c r="BE24" s="103">
        <f t="shared" si="31"/>
        <v>387014.76244238234</v>
      </c>
      <c r="BF24" s="103">
        <v>96096</v>
      </c>
      <c r="BG24" s="103">
        <v>98093</v>
      </c>
    </row>
    <row r="25" spans="1:59" ht="15" thickTop="1" x14ac:dyDescent="0.35">
      <c r="A25" s="254" t="s">
        <v>540</v>
      </c>
      <c r="B25" s="254" t="s">
        <v>556</v>
      </c>
      <c r="C25" s="105">
        <f t="shared" ref="C25:AU25" si="33">SUM(C22:C24)</f>
        <v>116598.50875495363</v>
      </c>
      <c r="D25" s="105">
        <f t="shared" si="33"/>
        <v>131067.5497094233</v>
      </c>
      <c r="E25" s="105">
        <f t="shared" si="33"/>
        <v>154948.14264501538</v>
      </c>
      <c r="F25" s="105">
        <f t="shared" si="33"/>
        <v>159186.14183163934</v>
      </c>
      <c r="G25" s="195">
        <f t="shared" si="33"/>
        <v>561800.34294103167</v>
      </c>
      <c r="H25" s="101">
        <f t="shared" si="33"/>
        <v>151671.81253488132</v>
      </c>
      <c r="I25" s="101">
        <f t="shared" si="33"/>
        <v>149763.13468504738</v>
      </c>
      <c r="J25" s="101">
        <f t="shared" si="33"/>
        <v>128418.8182565888</v>
      </c>
      <c r="K25" s="101">
        <f t="shared" si="33"/>
        <v>124566.2680533644</v>
      </c>
      <c r="L25" s="101">
        <f t="shared" si="33"/>
        <v>554420.03352988209</v>
      </c>
      <c r="M25" s="101">
        <f t="shared" si="33"/>
        <v>143306.05803510948</v>
      </c>
      <c r="N25" s="101">
        <f t="shared" si="33"/>
        <v>162536.11534526065</v>
      </c>
      <c r="O25" s="101">
        <f t="shared" si="33"/>
        <v>172106.44447675574</v>
      </c>
      <c r="P25" s="101">
        <f t="shared" si="33"/>
        <v>179333.38658731827</v>
      </c>
      <c r="Q25" s="101">
        <f t="shared" si="33"/>
        <v>657282.00444444409</v>
      </c>
      <c r="R25" s="101">
        <f t="shared" si="33"/>
        <v>198165.20989406534</v>
      </c>
      <c r="S25" s="101">
        <f t="shared" si="33"/>
        <v>232547.61318188746</v>
      </c>
      <c r="T25" s="101">
        <f t="shared" si="33"/>
        <v>250840.76165859698</v>
      </c>
      <c r="U25" s="101">
        <f t="shared" si="33"/>
        <v>240303.57380095928</v>
      </c>
      <c r="V25" s="101">
        <f t="shared" si="33"/>
        <v>921857.1585355089</v>
      </c>
      <c r="W25" s="101">
        <f t="shared" si="33"/>
        <v>226886.72947740357</v>
      </c>
      <c r="X25" s="101">
        <f t="shared" si="33"/>
        <v>239195.49765008863</v>
      </c>
      <c r="Y25" s="101">
        <f t="shared" si="33"/>
        <v>214452.15398350393</v>
      </c>
      <c r="Z25" s="101">
        <f t="shared" si="33"/>
        <v>226426.948789994</v>
      </c>
      <c r="AA25" s="101">
        <f t="shared" si="33"/>
        <v>906961.32990099024</v>
      </c>
      <c r="AB25" s="101">
        <f t="shared" si="33"/>
        <v>190322.45893216011</v>
      </c>
      <c r="AC25" s="101">
        <f t="shared" si="33"/>
        <v>74118.119807770563</v>
      </c>
      <c r="AD25" s="101">
        <f t="shared" si="33"/>
        <v>215250.26265859406</v>
      </c>
      <c r="AE25" s="101">
        <f t="shared" si="33"/>
        <v>302348.73607050464</v>
      </c>
      <c r="AF25" s="101">
        <f t="shared" si="33"/>
        <v>782039.57746902946</v>
      </c>
      <c r="AG25" s="101">
        <f t="shared" si="33"/>
        <v>357277.74618398416</v>
      </c>
      <c r="AH25" s="101">
        <f t="shared" si="33"/>
        <v>332432.73369316384</v>
      </c>
      <c r="AI25" s="101">
        <f t="shared" si="33"/>
        <v>338463.50082542561</v>
      </c>
      <c r="AJ25" s="101">
        <f t="shared" si="33"/>
        <v>369746.44209044037</v>
      </c>
      <c r="AK25" s="101">
        <f t="shared" si="33"/>
        <v>1397920.422793014</v>
      </c>
      <c r="AL25" s="101">
        <f t="shared" si="33"/>
        <v>433544.78858163487</v>
      </c>
      <c r="AM25" s="101">
        <f t="shared" si="33"/>
        <v>330316.37997759884</v>
      </c>
      <c r="AN25" s="101">
        <f t="shared" si="33"/>
        <v>397281.71910615719</v>
      </c>
      <c r="AO25" s="101">
        <f t="shared" si="33"/>
        <v>364683.03591306316</v>
      </c>
      <c r="AP25" s="101">
        <f t="shared" si="33"/>
        <v>1525825.9235784542</v>
      </c>
      <c r="AQ25" s="101">
        <f t="shared" si="33"/>
        <v>374441.00502642553</v>
      </c>
      <c r="AR25" s="101">
        <f t="shared" si="33"/>
        <v>344526.93136518815</v>
      </c>
      <c r="AS25" s="101">
        <f t="shared" si="33"/>
        <v>353755.06601204071</v>
      </c>
      <c r="AT25" s="101">
        <f>SUM(AT22:AT24)</f>
        <v>353392.39941448148</v>
      </c>
      <c r="AU25" s="101">
        <f t="shared" si="33"/>
        <v>1426115.4018181358</v>
      </c>
      <c r="AV25" s="101">
        <f>SUM(AV22:AV24)+1</f>
        <v>313768.24095029768</v>
      </c>
      <c r="AW25" s="101">
        <f>SUM(AW22:AW24)-1</f>
        <v>322539.67724877875</v>
      </c>
      <c r="AX25" s="101">
        <f>SUM(AX22:AX24)</f>
        <v>360624.33026653243</v>
      </c>
      <c r="AY25" s="101">
        <f>SUM(AY22:AY24)</f>
        <v>354403.67134394275</v>
      </c>
      <c r="AZ25" s="101">
        <f t="shared" si="32"/>
        <v>996932.24846560881</v>
      </c>
      <c r="BA25" s="101">
        <f t="shared" ref="BA25:BG25" si="34">SUM(BA22:BA24)</f>
        <v>351044.02503713255</v>
      </c>
      <c r="BB25" s="101">
        <f t="shared" si="34"/>
        <v>343150</v>
      </c>
      <c r="BC25" s="101">
        <f t="shared" si="34"/>
        <v>274015</v>
      </c>
      <c r="BD25" s="101">
        <f t="shared" si="34"/>
        <v>322707</v>
      </c>
      <c r="BE25" s="101">
        <f t="shared" si="34"/>
        <v>1290916.0250371324</v>
      </c>
      <c r="BF25" s="101">
        <f t="shared" si="34"/>
        <v>321079</v>
      </c>
      <c r="BG25" s="101">
        <f t="shared" si="34"/>
        <v>352729</v>
      </c>
    </row>
    <row r="26" spans="1:59" ht="15" thickBot="1" x14ac:dyDescent="0.4">
      <c r="A26" s="255"/>
      <c r="B26" s="255"/>
      <c r="C26" s="106">
        <f t="shared" ref="C26:AH26" si="35">C25/C$27</f>
        <v>7.496193581218781E-2</v>
      </c>
      <c r="D26" s="106">
        <f t="shared" si="35"/>
        <v>7.8716652470564377E-2</v>
      </c>
      <c r="E26" s="106">
        <f t="shared" si="35"/>
        <v>8.6548107735594404E-2</v>
      </c>
      <c r="F26" s="106">
        <f t="shared" si="35"/>
        <v>8.6719112127111697E-2</v>
      </c>
      <c r="G26" s="198">
        <f t="shared" si="35"/>
        <v>8.2057105272579756E-2</v>
      </c>
      <c r="H26" s="107">
        <f t="shared" si="35"/>
        <v>8.5096192684719768E-2</v>
      </c>
      <c r="I26" s="107">
        <f t="shared" si="35"/>
        <v>8.508653831123493E-2</v>
      </c>
      <c r="J26" s="107">
        <f t="shared" si="35"/>
        <v>8.0487624130743493E-2</v>
      </c>
      <c r="K26" s="107">
        <f t="shared" si="35"/>
        <v>7.4214633354505372E-2</v>
      </c>
      <c r="L26" s="107">
        <f t="shared" si="35"/>
        <v>8.1335547026594221E-2</v>
      </c>
      <c r="M26" s="107">
        <f t="shared" si="35"/>
        <v>8.4345510049801134E-2</v>
      </c>
      <c r="N26" s="107">
        <f t="shared" si="35"/>
        <v>8.5463957855724151E-2</v>
      </c>
      <c r="O26" s="107">
        <f t="shared" si="35"/>
        <v>8.9061237786636327E-2</v>
      </c>
      <c r="P26" s="107">
        <f t="shared" si="35"/>
        <v>9.1747331656623063E-2</v>
      </c>
      <c r="Q26" s="107">
        <f t="shared" si="35"/>
        <v>8.7778752502747553E-2</v>
      </c>
      <c r="R26" s="107">
        <f t="shared" si="35"/>
        <v>9.2438501629214159E-2</v>
      </c>
      <c r="S26" s="107">
        <f t="shared" si="35"/>
        <v>9.6915621656257694E-2</v>
      </c>
      <c r="T26" s="107">
        <f t="shared" si="35"/>
        <v>9.5839141629735641E-2</v>
      </c>
      <c r="U26" s="107">
        <f t="shared" si="35"/>
        <v>9.7853382954581666E-2</v>
      </c>
      <c r="V26" s="107">
        <f t="shared" si="35"/>
        <v>9.5864031194722227E-2</v>
      </c>
      <c r="W26" s="107">
        <f t="shared" si="35"/>
        <v>9.1926963760990507E-2</v>
      </c>
      <c r="X26" s="107">
        <f t="shared" si="35"/>
        <v>8.9676001497180427E-2</v>
      </c>
      <c r="Y26" s="107">
        <f t="shared" si="35"/>
        <v>8.4353208722346709E-2</v>
      </c>
      <c r="Z26" s="107">
        <f t="shared" si="35"/>
        <v>9.6820193609354205E-2</v>
      </c>
      <c r="AA26" s="107">
        <f t="shared" si="35"/>
        <v>9.0547681613522987E-2</v>
      </c>
      <c r="AB26" s="107">
        <f t="shared" si="35"/>
        <v>8.555511838341863E-2</v>
      </c>
      <c r="AC26" s="107">
        <f t="shared" si="35"/>
        <v>6.3249110913625381E-2</v>
      </c>
      <c r="AD26" s="107">
        <f t="shared" si="35"/>
        <v>8.5594888633250779E-2</v>
      </c>
      <c r="AE26" s="107">
        <f t="shared" si="35"/>
        <v>0.10610933296784263</v>
      </c>
      <c r="AF26" s="107">
        <f t="shared" si="35"/>
        <v>8.9268139868709878E-2</v>
      </c>
      <c r="AG26" s="107">
        <f t="shared" si="35"/>
        <v>0.11403345815472568</v>
      </c>
      <c r="AH26" s="107">
        <f t="shared" si="35"/>
        <v>0.10441112078382908</v>
      </c>
      <c r="AI26" s="107">
        <f t="shared" ref="AI26:BA26" si="36">AI25/AI$27</f>
        <v>9.4437920903697639E-2</v>
      </c>
      <c r="AJ26" s="107">
        <f t="shared" si="36"/>
        <v>9.7625150035517957E-2</v>
      </c>
      <c r="AK26" s="107">
        <f t="shared" si="36"/>
        <v>0.10212470604372613</v>
      </c>
      <c r="AL26" s="107">
        <f t="shared" si="36"/>
        <v>0.10136204615596883</v>
      </c>
      <c r="AM26" s="107">
        <f t="shared" si="36"/>
        <v>7.8789626762251083E-2</v>
      </c>
      <c r="AN26" s="107">
        <f t="shared" si="36"/>
        <v>9.1998740179693769E-2</v>
      </c>
      <c r="AO26" s="107">
        <f t="shared" si="36"/>
        <v>8.7665126969164286E-2</v>
      </c>
      <c r="AP26" s="107">
        <f t="shared" si="36"/>
        <v>9.0030547493615096E-2</v>
      </c>
      <c r="AQ26" s="107">
        <f t="shared" si="36"/>
        <v>9.365350093017942E-2</v>
      </c>
      <c r="AR26" s="107">
        <f t="shared" si="36"/>
        <v>9.0636288796053635E-2</v>
      </c>
      <c r="AS26" s="107">
        <f t="shared" si="36"/>
        <v>9.6328989371079851E-2</v>
      </c>
      <c r="AT26" s="107">
        <f t="shared" si="36"/>
        <v>0.101447480796845</v>
      </c>
      <c r="AU26" s="107">
        <f t="shared" si="36"/>
        <v>9.5359036955240492E-2</v>
      </c>
      <c r="AV26" s="107">
        <f t="shared" si="36"/>
        <v>8.7260482042715568E-2</v>
      </c>
      <c r="AW26" s="107">
        <f t="shared" si="36"/>
        <v>8.3894918355049752E-2</v>
      </c>
      <c r="AX26" s="107">
        <f t="shared" si="36"/>
        <v>9.0555145025460235E-2</v>
      </c>
      <c r="AY26" s="107">
        <f t="shared" si="36"/>
        <v>9.0661037928624691E-2</v>
      </c>
      <c r="AZ26" s="107">
        <f t="shared" si="36"/>
        <v>7.9513392460381277E-2</v>
      </c>
      <c r="BA26" s="107">
        <f t="shared" si="36"/>
        <v>8.9141577248625009E-2</v>
      </c>
      <c r="BB26" s="107">
        <f t="shared" ref="BB26:BC26" si="37">BB25/BB$27</f>
        <v>8.3553122400758906E-2</v>
      </c>
      <c r="BC26" s="107">
        <f t="shared" si="37"/>
        <v>7.2063677660509765E-2</v>
      </c>
      <c r="BD26" s="107">
        <f t="shared" ref="BD26:BG26" si="38">BD25/BD$27</f>
        <v>9.1701050262565642E-2</v>
      </c>
      <c r="BE26" s="107">
        <f t="shared" si="38"/>
        <v>8.4008246124935917E-2</v>
      </c>
      <c r="BF26" s="107">
        <f t="shared" si="38"/>
        <v>8.4331735627012405E-2</v>
      </c>
      <c r="BG26" s="107">
        <f t="shared" si="38"/>
        <v>8.7908196198351635E-2</v>
      </c>
    </row>
    <row r="27" spans="1:59" ht="15" thickBot="1" x14ac:dyDescent="0.4">
      <c r="A27" s="208" t="s">
        <v>574</v>
      </c>
      <c r="B27" s="208" t="s">
        <v>573</v>
      </c>
      <c r="C27" s="9">
        <f>C9+C15+C20+C25</f>
        <v>1555436.2022758257</v>
      </c>
      <c r="D27" s="9">
        <f>D9+D15+D20+D25</f>
        <v>1665054.9228885875</v>
      </c>
      <c r="E27" s="9">
        <f>E9+E15+E20+E25</f>
        <v>1790312.3095236695</v>
      </c>
      <c r="F27" s="9">
        <f>F9+F15+F20+F25</f>
        <v>1835652.3484500907</v>
      </c>
      <c r="G27" s="199">
        <f t="shared" ref="G27:AU27" si="39">G25+G20+G15+G9</f>
        <v>6846455.7831381746</v>
      </c>
      <c r="H27" s="9">
        <f t="shared" si="39"/>
        <v>1782357.2095266744</v>
      </c>
      <c r="I27" s="9">
        <f t="shared" si="39"/>
        <v>1760127.2499444541</v>
      </c>
      <c r="J27" s="9">
        <f t="shared" si="39"/>
        <v>1595510.112809222</v>
      </c>
      <c r="K27" s="9">
        <f t="shared" si="39"/>
        <v>1678459.657118313</v>
      </c>
      <c r="L27" s="9">
        <f t="shared" si="39"/>
        <v>6816454.2293986641</v>
      </c>
      <c r="M27" s="9">
        <f t="shared" si="39"/>
        <v>1699036.0002624393</v>
      </c>
      <c r="N27" s="9">
        <f t="shared" si="39"/>
        <v>1901808.8960921485</v>
      </c>
      <c r="O27" s="9">
        <f t="shared" si="39"/>
        <v>1932450.6233460454</v>
      </c>
      <c r="P27" s="9">
        <f t="shared" si="39"/>
        <v>1954644.1662030891</v>
      </c>
      <c r="Q27" s="9">
        <f t="shared" si="39"/>
        <v>7487939.6859037224</v>
      </c>
      <c r="R27" s="9">
        <f t="shared" si="39"/>
        <v>2143751.8609825391</v>
      </c>
      <c r="S27" s="9">
        <f t="shared" si="39"/>
        <v>2399485.3379436815</v>
      </c>
      <c r="T27" s="9">
        <f t="shared" si="39"/>
        <v>2617310.1865591998</v>
      </c>
      <c r="U27" s="9">
        <f t="shared" si="39"/>
        <v>2455751.3143157801</v>
      </c>
      <c r="V27" s="9">
        <f t="shared" si="39"/>
        <v>9616298.6998011991</v>
      </c>
      <c r="W27" s="9">
        <f t="shared" si="39"/>
        <v>2468119.4743612716</v>
      </c>
      <c r="X27" s="9">
        <f t="shared" si="39"/>
        <v>2667330.0956400177</v>
      </c>
      <c r="Y27" s="9">
        <f t="shared" si="39"/>
        <v>2542311.7535384474</v>
      </c>
      <c r="Z27" s="9">
        <f t="shared" si="39"/>
        <v>2338633.5055636363</v>
      </c>
      <c r="AA27" s="9">
        <f t="shared" si="39"/>
        <v>10016394.829103373</v>
      </c>
      <c r="AB27" s="9">
        <f t="shared" si="39"/>
        <v>2224559.5883489111</v>
      </c>
      <c r="AC27" s="9">
        <f t="shared" si="39"/>
        <v>1171844.4534182968</v>
      </c>
      <c r="AD27" s="9">
        <f t="shared" si="39"/>
        <v>2514756.0338664483</v>
      </c>
      <c r="AE27" s="9">
        <f t="shared" si="39"/>
        <v>2849407.5649512764</v>
      </c>
      <c r="AF27" s="9">
        <f t="shared" si="39"/>
        <v>8760567.6405849326</v>
      </c>
      <c r="AG27" s="9">
        <f t="shared" si="39"/>
        <v>3133095.7770237378</v>
      </c>
      <c r="AH27" s="9">
        <f t="shared" si="39"/>
        <v>3183882.4370195838</v>
      </c>
      <c r="AI27" s="9">
        <f t="shared" si="39"/>
        <v>3583978.7406011536</v>
      </c>
      <c r="AJ27" s="9">
        <f t="shared" si="39"/>
        <v>3787409.7192774536</v>
      </c>
      <c r="AK27" s="9">
        <f t="shared" si="39"/>
        <v>13688366.673921928</v>
      </c>
      <c r="AL27" s="9">
        <f t="shared" si="39"/>
        <v>4277190.5759925805</v>
      </c>
      <c r="AM27" s="9">
        <f t="shared" si="39"/>
        <v>4192384.1189695392</v>
      </c>
      <c r="AN27" s="9">
        <f t="shared" si="39"/>
        <v>4318338.6895318199</v>
      </c>
      <c r="AO27" s="9">
        <f t="shared" si="39"/>
        <v>4159955.600604313</v>
      </c>
      <c r="AP27" s="9">
        <f t="shared" si="39"/>
        <v>16947868.98509825</v>
      </c>
      <c r="AQ27" s="9">
        <f t="shared" si="39"/>
        <v>3998152.7792066084</v>
      </c>
      <c r="AR27" s="9">
        <f t="shared" si="39"/>
        <v>3801202.9832822224</v>
      </c>
      <c r="AS27" s="9">
        <f t="shared" si="39"/>
        <v>3672363.5150920209</v>
      </c>
      <c r="AT27" s="200">
        <f>AT9+AT15+AT20+AT25</f>
        <v>3483500.9863100704</v>
      </c>
      <c r="AU27" s="9">
        <f t="shared" si="39"/>
        <v>14955220.26389092</v>
      </c>
      <c r="AV27" s="9">
        <f>AV9+AV15+AV20+AV25</f>
        <v>3595765.6158340098</v>
      </c>
      <c r="AW27" s="9">
        <f>AW9+AW15+AW20+AW25</f>
        <v>3844567.5086513106</v>
      </c>
      <c r="AX27" s="9">
        <f>AX9+AX15+AX20+AX25</f>
        <v>3982372.621292145</v>
      </c>
      <c r="AY27" s="9">
        <f>AY9+AY15+AY20+AY25</f>
        <v>3909106.7060467196</v>
      </c>
      <c r="AZ27" s="9">
        <f>AZ25+AZ20+AZ15+AZ9</f>
        <v>12537916.162517466</v>
      </c>
      <c r="BA27" s="216">
        <f t="shared" ref="BA27:BG27" si="40">BA9+BA15+BA20+BA25</f>
        <v>3938050.4123012624</v>
      </c>
      <c r="BB27" s="216">
        <f t="shared" si="40"/>
        <v>4106968</v>
      </c>
      <c r="BC27" s="216">
        <f t="shared" si="40"/>
        <v>3802401</v>
      </c>
      <c r="BD27" s="216">
        <f t="shared" si="40"/>
        <v>3519120</v>
      </c>
      <c r="BE27" s="216">
        <f t="shared" si="40"/>
        <v>15366539.412301261</v>
      </c>
      <c r="BF27" s="216">
        <f t="shared" si="40"/>
        <v>3807333</v>
      </c>
      <c r="BG27" s="216">
        <f t="shared" si="40"/>
        <v>4012470</v>
      </c>
    </row>
    <row r="28" spans="1:59" ht="15" thickBot="1" x14ac:dyDescent="0.4">
      <c r="A28" s="177"/>
      <c r="B28" s="212"/>
      <c r="C28" s="53"/>
      <c r="D28" s="53"/>
      <c r="E28" s="53"/>
      <c r="F28" s="53"/>
      <c r="G28" s="201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94"/>
      <c r="AU28" s="53"/>
    </row>
    <row r="29" spans="1:59" x14ac:dyDescent="0.35">
      <c r="A29" s="207" t="s">
        <v>541</v>
      </c>
      <c r="B29" s="207" t="s">
        <v>558</v>
      </c>
      <c r="C29" s="95">
        <f t="shared" ref="C29:AV29" si="41">C4+C11+C17+C22</f>
        <v>419177.79418627708</v>
      </c>
      <c r="D29" s="95">
        <f t="shared" si="41"/>
        <v>477779.97936981259</v>
      </c>
      <c r="E29" s="95">
        <f t="shared" si="41"/>
        <v>550992.04213577218</v>
      </c>
      <c r="F29" s="95">
        <f t="shared" si="41"/>
        <v>573758.78254701337</v>
      </c>
      <c r="G29" s="202">
        <f t="shared" si="41"/>
        <v>2021708.5982388756</v>
      </c>
      <c r="H29" s="95">
        <f t="shared" si="41"/>
        <v>571677.26630489528</v>
      </c>
      <c r="I29" s="95">
        <f t="shared" si="41"/>
        <v>577513.04740106675</v>
      </c>
      <c r="J29" s="95">
        <f t="shared" si="41"/>
        <v>514292.62072987121</v>
      </c>
      <c r="K29" s="95">
        <f t="shared" si="41"/>
        <v>564868.56268158706</v>
      </c>
      <c r="L29" s="95">
        <f t="shared" si="41"/>
        <v>2228351.4971174202</v>
      </c>
      <c r="M29" s="95">
        <f t="shared" si="41"/>
        <v>574492.47420511383</v>
      </c>
      <c r="N29" s="95">
        <f t="shared" si="41"/>
        <v>618208.71210497851</v>
      </c>
      <c r="O29" s="95">
        <f t="shared" si="41"/>
        <v>614899.1242900996</v>
      </c>
      <c r="P29" s="95">
        <f t="shared" si="41"/>
        <v>662523.09805448167</v>
      </c>
      <c r="Q29" s="95">
        <f t="shared" si="41"/>
        <v>2463970.3143914547</v>
      </c>
      <c r="R29" s="95">
        <f t="shared" si="41"/>
        <v>735643.79882118106</v>
      </c>
      <c r="S29" s="95">
        <f t="shared" si="41"/>
        <v>812909.23465127649</v>
      </c>
      <c r="T29" s="95">
        <f t="shared" si="41"/>
        <v>861802.83667804813</v>
      </c>
      <c r="U29" s="95">
        <f t="shared" si="41"/>
        <v>819321.40700332087</v>
      </c>
      <c r="V29" s="95">
        <f t="shared" si="41"/>
        <v>3229677.2771538263</v>
      </c>
      <c r="W29" s="95">
        <f t="shared" si="41"/>
        <v>835062.23719094181</v>
      </c>
      <c r="X29" s="95">
        <f t="shared" si="41"/>
        <v>839461.27751588135</v>
      </c>
      <c r="Y29" s="95">
        <f t="shared" si="41"/>
        <v>811952.16448661115</v>
      </c>
      <c r="Z29" s="95">
        <f t="shared" si="41"/>
        <v>803144.52817478229</v>
      </c>
      <c r="AA29" s="95">
        <f t="shared" si="41"/>
        <v>3289620.2073682165</v>
      </c>
      <c r="AB29" s="95">
        <f t="shared" si="41"/>
        <v>752149.86053201137</v>
      </c>
      <c r="AC29" s="95">
        <f t="shared" si="41"/>
        <v>351984.34749306587</v>
      </c>
      <c r="AD29" s="95">
        <f t="shared" si="41"/>
        <v>802793.21633320011</v>
      </c>
      <c r="AE29" s="95">
        <f t="shared" si="41"/>
        <v>956862.76841201494</v>
      </c>
      <c r="AF29" s="95">
        <f t="shared" si="41"/>
        <v>2863790.1927702921</v>
      </c>
      <c r="AG29" s="95">
        <f t="shared" si="41"/>
        <v>983485.8537222154</v>
      </c>
      <c r="AH29" s="95">
        <f t="shared" si="41"/>
        <v>958703.64038543869</v>
      </c>
      <c r="AI29" s="95">
        <f t="shared" si="41"/>
        <v>898364.00571409671</v>
      </c>
      <c r="AJ29" s="95">
        <f t="shared" si="41"/>
        <v>1007678.6534390224</v>
      </c>
      <c r="AK29" s="95">
        <f t="shared" si="41"/>
        <v>3848232.153260773</v>
      </c>
      <c r="AL29" s="95">
        <f t="shared" si="41"/>
        <v>1092846.7437023094</v>
      </c>
      <c r="AM29" s="95">
        <f t="shared" si="41"/>
        <v>1064220.5847690734</v>
      </c>
      <c r="AN29" s="95">
        <f t="shared" si="41"/>
        <v>1166401.1022604718</v>
      </c>
      <c r="AO29" s="95">
        <f t="shared" si="41"/>
        <v>1170607.1145204247</v>
      </c>
      <c r="AP29" s="95">
        <f t="shared" si="41"/>
        <v>4494075.5452522794</v>
      </c>
      <c r="AQ29" s="95">
        <f t="shared" si="41"/>
        <v>1233399.1061457656</v>
      </c>
      <c r="AR29" s="95">
        <f t="shared" si="41"/>
        <v>1197980.7033247431</v>
      </c>
      <c r="AS29" s="95">
        <f t="shared" si="41"/>
        <v>1107819.7231343482</v>
      </c>
      <c r="AT29" s="95">
        <f>AT4+AT11+AT17+AT22</f>
        <v>1051599.3974418151</v>
      </c>
      <c r="AU29" s="95">
        <f t="shared" si="41"/>
        <v>4590798.930046672</v>
      </c>
      <c r="AV29" s="95">
        <f t="shared" si="41"/>
        <v>1062867.3932005032</v>
      </c>
      <c r="AW29" s="95">
        <f t="shared" ref="AW29:AX29" si="42">AW4+AW11+AW17+AW22</f>
        <v>1107668.1652791111</v>
      </c>
      <c r="AX29" s="95">
        <f t="shared" si="42"/>
        <v>1196573.6098851152</v>
      </c>
      <c r="AY29" s="95">
        <f>AY4+AY11+AY17+AY22</f>
        <v>1250174.3410110669</v>
      </c>
      <c r="AZ29" s="95">
        <f t="shared" ref="AZ29" si="43">AZ4+AZ11+AZ17+AZ22</f>
        <v>3581277.0164647298</v>
      </c>
      <c r="BA29" s="95">
        <f>BA4+BA11+BA17+BA22</f>
        <v>1312096.1588912369</v>
      </c>
      <c r="BB29" s="95">
        <f>BB4+BB11+BB17+BB22</f>
        <v>1377024</v>
      </c>
      <c r="BC29" s="95">
        <f>BC4+BC11+BC17+BC22</f>
        <v>1217455</v>
      </c>
      <c r="BD29" s="95">
        <f>BD4+BD11+BD17+BD22</f>
        <v>1224079</v>
      </c>
      <c r="BE29" s="95">
        <f>SUM(BE4,BE11,BE17,BE22)</f>
        <v>5130654.1588912364</v>
      </c>
      <c r="BF29" s="95">
        <f>BF4+BF11+BF17+BF22</f>
        <v>1361185</v>
      </c>
      <c r="BG29" s="95">
        <f>BG4+BG11+BG17+BG22</f>
        <v>1448834</v>
      </c>
    </row>
    <row r="30" spans="1:59" ht="15" thickBot="1" x14ac:dyDescent="0.4">
      <c r="A30" s="209"/>
      <c r="B30" s="209"/>
      <c r="C30" s="96">
        <f t="shared" ref="C30:AV30" si="44">C29/C$27</f>
        <v>0.26949211647058235</v>
      </c>
      <c r="D30" s="96">
        <f t="shared" si="44"/>
        <v>0.28694547717437779</v>
      </c>
      <c r="E30" s="96">
        <f t="shared" si="44"/>
        <v>0.30776308647644224</v>
      </c>
      <c r="F30" s="96">
        <f t="shared" si="44"/>
        <v>0.3125639683524275</v>
      </c>
      <c r="G30" s="196">
        <f t="shared" si="44"/>
        <v>0.295292726963643</v>
      </c>
      <c r="H30" s="97">
        <f t="shared" si="44"/>
        <v>0.32074225259071992</v>
      </c>
      <c r="I30" s="97">
        <f t="shared" si="44"/>
        <v>0.32810869067522924</v>
      </c>
      <c r="J30" s="97">
        <f t="shared" si="44"/>
        <v>0.3223374246273838</v>
      </c>
      <c r="K30" s="97">
        <f t="shared" si="44"/>
        <v>0.33653985086027599</v>
      </c>
      <c r="L30" s="97">
        <f t="shared" si="44"/>
        <v>0.32690771801954893</v>
      </c>
      <c r="M30" s="97">
        <f t="shared" si="44"/>
        <v>0.33812848822295444</v>
      </c>
      <c r="N30" s="97">
        <f t="shared" si="44"/>
        <v>0.32506352945097611</v>
      </c>
      <c r="O30" s="97">
        <f t="shared" si="44"/>
        <v>0.31819655149863518</v>
      </c>
      <c r="P30" s="97">
        <f t="shared" si="44"/>
        <v>0.33894818786451436</v>
      </c>
      <c r="Q30" s="97">
        <f t="shared" si="44"/>
        <v>0.32905851512532275</v>
      </c>
      <c r="R30" s="97">
        <f t="shared" si="44"/>
        <v>0.34315715928242541</v>
      </c>
      <c r="S30" s="97">
        <f t="shared" si="44"/>
        <v>0.33878483097876566</v>
      </c>
      <c r="T30" s="97">
        <f t="shared" si="44"/>
        <v>0.32927042469161893</v>
      </c>
      <c r="U30" s="97">
        <f t="shared" si="44"/>
        <v>0.33363370396142888</v>
      </c>
      <c r="V30" s="97">
        <f t="shared" si="44"/>
        <v>0.33585450888922519</v>
      </c>
      <c r="W30" s="97">
        <f t="shared" si="44"/>
        <v>0.33833947094763267</v>
      </c>
      <c r="X30" s="97">
        <f t="shared" si="44"/>
        <v>0.31471968126031857</v>
      </c>
      <c r="Y30" s="97">
        <f t="shared" si="44"/>
        <v>0.31937553030485644</v>
      </c>
      <c r="Z30" s="97">
        <f t="shared" si="44"/>
        <v>0.3434247077466786</v>
      </c>
      <c r="AA30" s="97">
        <f t="shared" si="44"/>
        <v>0.328423575896787</v>
      </c>
      <c r="AB30" s="97">
        <f t="shared" si="44"/>
        <v>0.33811180625206988</v>
      </c>
      <c r="AC30" s="97">
        <f t="shared" si="44"/>
        <v>0.30036780603971763</v>
      </c>
      <c r="AD30" s="97">
        <f t="shared" si="44"/>
        <v>0.31923304110693473</v>
      </c>
      <c r="AE30" s="97">
        <f t="shared" si="44"/>
        <v>0.335811127962797</v>
      </c>
      <c r="AF30" s="97">
        <f t="shared" si="44"/>
        <v>0.32689550612031804</v>
      </c>
      <c r="AG30" s="97">
        <f t="shared" si="44"/>
        <v>0.31390226271871935</v>
      </c>
      <c r="AH30" s="97">
        <f t="shared" si="44"/>
        <v>0.30111150752251903</v>
      </c>
      <c r="AI30" s="97">
        <f t="shared" si="44"/>
        <v>0.25066108666800041</v>
      </c>
      <c r="AJ30" s="97">
        <f t="shared" si="44"/>
        <v>0.26606011182525641</v>
      </c>
      <c r="AK30" s="97">
        <f t="shared" si="44"/>
        <v>0.28113158019007062</v>
      </c>
      <c r="AL30" s="97">
        <f t="shared" si="44"/>
        <v>0.25550574010808469</v>
      </c>
      <c r="AM30" s="97">
        <f t="shared" si="44"/>
        <v>0.25384615401859978</v>
      </c>
      <c r="AN30" s="97">
        <f t="shared" si="44"/>
        <v>0.27010412710053761</v>
      </c>
      <c r="AO30" s="97">
        <f t="shared" si="44"/>
        <v>0.2813989443421876</v>
      </c>
      <c r="AP30" s="97">
        <f t="shared" si="44"/>
        <v>0.26517053850273353</v>
      </c>
      <c r="AQ30" s="97">
        <f t="shared" si="44"/>
        <v>0.30849223985645713</v>
      </c>
      <c r="AR30" s="97">
        <f t="shared" si="44"/>
        <v>0.31515830872318307</v>
      </c>
      <c r="AS30" s="97">
        <f t="shared" si="44"/>
        <v>0.30166396071130469</v>
      </c>
      <c r="AT30" s="97">
        <f t="shared" si="44"/>
        <v>0.30188003436041255</v>
      </c>
      <c r="AU30" s="97">
        <f t="shared" si="44"/>
        <v>0.30696966337106141</v>
      </c>
      <c r="AV30" s="97">
        <f t="shared" si="44"/>
        <v>0.29558861915808698</v>
      </c>
      <c r="AW30" s="97">
        <f t="shared" ref="AW30:BG30" si="45">AW29/AW$27</f>
        <v>0.28811255434754623</v>
      </c>
      <c r="AX30" s="97">
        <f t="shared" si="45"/>
        <v>0.30046751614540468</v>
      </c>
      <c r="AY30" s="97">
        <f t="shared" si="45"/>
        <v>0.31981074834239265</v>
      </c>
      <c r="AZ30" s="97">
        <f t="shared" si="45"/>
        <v>0.28563574441270245</v>
      </c>
      <c r="BA30" s="97">
        <f t="shared" si="45"/>
        <v>0.33318419560924123</v>
      </c>
      <c r="BB30" s="97">
        <f t="shared" si="45"/>
        <v>0.3352896832894729</v>
      </c>
      <c r="BC30" s="97">
        <f t="shared" si="45"/>
        <v>0.32018059115806041</v>
      </c>
      <c r="BD30" s="97">
        <f t="shared" si="45"/>
        <v>0.34783667507786037</v>
      </c>
      <c r="BE30" s="97">
        <f t="shared" si="45"/>
        <v>0.33388481435085066</v>
      </c>
      <c r="BF30" s="97">
        <f t="shared" si="45"/>
        <v>0.35751666586558095</v>
      </c>
      <c r="BG30" s="97">
        <f t="shared" si="45"/>
        <v>0.36108282429525951</v>
      </c>
    </row>
    <row r="31" spans="1:59" x14ac:dyDescent="0.35">
      <c r="A31" s="207" t="s">
        <v>542</v>
      </c>
      <c r="B31" s="207" t="s">
        <v>559</v>
      </c>
      <c r="C31" s="95">
        <f t="shared" ref="C31:AV31" si="46">C5+C12+C18+C23</f>
        <v>502908.41441424948</v>
      </c>
      <c r="D31" s="95">
        <f t="shared" si="46"/>
        <v>533876.9006320287</v>
      </c>
      <c r="E31" s="95">
        <f t="shared" si="46"/>
        <v>594332.02062396158</v>
      </c>
      <c r="F31" s="95">
        <f t="shared" si="46"/>
        <v>648587.48440090753</v>
      </c>
      <c r="G31" s="202">
        <f t="shared" si="46"/>
        <v>2279704.8200711473</v>
      </c>
      <c r="H31" s="95">
        <f t="shared" si="46"/>
        <v>585171.4957220261</v>
      </c>
      <c r="I31" s="95">
        <f t="shared" si="46"/>
        <v>566756.27696515445</v>
      </c>
      <c r="J31" s="95">
        <f t="shared" si="46"/>
        <v>525733.12053593295</v>
      </c>
      <c r="K31" s="95">
        <f t="shared" si="46"/>
        <v>558674.48086580401</v>
      </c>
      <c r="L31" s="95">
        <f t="shared" si="46"/>
        <v>2236335.3740889179</v>
      </c>
      <c r="M31" s="95">
        <f t="shared" si="46"/>
        <v>526020.89504579105</v>
      </c>
      <c r="N31" s="95">
        <f t="shared" si="46"/>
        <v>576163.14350518514</v>
      </c>
      <c r="O31" s="95">
        <f t="shared" si="46"/>
        <v>575601.87810453586</v>
      </c>
      <c r="P31" s="95">
        <f t="shared" si="46"/>
        <v>581380.92208439496</v>
      </c>
      <c r="Q31" s="95">
        <f t="shared" si="46"/>
        <v>2265319.9330031257</v>
      </c>
      <c r="R31" s="95">
        <f t="shared" si="46"/>
        <v>579359.31877091213</v>
      </c>
      <c r="S31" s="95">
        <f t="shared" si="46"/>
        <v>664399.24675891281</v>
      </c>
      <c r="T31" s="95">
        <f t="shared" si="46"/>
        <v>695147.19008666638</v>
      </c>
      <c r="U31" s="95">
        <f t="shared" si="46"/>
        <v>674989.63377417647</v>
      </c>
      <c r="V31" s="95">
        <f t="shared" si="46"/>
        <v>2613895.3893906674</v>
      </c>
      <c r="W31" s="95">
        <f t="shared" si="46"/>
        <v>625030.49611037597</v>
      </c>
      <c r="X31" s="95">
        <f t="shared" si="46"/>
        <v>672021.54667430243</v>
      </c>
      <c r="Y31" s="95">
        <f t="shared" si="46"/>
        <v>661275.11306600599</v>
      </c>
      <c r="Z31" s="95">
        <f t="shared" si="46"/>
        <v>608698.93312433036</v>
      </c>
      <c r="AA31" s="95">
        <f t="shared" si="46"/>
        <v>2567026.0889750146</v>
      </c>
      <c r="AB31" s="95">
        <f t="shared" si="46"/>
        <v>597803.43147461861</v>
      </c>
      <c r="AC31" s="95">
        <f t="shared" si="46"/>
        <v>310406.333670058</v>
      </c>
      <c r="AD31" s="95">
        <f t="shared" si="46"/>
        <v>721136.84388159029</v>
      </c>
      <c r="AE31" s="95">
        <f t="shared" si="46"/>
        <v>796718.48432006314</v>
      </c>
      <c r="AF31" s="95">
        <f t="shared" si="46"/>
        <v>2426065.0933463299</v>
      </c>
      <c r="AG31" s="95">
        <f t="shared" si="46"/>
        <v>803183.13425292028</v>
      </c>
      <c r="AH31" s="95">
        <f t="shared" si="46"/>
        <v>718004.2837167246</v>
      </c>
      <c r="AI31" s="95">
        <f t="shared" si="46"/>
        <v>840566.55781347409</v>
      </c>
      <c r="AJ31" s="95">
        <f t="shared" si="46"/>
        <v>932860.35918614292</v>
      </c>
      <c r="AK31" s="95">
        <f t="shared" si="46"/>
        <v>3294614.3349692617</v>
      </c>
      <c r="AL31" s="95">
        <f t="shared" si="46"/>
        <v>1019780.5137373165</v>
      </c>
      <c r="AM31" s="95">
        <f t="shared" si="46"/>
        <v>1009281.8731525695</v>
      </c>
      <c r="AN31" s="95">
        <f t="shared" si="46"/>
        <v>945839.09047829569</v>
      </c>
      <c r="AO31" s="95">
        <f t="shared" si="46"/>
        <v>865620.78200792358</v>
      </c>
      <c r="AP31" s="95">
        <f t="shared" si="46"/>
        <v>3840522.2593761049</v>
      </c>
      <c r="AQ31" s="95">
        <f t="shared" si="46"/>
        <v>873372.49385754426</v>
      </c>
      <c r="AR31" s="95">
        <f t="shared" si="46"/>
        <v>878580.27329958149</v>
      </c>
      <c r="AS31" s="95">
        <f t="shared" si="46"/>
        <v>931722.00835641462</v>
      </c>
      <c r="AT31" s="95">
        <f>AT5+AT12+AT18+AT23</f>
        <v>865593.25847129081</v>
      </c>
      <c r="AU31" s="95">
        <f t="shared" si="46"/>
        <v>3549268.0339848311</v>
      </c>
      <c r="AV31" s="95">
        <f t="shared" si="46"/>
        <v>893662.99731568526</v>
      </c>
      <c r="AW31" s="95">
        <f t="shared" ref="AW31:AX31" si="47">AW5+AW12+AW18+AW23</f>
        <v>987901.97122175712</v>
      </c>
      <c r="AX31" s="95">
        <f t="shared" si="47"/>
        <v>949371.49150566151</v>
      </c>
      <c r="AY31" s="95">
        <f t="shared" ref="AY31:BA31" si="48">AY5+AY12+AY18+AY23</f>
        <v>933795.70561659255</v>
      </c>
      <c r="AZ31" s="95">
        <f t="shared" si="48"/>
        <v>2976936.532283104</v>
      </c>
      <c r="BA31" s="95">
        <f t="shared" si="48"/>
        <v>961421.30483649625</v>
      </c>
      <c r="BB31" s="95">
        <f t="shared" ref="BB31:BC31" si="49">BB5+BB12+BB18+BB23</f>
        <v>1031946</v>
      </c>
      <c r="BC31" s="95">
        <f t="shared" si="49"/>
        <v>1022700</v>
      </c>
      <c r="BD31" s="95">
        <f t="shared" ref="BD31" si="50">BD5+BD12+BD18+BD23</f>
        <v>941846</v>
      </c>
      <c r="BE31" s="95">
        <f>SUM(BE5,BE12,BE18,BE23)</f>
        <v>3957913.3048364962</v>
      </c>
      <c r="BF31" s="95">
        <f t="shared" ref="BF31" si="51">BF5+BF12+BF18+BF23</f>
        <v>923329</v>
      </c>
      <c r="BG31" s="95">
        <f>BG5+BG12+BG18+BG23</f>
        <v>951716</v>
      </c>
    </row>
    <row r="32" spans="1:59" ht="15" thickBot="1" x14ac:dyDescent="0.4">
      <c r="A32" s="209"/>
      <c r="B32" s="209"/>
      <c r="C32" s="96">
        <f t="shared" ref="C32:AV32" si="52">C31/C$27</f>
        <v>0.3233230740537108</v>
      </c>
      <c r="D32" s="96">
        <f t="shared" si="52"/>
        <v>0.32063621042952922</v>
      </c>
      <c r="E32" s="96">
        <f t="shared" si="52"/>
        <v>0.33197114127092692</v>
      </c>
      <c r="F32" s="96">
        <f t="shared" si="52"/>
        <v>0.35332806070198092</v>
      </c>
      <c r="G32" s="196">
        <f t="shared" si="52"/>
        <v>0.33297590640776925</v>
      </c>
      <c r="H32" s="97">
        <f t="shared" si="52"/>
        <v>0.32831325426479757</v>
      </c>
      <c r="I32" s="97">
        <f t="shared" si="52"/>
        <v>0.32199733114923373</v>
      </c>
      <c r="J32" s="97">
        <f t="shared" si="52"/>
        <v>0.32950785853075681</v>
      </c>
      <c r="K32" s="97">
        <f t="shared" si="52"/>
        <v>0.3328495138363779</v>
      </c>
      <c r="L32" s="97">
        <f t="shared" si="52"/>
        <v>0.32807898341689645</v>
      </c>
      <c r="M32" s="97">
        <f t="shared" si="52"/>
        <v>0.30959961705610711</v>
      </c>
      <c r="N32" s="97">
        <f t="shared" si="52"/>
        <v>0.30295533094260396</v>
      </c>
      <c r="O32" s="97">
        <f t="shared" si="52"/>
        <v>0.2978611050397133</v>
      </c>
      <c r="P32" s="97">
        <f t="shared" si="52"/>
        <v>0.29743568273796439</v>
      </c>
      <c r="Q32" s="97">
        <f t="shared" si="52"/>
        <v>0.30252913725622821</v>
      </c>
      <c r="R32" s="97">
        <f t="shared" si="52"/>
        <v>0.27025484120413834</v>
      </c>
      <c r="S32" s="97">
        <f t="shared" si="52"/>
        <v>0.27689239698721885</v>
      </c>
      <c r="T32" s="97">
        <f t="shared" si="52"/>
        <v>0.26559602818820999</v>
      </c>
      <c r="U32" s="97">
        <f t="shared" si="52"/>
        <v>0.27486074418013362</v>
      </c>
      <c r="V32" s="97">
        <f t="shared" si="52"/>
        <v>0.2718192800567546</v>
      </c>
      <c r="W32" s="97">
        <f t="shared" si="52"/>
        <v>0.25324158842518291</v>
      </c>
      <c r="X32" s="97">
        <f t="shared" si="52"/>
        <v>0.25194539954870226</v>
      </c>
      <c r="Y32" s="97">
        <f t="shared" si="52"/>
        <v>0.26010779840262638</v>
      </c>
      <c r="Z32" s="97">
        <f t="shared" si="52"/>
        <v>0.260279745276987</v>
      </c>
      <c r="AA32" s="97">
        <f t="shared" si="52"/>
        <v>0.2562824382198205</v>
      </c>
      <c r="AB32" s="97">
        <f t="shared" si="52"/>
        <v>0.26872889115023163</v>
      </c>
      <c r="AC32" s="97">
        <f t="shared" si="52"/>
        <v>0.2648869760526627</v>
      </c>
      <c r="AD32" s="97">
        <f t="shared" si="52"/>
        <v>0.28676214876114214</v>
      </c>
      <c r="AE32" s="97">
        <f t="shared" si="52"/>
        <v>0.27960846813210682</v>
      </c>
      <c r="AF32" s="97">
        <f t="shared" si="52"/>
        <v>0.27693012517900545</v>
      </c>
      <c r="AG32" s="97">
        <f t="shared" si="52"/>
        <v>0.25635447857770194</v>
      </c>
      <c r="AH32" s="97">
        <f t="shared" si="52"/>
        <v>0.22551218454813451</v>
      </c>
      <c r="AI32" s="97">
        <f t="shared" si="52"/>
        <v>0.23453447094735916</v>
      </c>
      <c r="AJ32" s="97">
        <f t="shared" si="52"/>
        <v>0.24630563586453227</v>
      </c>
      <c r="AK32" s="97">
        <f t="shared" si="52"/>
        <v>0.24068717718133012</v>
      </c>
      <c r="AL32" s="97">
        <f t="shared" si="52"/>
        <v>0.23842297779791177</v>
      </c>
      <c r="AM32" s="97">
        <f t="shared" si="52"/>
        <v>0.24074174610713975</v>
      </c>
      <c r="AN32" s="97">
        <f t="shared" si="52"/>
        <v>0.21902846406446189</v>
      </c>
      <c r="AO32" s="97">
        <f t="shared" si="52"/>
        <v>0.20808413961970548</v>
      </c>
      <c r="AP32" s="97">
        <f t="shared" si="52"/>
        <v>0.22660797429771024</v>
      </c>
      <c r="AQ32" s="97">
        <f t="shared" si="52"/>
        <v>0.21844400204007608</v>
      </c>
      <c r="AR32" s="97">
        <f t="shared" si="52"/>
        <v>0.23113216451833737</v>
      </c>
      <c r="AS32" s="97">
        <f t="shared" si="52"/>
        <v>0.2537118138025799</v>
      </c>
      <c r="AT32" s="97">
        <f t="shared" si="52"/>
        <v>0.24848371275708414</v>
      </c>
      <c r="AU32" s="97">
        <f t="shared" si="52"/>
        <v>0.23732636305962457</v>
      </c>
      <c r="AV32" s="97">
        <f t="shared" si="52"/>
        <v>0.24853204930277611</v>
      </c>
      <c r="AW32" s="97">
        <f>AW31/AW$27</f>
        <v>0.25696049529594994</v>
      </c>
      <c r="AX32" s="97">
        <f>AX31/AX$27</f>
        <v>0.23839343571963958</v>
      </c>
      <c r="AY32" s="97">
        <f t="shared" ref="AY32:BA32" si="53">AY31/AY$27</f>
        <v>0.23887700588274305</v>
      </c>
      <c r="AZ32" s="97">
        <f t="shared" si="53"/>
        <v>0.23743471352781564</v>
      </c>
      <c r="BA32" s="97">
        <f t="shared" si="53"/>
        <v>0.24413636296612934</v>
      </c>
      <c r="BB32" s="97">
        <f t="shared" ref="BB32:BC32" si="54">BB31/BB$27</f>
        <v>0.25126711481560121</v>
      </c>
      <c r="BC32" s="97">
        <f t="shared" si="54"/>
        <v>0.26896163765999431</v>
      </c>
      <c r="BD32" s="97">
        <f t="shared" ref="BD32:BG32" si="55">BD31/BD$27</f>
        <v>0.26763679556252701</v>
      </c>
      <c r="BE32" s="97">
        <f t="shared" si="55"/>
        <v>0.25756699011021944</v>
      </c>
      <c r="BF32" s="97">
        <f t="shared" si="55"/>
        <v>0.2425133288840246</v>
      </c>
      <c r="BG32" s="97">
        <f t="shared" si="55"/>
        <v>0.23718956154189313</v>
      </c>
    </row>
    <row r="33" spans="1:59" x14ac:dyDescent="0.35">
      <c r="A33" s="207" t="s">
        <v>543</v>
      </c>
      <c r="B33" s="207" t="s">
        <v>560</v>
      </c>
      <c r="C33" s="95">
        <f t="shared" ref="C33:AV33" si="56">C6+C13+C19+C24</f>
        <v>317408.25914525421</v>
      </c>
      <c r="D33" s="95">
        <f t="shared" si="56"/>
        <v>333528.83157380065</v>
      </c>
      <c r="E33" s="95">
        <f t="shared" si="56"/>
        <v>336726.52667156153</v>
      </c>
      <c r="F33" s="95">
        <f t="shared" si="56"/>
        <v>311103.37277910061</v>
      </c>
      <c r="G33" s="202">
        <f t="shared" si="56"/>
        <v>1298766.9901697168</v>
      </c>
      <c r="H33" s="95">
        <f t="shared" si="56"/>
        <v>337625.98038473591</v>
      </c>
      <c r="I33" s="95">
        <f t="shared" si="56"/>
        <v>346843.73732473806</v>
      </c>
      <c r="J33" s="95">
        <f t="shared" si="56"/>
        <v>313566.9012059095</v>
      </c>
      <c r="K33" s="95">
        <f t="shared" si="56"/>
        <v>296920.21565687831</v>
      </c>
      <c r="L33" s="95">
        <f t="shared" si="56"/>
        <v>1294956.8345722617</v>
      </c>
      <c r="M33" s="95">
        <f t="shared" si="56"/>
        <v>324253.43555021175</v>
      </c>
      <c r="N33" s="95">
        <f t="shared" si="56"/>
        <v>377440.3002264268</v>
      </c>
      <c r="O33" s="95">
        <f t="shared" si="56"/>
        <v>382771.29268852063</v>
      </c>
      <c r="P33" s="95">
        <f t="shared" si="56"/>
        <v>367279.14408830216</v>
      </c>
      <c r="Q33" s="95">
        <f t="shared" si="56"/>
        <v>1451744.1725534613</v>
      </c>
      <c r="R33" s="95">
        <f t="shared" si="56"/>
        <v>433088.86455339752</v>
      </c>
      <c r="S33" s="95">
        <f t="shared" si="56"/>
        <v>485045.12463376956</v>
      </c>
      <c r="T33" s="95">
        <f t="shared" si="56"/>
        <v>522484.70909410017</v>
      </c>
      <c r="U33" s="95">
        <f t="shared" si="56"/>
        <v>492622.35798348364</v>
      </c>
      <c r="V33" s="95">
        <f t="shared" si="56"/>
        <v>1933241.0562647509</v>
      </c>
      <c r="W33" s="95">
        <f t="shared" si="56"/>
        <v>499040.4611042653</v>
      </c>
      <c r="X33" s="95">
        <f t="shared" si="56"/>
        <v>522917.90835333045</v>
      </c>
      <c r="Y33" s="95">
        <f t="shared" si="56"/>
        <v>489806.51898502529</v>
      </c>
      <c r="Z33" s="95">
        <f t="shared" si="56"/>
        <v>438185.89737501397</v>
      </c>
      <c r="AA33" s="95">
        <f t="shared" si="56"/>
        <v>1949950.7858176348</v>
      </c>
      <c r="AB33" s="95">
        <f t="shared" si="56"/>
        <v>429276.63707723637</v>
      </c>
      <c r="AC33" s="95">
        <f t="shared" si="56"/>
        <v>304398.52177103987</v>
      </c>
      <c r="AD33" s="95">
        <f t="shared" si="56"/>
        <v>505469.97513608634</v>
      </c>
      <c r="AE33" s="95">
        <f t="shared" si="56"/>
        <v>573654.98083780194</v>
      </c>
      <c r="AF33" s="95">
        <f t="shared" si="56"/>
        <v>1812800.1148221642</v>
      </c>
      <c r="AG33" s="95">
        <f t="shared" si="56"/>
        <v>734779.14680860215</v>
      </c>
      <c r="AH33" s="95">
        <f t="shared" si="56"/>
        <v>750016.25440999633</v>
      </c>
      <c r="AI33" s="95">
        <f t="shared" si="56"/>
        <v>873013.08672295383</v>
      </c>
      <c r="AJ33" s="95">
        <f t="shared" si="56"/>
        <v>932876.52736206329</v>
      </c>
      <c r="AK33" s="95">
        <f t="shared" si="56"/>
        <v>3290685.0153036155</v>
      </c>
      <c r="AL33" s="95">
        <f t="shared" si="56"/>
        <v>1057597.6643078695</v>
      </c>
      <c r="AM33" s="95">
        <f t="shared" si="56"/>
        <v>1000954.508864578</v>
      </c>
      <c r="AN33" s="95">
        <f t="shared" si="56"/>
        <v>988889.72385520453</v>
      </c>
      <c r="AO33" s="95">
        <f t="shared" si="56"/>
        <v>927013.68855799839</v>
      </c>
      <c r="AP33" s="95">
        <f t="shared" si="56"/>
        <v>3974455.5855856505</v>
      </c>
      <c r="AQ33" s="95">
        <f t="shared" si="56"/>
        <v>916596.26396765769</v>
      </c>
      <c r="AR33" s="95">
        <f t="shared" si="56"/>
        <v>853158.84219381644</v>
      </c>
      <c r="AS33" s="95">
        <f t="shared" si="56"/>
        <v>766355.99791219539</v>
      </c>
      <c r="AT33" s="95">
        <f t="shared" si="56"/>
        <v>737594.09883392591</v>
      </c>
      <c r="AU33" s="95">
        <f t="shared" si="56"/>
        <v>3273705.2029075949</v>
      </c>
      <c r="AV33" s="95">
        <f t="shared" si="56"/>
        <v>731877.55367712164</v>
      </c>
      <c r="AW33" s="95">
        <f t="shared" ref="AW33:AX33" si="57">AW6+AW13+AW19+AW24</f>
        <v>771397.99875240179</v>
      </c>
      <c r="AX33" s="95">
        <f t="shared" si="57"/>
        <v>759420.32933844416</v>
      </c>
      <c r="AY33" s="95">
        <f t="shared" ref="AY33:BA33" si="58">AY6+AY13+AY19+AY24</f>
        <v>742036.47425164143</v>
      </c>
      <c r="AZ33" s="95">
        <f t="shared" si="58"/>
        <v>2499242.0785779674</v>
      </c>
      <c r="BA33" s="95">
        <f t="shared" si="58"/>
        <v>795174.94102890557</v>
      </c>
      <c r="BB33" s="95">
        <f t="shared" ref="BB33:BC33" si="59">BB6+BB13+BB19+BB24</f>
        <v>828785</v>
      </c>
      <c r="BC33" s="95">
        <f t="shared" si="59"/>
        <v>784433</v>
      </c>
      <c r="BD33" s="95">
        <f t="shared" ref="BD33" si="60">BD6+BD13+BD19+BD24</f>
        <v>689358</v>
      </c>
      <c r="BE33" s="95">
        <f>SUM(BE6,BE13,BE19,BE24)</f>
        <v>3097750.9410289056</v>
      </c>
      <c r="BF33" s="95">
        <f t="shared" ref="BF33" si="61">BF6+BF13+BF19+BF24</f>
        <v>766847</v>
      </c>
      <c r="BG33" s="95">
        <f>BG6+BG13+BG19+BG24</f>
        <v>796241</v>
      </c>
    </row>
    <row r="34" spans="1:59" ht="15" thickBot="1" x14ac:dyDescent="0.4">
      <c r="A34" s="209"/>
      <c r="B34" s="209"/>
      <c r="C34" s="96">
        <f t="shared" ref="C34:AV34" si="62">C33/C$27</f>
        <v>0.20406382382050806</v>
      </c>
      <c r="D34" s="96">
        <f t="shared" si="62"/>
        <v>0.2003110089577014</v>
      </c>
      <c r="E34" s="96">
        <f t="shared" si="62"/>
        <v>0.18808256240004906</v>
      </c>
      <c r="F34" s="96">
        <f t="shared" si="62"/>
        <v>0.16947837265687957</v>
      </c>
      <c r="G34" s="196">
        <f t="shared" si="62"/>
        <v>0.18969917155798932</v>
      </c>
      <c r="H34" s="97">
        <f t="shared" si="62"/>
        <v>0.18942666407167416</v>
      </c>
      <c r="I34" s="97">
        <f t="shared" si="62"/>
        <v>0.19705605792745026</v>
      </c>
      <c r="J34" s="97">
        <f t="shared" si="62"/>
        <v>0.1965308139939087</v>
      </c>
      <c r="K34" s="97">
        <f t="shared" si="62"/>
        <v>0.17690041842688667</v>
      </c>
      <c r="L34" s="97">
        <f t="shared" si="62"/>
        <v>0.18997513824522527</v>
      </c>
      <c r="M34" s="97">
        <f t="shared" si="62"/>
        <v>0.19084553564499304</v>
      </c>
      <c r="N34" s="97">
        <f t="shared" si="62"/>
        <v>0.19846384197802105</v>
      </c>
      <c r="O34" s="97">
        <f t="shared" si="62"/>
        <v>0.19807558757995622</v>
      </c>
      <c r="P34" s="97">
        <f t="shared" si="62"/>
        <v>0.18790077009348696</v>
      </c>
      <c r="Q34" s="97">
        <f t="shared" si="62"/>
        <v>0.19387765305941426</v>
      </c>
      <c r="R34" s="97">
        <f t="shared" si="62"/>
        <v>0.20202378476532318</v>
      </c>
      <c r="S34" s="97">
        <f t="shared" si="62"/>
        <v>0.20214548385173509</v>
      </c>
      <c r="T34" s="97">
        <f t="shared" si="62"/>
        <v>0.19962659060330001</v>
      </c>
      <c r="U34" s="97">
        <f t="shared" si="62"/>
        <v>0.20059944796191131</v>
      </c>
      <c r="V34" s="97">
        <f t="shared" si="62"/>
        <v>0.20103795822239978</v>
      </c>
      <c r="W34" s="97">
        <f t="shared" si="62"/>
        <v>0.20219461265480787</v>
      </c>
      <c r="X34" s="97">
        <f t="shared" si="62"/>
        <v>0.19604544229755633</v>
      </c>
      <c r="Y34" s="97">
        <f t="shared" si="62"/>
        <v>0.19266186308712982</v>
      </c>
      <c r="Z34" s="97">
        <f t="shared" si="62"/>
        <v>0.18736834836778171</v>
      </c>
      <c r="AA34" s="97">
        <f t="shared" si="62"/>
        <v>0.19467591075302954</v>
      </c>
      <c r="AB34" s="97">
        <f t="shared" si="62"/>
        <v>0.19297151639612831</v>
      </c>
      <c r="AC34" s="97">
        <f t="shared" si="62"/>
        <v>0.2597601762615358</v>
      </c>
      <c r="AD34" s="97">
        <f t="shared" si="62"/>
        <v>0.20100159551418753</v>
      </c>
      <c r="AE34" s="97">
        <f t="shared" si="62"/>
        <v>0.20132429909078703</v>
      </c>
      <c r="AF34" s="97">
        <f t="shared" si="62"/>
        <v>0.20692724366672724</v>
      </c>
      <c r="AG34" s="97">
        <f t="shared" si="62"/>
        <v>0.23452176348933718</v>
      </c>
      <c r="AH34" s="97">
        <f t="shared" si="62"/>
        <v>0.23556656668268278</v>
      </c>
      <c r="AI34" s="97">
        <f t="shared" si="62"/>
        <v>0.24358768561682936</v>
      </c>
      <c r="AJ34" s="97">
        <f t="shared" si="62"/>
        <v>0.24630990479161405</v>
      </c>
      <c r="AK34" s="97">
        <f t="shared" si="62"/>
        <v>0.24040012177441061</v>
      </c>
      <c r="AL34" s="97">
        <f t="shared" si="62"/>
        <v>0.24726456432501595</v>
      </c>
      <c r="AM34" s="97">
        <f t="shared" si="62"/>
        <v>0.23875543854283229</v>
      </c>
      <c r="AN34" s="97">
        <f t="shared" si="62"/>
        <v>0.22899772226120058</v>
      </c>
      <c r="AO34" s="97">
        <f t="shared" si="62"/>
        <v>0.22284220735993721</v>
      </c>
      <c r="AP34" s="97">
        <f t="shared" si="62"/>
        <v>0.23451063901191763</v>
      </c>
      <c r="AQ34" s="97">
        <f t="shared" si="62"/>
        <v>0.22925493711362041</v>
      </c>
      <c r="AR34" s="97">
        <f t="shared" si="62"/>
        <v>0.22444443139343742</v>
      </c>
      <c r="AS34" s="97">
        <f t="shared" si="62"/>
        <v>0.20868195503053089</v>
      </c>
      <c r="AT34" s="97">
        <f t="shared" si="62"/>
        <v>0.21173931103582924</v>
      </c>
      <c r="AU34" s="97">
        <f t="shared" si="62"/>
        <v>0.21890050063735206</v>
      </c>
      <c r="AV34" s="97">
        <f t="shared" si="62"/>
        <v>0.20353872634364362</v>
      </c>
      <c r="AW34" s="97">
        <f>AW33/AW$27</f>
        <v>0.20064623576424367</v>
      </c>
      <c r="AX34" s="97">
        <f>AX33/AX$27</f>
        <v>0.19069544755257933</v>
      </c>
      <c r="AY34" s="97">
        <f t="shared" ref="AY34:BA34" si="63">AY33/AY$27</f>
        <v>0.18982251702258163</v>
      </c>
      <c r="AZ34" s="97">
        <f t="shared" si="63"/>
        <v>0.19933472565796365</v>
      </c>
      <c r="BA34" s="97">
        <f t="shared" si="63"/>
        <v>0.20192096539572546</v>
      </c>
      <c r="BB34" s="97">
        <f t="shared" ref="BB34:BC34" si="64">BB33/BB$27</f>
        <v>0.20179972183859235</v>
      </c>
      <c r="BC34" s="97">
        <f t="shared" si="64"/>
        <v>0.206299388202349</v>
      </c>
      <c r="BD34" s="97">
        <f t="shared" ref="BD34:BG34" si="65">BD33/BD$27</f>
        <v>0.19588931323740025</v>
      </c>
      <c r="BE34" s="97">
        <f t="shared" si="65"/>
        <v>0.20159066774325821</v>
      </c>
      <c r="BF34" s="97">
        <f t="shared" si="65"/>
        <v>0.20141316769507683</v>
      </c>
      <c r="BG34" s="97">
        <f t="shared" si="65"/>
        <v>0.19844160828616786</v>
      </c>
    </row>
    <row r="35" spans="1:59" x14ac:dyDescent="0.35">
      <c r="A35" s="207" t="s">
        <v>544</v>
      </c>
      <c r="B35" s="207" t="s">
        <v>564</v>
      </c>
      <c r="C35" s="95">
        <f t="shared" ref="C35:AV35" si="66">C7</f>
        <v>40363.38089</v>
      </c>
      <c r="D35" s="95">
        <f t="shared" si="66"/>
        <v>34789.907909999994</v>
      </c>
      <c r="E35" s="95">
        <f t="shared" si="66"/>
        <v>37781.838530000008</v>
      </c>
      <c r="F35" s="95">
        <f t="shared" si="66"/>
        <v>39295.597409999973</v>
      </c>
      <c r="G35" s="202">
        <f t="shared" si="66"/>
        <v>152230.72473999998</v>
      </c>
      <c r="H35" s="95">
        <f t="shared" si="66"/>
        <v>36783.018909999999</v>
      </c>
      <c r="I35" s="95">
        <f t="shared" si="66"/>
        <v>33576.173999999999</v>
      </c>
      <c r="J35" s="95">
        <f t="shared" si="66"/>
        <v>31535.433989999998</v>
      </c>
      <c r="K35" s="95">
        <f t="shared" si="66"/>
        <v>40634.13446999999</v>
      </c>
      <c r="L35" s="95">
        <f t="shared" si="66"/>
        <v>142528.76136999999</v>
      </c>
      <c r="M35" s="95">
        <f t="shared" si="66"/>
        <v>38943.069300000003</v>
      </c>
      <c r="N35" s="95">
        <f t="shared" si="66"/>
        <v>40239.605820000012</v>
      </c>
      <c r="O35" s="95">
        <f t="shared" si="66"/>
        <v>42229.592089999991</v>
      </c>
      <c r="P35" s="95">
        <f t="shared" si="66"/>
        <v>44369.981300000029</v>
      </c>
      <c r="Q35" s="95">
        <f t="shared" si="66"/>
        <v>165782.24851000003</v>
      </c>
      <c r="R35" s="95">
        <f t="shared" si="66"/>
        <v>45447.7958</v>
      </c>
      <c r="S35" s="95">
        <f t="shared" si="66"/>
        <v>47932.09931000002</v>
      </c>
      <c r="T35" s="95">
        <f t="shared" si="66"/>
        <v>38424.190060000008</v>
      </c>
      <c r="U35" s="95">
        <f t="shared" si="66"/>
        <v>34089.412130000004</v>
      </c>
      <c r="V35" s="95">
        <f t="shared" si="66"/>
        <v>165893.49730000002</v>
      </c>
      <c r="W35" s="95">
        <f t="shared" si="66"/>
        <v>37994.363250000002</v>
      </c>
      <c r="X35" s="95">
        <f t="shared" si="66"/>
        <v>55877.181710000004</v>
      </c>
      <c r="Y35" s="95">
        <f t="shared" si="66"/>
        <v>47728.539269999994</v>
      </c>
      <c r="Z35" s="95">
        <f t="shared" si="66"/>
        <v>51413.113360000003</v>
      </c>
      <c r="AA35" s="95">
        <f t="shared" si="66"/>
        <v>193013.19759000003</v>
      </c>
      <c r="AB35" s="95">
        <f t="shared" si="66"/>
        <v>39538.184209999992</v>
      </c>
      <c r="AC35" s="95">
        <f t="shared" si="66"/>
        <v>14437.726060000005</v>
      </c>
      <c r="AD35" s="95">
        <f t="shared" si="66"/>
        <v>54943.614999999998</v>
      </c>
      <c r="AE35" s="95">
        <f t="shared" si="66"/>
        <v>58059.968000000008</v>
      </c>
      <c r="AF35" s="95">
        <f t="shared" si="66"/>
        <v>166979.49327000001</v>
      </c>
      <c r="AG35" s="95">
        <f t="shared" si="66"/>
        <v>64791.642240000001</v>
      </c>
      <c r="AH35" s="95">
        <f t="shared" si="66"/>
        <v>90402.496119999996</v>
      </c>
      <c r="AI35" s="95">
        <f t="shared" si="66"/>
        <v>111407.27677</v>
      </c>
      <c r="AJ35" s="95">
        <f t="shared" si="66"/>
        <v>75705.885960000014</v>
      </c>
      <c r="AK35" s="95">
        <f t="shared" si="66"/>
        <v>342307.30108999996</v>
      </c>
      <c r="AL35" s="95">
        <f t="shared" si="66"/>
        <v>101866.81951</v>
      </c>
      <c r="AM35" s="95">
        <f t="shared" si="66"/>
        <v>112573.03474999999</v>
      </c>
      <c r="AN35" s="95">
        <f t="shared" si="66"/>
        <v>127900.73421</v>
      </c>
      <c r="AO35" s="95">
        <f t="shared" si="66"/>
        <v>118183.35931</v>
      </c>
      <c r="AP35" s="95">
        <f t="shared" si="66"/>
        <v>460523.94777999993</v>
      </c>
      <c r="AQ35" s="95">
        <f t="shared" si="66"/>
        <v>114473.50968999999</v>
      </c>
      <c r="AR35" s="95">
        <f t="shared" si="66"/>
        <v>115560.92623000001</v>
      </c>
      <c r="AS35" s="95">
        <f t="shared" si="66"/>
        <v>123975.95102000001</v>
      </c>
      <c r="AT35" s="95">
        <f t="shared" si="66"/>
        <v>113081.20718999999</v>
      </c>
      <c r="AU35" s="95">
        <f t="shared" si="66"/>
        <v>467091.59412999998</v>
      </c>
      <c r="AV35" s="95">
        <f t="shared" si="66"/>
        <v>102806.90599</v>
      </c>
      <c r="AW35" s="95">
        <f t="shared" ref="AW35:AX35" si="67">AW7</f>
        <v>114782.30006000001</v>
      </c>
      <c r="AX35" s="95">
        <f t="shared" si="67"/>
        <v>124815.20778</v>
      </c>
      <c r="AY35" s="95">
        <f t="shared" ref="AY35:BA35" si="68">AY7</f>
        <v>125568.69282</v>
      </c>
      <c r="AZ35" s="95">
        <f t="shared" si="68"/>
        <v>467973.10664999997</v>
      </c>
      <c r="BA35" s="95">
        <f t="shared" si="68"/>
        <v>114125.01048999999</v>
      </c>
      <c r="BB35" s="95">
        <f t="shared" ref="BB35:BC35" si="69">BB7</f>
        <v>127840</v>
      </c>
      <c r="BC35" s="95">
        <f t="shared" si="69"/>
        <v>134215</v>
      </c>
      <c r="BD35" s="95">
        <f t="shared" ref="BD35:BF35" si="70">BD7</f>
        <v>130597</v>
      </c>
      <c r="BE35" s="95">
        <f t="shared" si="70"/>
        <v>506777.01049000002</v>
      </c>
      <c r="BF35" s="95">
        <f t="shared" si="70"/>
        <v>119229</v>
      </c>
      <c r="BG35" s="95">
        <f>BG7</f>
        <v>121304</v>
      </c>
    </row>
    <row r="36" spans="1:59" ht="15" thickBot="1" x14ac:dyDescent="0.4">
      <c r="A36" s="209"/>
      <c r="B36" s="209"/>
      <c r="C36" s="96">
        <f t="shared" ref="C36:AV36" si="71">C35/C$27</f>
        <v>2.5949878774161616E-2</v>
      </c>
      <c r="D36" s="96">
        <f t="shared" si="71"/>
        <v>2.0894150356100816E-2</v>
      </c>
      <c r="E36" s="96">
        <f t="shared" si="71"/>
        <v>2.1103490340214574E-2</v>
      </c>
      <c r="F36" s="96">
        <f t="shared" si="71"/>
        <v>2.1406884284586186E-2</v>
      </c>
      <c r="G36" s="196">
        <f t="shared" si="71"/>
        <v>2.2234967925290939E-2</v>
      </c>
      <c r="H36" s="97">
        <f t="shared" si="71"/>
        <v>2.0637287920398491E-2</v>
      </c>
      <c r="I36" s="97">
        <f t="shared" si="71"/>
        <v>1.9075992375585115E-2</v>
      </c>
      <c r="J36" s="97">
        <f t="shared" si="71"/>
        <v>1.976511069207541E-2</v>
      </c>
      <c r="K36" s="97">
        <f t="shared" si="71"/>
        <v>2.420918149427748E-2</v>
      </c>
      <c r="L36" s="97">
        <f t="shared" si="71"/>
        <v>2.0909516381007614E-2</v>
      </c>
      <c r="M36" s="97">
        <f t="shared" si="71"/>
        <v>2.2920685196773181E-2</v>
      </c>
      <c r="N36" s="97">
        <f t="shared" si="71"/>
        <v>2.1158595851920065E-2</v>
      </c>
      <c r="O36" s="97">
        <f t="shared" si="71"/>
        <v>2.1852869915444099E-2</v>
      </c>
      <c r="P36" s="97">
        <f t="shared" si="71"/>
        <v>2.2699774243917271E-2</v>
      </c>
      <c r="Q36" s="97">
        <f t="shared" si="71"/>
        <v>2.2139901690459693E-2</v>
      </c>
      <c r="R36" s="97">
        <f t="shared" si="71"/>
        <v>2.1200119578751085E-2</v>
      </c>
      <c r="S36" s="97">
        <f t="shared" si="71"/>
        <v>1.9975991747912501E-2</v>
      </c>
      <c r="T36" s="97">
        <f t="shared" si="71"/>
        <v>1.4680793379906448E-2</v>
      </c>
      <c r="U36" s="97">
        <f t="shared" si="71"/>
        <v>1.3881459385270847E-2</v>
      </c>
      <c r="V36" s="97">
        <f t="shared" si="71"/>
        <v>1.725128372971917E-2</v>
      </c>
      <c r="W36" s="97">
        <f t="shared" si="71"/>
        <v>1.5394053507005621E-2</v>
      </c>
      <c r="X36" s="97">
        <f t="shared" si="71"/>
        <v>2.0948731392989604E-2</v>
      </c>
      <c r="Y36" s="97">
        <f t="shared" si="71"/>
        <v>1.8773676833130446E-2</v>
      </c>
      <c r="Z36" s="97">
        <f t="shared" si="71"/>
        <v>2.1984254154268981E-2</v>
      </c>
      <c r="AA36" s="97">
        <f t="shared" si="71"/>
        <v>1.9269727370289553E-2</v>
      </c>
      <c r="AB36" s="97">
        <f t="shared" si="71"/>
        <v>1.7773488477036303E-2</v>
      </c>
      <c r="AC36" s="97">
        <f t="shared" si="71"/>
        <v>1.2320514056182825E-2</v>
      </c>
      <c r="AD36" s="97">
        <f t="shared" si="71"/>
        <v>2.1848487193218483E-2</v>
      </c>
      <c r="AE36" s="97">
        <f t="shared" si="71"/>
        <v>2.0376154227341223E-2</v>
      </c>
      <c r="AF36" s="97">
        <f t="shared" si="71"/>
        <v>1.9060350895122018E-2</v>
      </c>
      <c r="AG36" s="97">
        <f t="shared" si="71"/>
        <v>2.0679751546423635E-2</v>
      </c>
      <c r="AH36" s="97">
        <f t="shared" si="71"/>
        <v>2.8393792141592173E-2</v>
      </c>
      <c r="AI36" s="97">
        <f t="shared" si="71"/>
        <v>3.1084804021832245E-2</v>
      </c>
      <c r="AJ36" s="97">
        <f t="shared" si="71"/>
        <v>1.9988829192328014E-2</v>
      </c>
      <c r="AK36" s="97">
        <f t="shared" si="71"/>
        <v>2.5007169171040598E-2</v>
      </c>
      <c r="AL36" s="97">
        <f t="shared" si="71"/>
        <v>2.381629195616574E-2</v>
      </c>
      <c r="AM36" s="97">
        <f t="shared" si="71"/>
        <v>2.68517940044267E-2</v>
      </c>
      <c r="AN36" s="97">
        <f t="shared" si="71"/>
        <v>2.9618041428766805E-2</v>
      </c>
      <c r="AO36" s="97">
        <f t="shared" si="71"/>
        <v>2.8409764588071953E-2</v>
      </c>
      <c r="AP36" s="97">
        <f t="shared" si="71"/>
        <v>2.7172970724810577E-2</v>
      </c>
      <c r="AQ36" s="97">
        <f t="shared" si="71"/>
        <v>2.8631599644052638E-2</v>
      </c>
      <c r="AR36" s="97">
        <f t="shared" si="71"/>
        <v>3.0401145831527442E-2</v>
      </c>
      <c r="AS36" s="97">
        <f t="shared" si="71"/>
        <v>3.3759171854993622E-2</v>
      </c>
      <c r="AT36" s="97">
        <f t="shared" si="71"/>
        <v>3.2461942061851476E-2</v>
      </c>
      <c r="AU36" s="97">
        <f t="shared" si="71"/>
        <v>3.1232679016957261E-2</v>
      </c>
      <c r="AV36" s="97">
        <f t="shared" si="71"/>
        <v>2.8591103251359929E-2</v>
      </c>
      <c r="AW36" s="97">
        <f>AW35/AW$27</f>
        <v>2.9855711936832681E-2</v>
      </c>
      <c r="AX36" s="97">
        <f>AX35/AX$27</f>
        <v>3.1341920922382617E-2</v>
      </c>
      <c r="AY36" s="97">
        <f t="shared" ref="AY36:BA36" si="72">AY35/AY$27</f>
        <v>3.2122093936644579E-2</v>
      </c>
      <c r="AZ36" s="97">
        <f t="shared" si="72"/>
        <v>3.7324631987014058E-2</v>
      </c>
      <c r="BA36" s="97">
        <f t="shared" si="72"/>
        <v>2.8980078602729015E-2</v>
      </c>
      <c r="BB36" s="97">
        <f t="shared" ref="BB36:BC36" si="73">BB35/BB$27</f>
        <v>3.112758609270878E-2</v>
      </c>
      <c r="BC36" s="97">
        <f t="shared" si="73"/>
        <v>3.5297434436820312E-2</v>
      </c>
      <c r="BD36" s="97">
        <f t="shared" ref="BD36:BG36" si="74">BD35/BD$27</f>
        <v>3.7110698129077725E-2</v>
      </c>
      <c r="BE36" s="97">
        <f t="shared" si="74"/>
        <v>3.2979254267510201E-2</v>
      </c>
      <c r="BF36" s="97">
        <f t="shared" si="74"/>
        <v>3.1315621722607399E-2</v>
      </c>
      <c r="BG36" s="97">
        <f t="shared" si="74"/>
        <v>3.0231752511545258E-2</v>
      </c>
    </row>
    <row r="37" spans="1:59" x14ac:dyDescent="0.35">
      <c r="A37" s="207" t="s">
        <v>545</v>
      </c>
      <c r="B37" s="207" t="s">
        <v>563</v>
      </c>
      <c r="C37" s="95">
        <f t="shared" ref="C37:AV37" si="75">C8+C14</f>
        <v>275578.35364004498</v>
      </c>
      <c r="D37" s="95">
        <f t="shared" si="75"/>
        <v>285079.30340294552</v>
      </c>
      <c r="E37" s="95">
        <f t="shared" si="75"/>
        <v>270479.88156237447</v>
      </c>
      <c r="F37" s="95">
        <f t="shared" si="75"/>
        <v>262907.11131306918</v>
      </c>
      <c r="G37" s="202">
        <f t="shared" si="75"/>
        <v>1094044.6499184342</v>
      </c>
      <c r="H37" s="95">
        <f t="shared" si="75"/>
        <v>251099.44820501696</v>
      </c>
      <c r="I37" s="95">
        <f t="shared" si="75"/>
        <v>235438.0142534948</v>
      </c>
      <c r="J37" s="95">
        <f t="shared" si="75"/>
        <v>210382.03634750811</v>
      </c>
      <c r="K37" s="95">
        <f t="shared" si="75"/>
        <v>217362.26344404387</v>
      </c>
      <c r="L37" s="95">
        <f t="shared" si="75"/>
        <v>914281.76225006371</v>
      </c>
      <c r="M37" s="95">
        <f t="shared" si="75"/>
        <v>235326.12616132281</v>
      </c>
      <c r="N37" s="95">
        <f t="shared" si="75"/>
        <v>289757.13443555823</v>
      </c>
      <c r="O37" s="95">
        <f t="shared" si="75"/>
        <v>316948.73617288895</v>
      </c>
      <c r="P37" s="95">
        <f t="shared" si="75"/>
        <v>299091.0206759104</v>
      </c>
      <c r="Q37" s="95">
        <f t="shared" si="75"/>
        <v>1141123.0174456805</v>
      </c>
      <c r="R37" s="95">
        <f t="shared" si="75"/>
        <v>350212.0830370484</v>
      </c>
      <c r="S37" s="95">
        <f t="shared" si="75"/>
        <v>389199.63258972252</v>
      </c>
      <c r="T37" s="95">
        <f t="shared" si="75"/>
        <v>499451.26064038498</v>
      </c>
      <c r="U37" s="95">
        <f t="shared" si="75"/>
        <v>434728.50342479913</v>
      </c>
      <c r="V37" s="95">
        <f t="shared" si="75"/>
        <v>1673591.479691955</v>
      </c>
      <c r="W37" s="95">
        <f t="shared" si="75"/>
        <v>470991.91670568829</v>
      </c>
      <c r="X37" s="95">
        <f t="shared" si="75"/>
        <v>577052.18138650339</v>
      </c>
      <c r="Y37" s="95">
        <f t="shared" si="75"/>
        <v>531549.41773080477</v>
      </c>
      <c r="Z37" s="95">
        <f t="shared" si="75"/>
        <v>437191.03352950962</v>
      </c>
      <c r="AA37" s="95">
        <f t="shared" si="75"/>
        <v>2016784.5493525062</v>
      </c>
      <c r="AB37" s="95">
        <f t="shared" si="75"/>
        <v>405791.47505504498</v>
      </c>
      <c r="AC37" s="95">
        <f t="shared" si="75"/>
        <v>190617.52442413318</v>
      </c>
      <c r="AD37" s="95">
        <f t="shared" si="75"/>
        <v>430412.38351557183</v>
      </c>
      <c r="AE37" s="95">
        <f t="shared" si="75"/>
        <v>464111.36338139669</v>
      </c>
      <c r="AF37" s="95">
        <f t="shared" si="75"/>
        <v>1490932.7463761466</v>
      </c>
      <c r="AG37" s="95">
        <f t="shared" si="75"/>
        <v>546856</v>
      </c>
      <c r="AH37" s="95">
        <f t="shared" si="75"/>
        <v>666755.76238742401</v>
      </c>
      <c r="AI37" s="95">
        <f t="shared" si="75"/>
        <v>860627.81358062872</v>
      </c>
      <c r="AJ37" s="95">
        <f t="shared" si="75"/>
        <v>838288.29333022528</v>
      </c>
      <c r="AK37" s="95">
        <f t="shared" si="75"/>
        <v>2912527.8692982784</v>
      </c>
      <c r="AL37" s="95">
        <f t="shared" si="75"/>
        <v>1005098.8347350861</v>
      </c>
      <c r="AM37" s="95">
        <f t="shared" si="75"/>
        <v>1005354.1174333181</v>
      </c>
      <c r="AN37" s="95">
        <f t="shared" si="75"/>
        <v>1089308.0387278483</v>
      </c>
      <c r="AO37" s="95">
        <f t="shared" si="75"/>
        <v>1078530.6562079662</v>
      </c>
      <c r="AP37" s="95">
        <f t="shared" si="75"/>
        <v>4178291.6471042181</v>
      </c>
      <c r="AQ37" s="95">
        <f t="shared" si="75"/>
        <v>860311.40554564074</v>
      </c>
      <c r="AR37" s="95">
        <f t="shared" si="75"/>
        <v>755922.23823408107</v>
      </c>
      <c r="AS37" s="95">
        <f t="shared" si="75"/>
        <v>742489.8346690624</v>
      </c>
      <c r="AT37" s="95">
        <f t="shared" si="75"/>
        <v>715633.02437303844</v>
      </c>
      <c r="AU37" s="95">
        <f t="shared" si="75"/>
        <v>3074356.5028218227</v>
      </c>
      <c r="AV37" s="95">
        <f t="shared" si="75"/>
        <v>804550.76565069973</v>
      </c>
      <c r="AW37" s="95">
        <f t="shared" ref="AW37:AX37" si="76">AW8+AW14</f>
        <v>862818.07333804062</v>
      </c>
      <c r="AX37" s="95">
        <f t="shared" si="76"/>
        <v>952191.98278292408</v>
      </c>
      <c r="AY37" s="95">
        <f t="shared" ref="AY37:BA37" si="77">AY8+AY14</f>
        <v>857531.49234741949</v>
      </c>
      <c r="AZ37" s="95">
        <f t="shared" si="77"/>
        <v>3012488.428541664</v>
      </c>
      <c r="BA37" s="95">
        <f t="shared" si="77"/>
        <v>755232.99705462344</v>
      </c>
      <c r="BB37" s="95">
        <f t="shared" ref="BB37:BC37" si="78">BB8+BB14</f>
        <v>741373</v>
      </c>
      <c r="BC37" s="95">
        <f t="shared" si="78"/>
        <v>643598</v>
      </c>
      <c r="BD37" s="95">
        <f t="shared" ref="BD37" si="79">BD8+BD14</f>
        <v>533240</v>
      </c>
      <c r="BE37" s="95">
        <f>SUM(BE8,BE14)</f>
        <v>2673443.9970546234</v>
      </c>
      <c r="BF37" s="95">
        <f t="shared" ref="BF37" si="80">BF8+BF14</f>
        <v>636743</v>
      </c>
      <c r="BG37" s="95">
        <f>BG8+BG14</f>
        <v>694375</v>
      </c>
    </row>
    <row r="38" spans="1:59" ht="15" thickBot="1" x14ac:dyDescent="0.4">
      <c r="A38" s="209"/>
      <c r="B38" s="209"/>
      <c r="C38" s="96">
        <f t="shared" ref="C38:AV38" si="81">C37/C$27</f>
        <v>0.17717110688103724</v>
      </c>
      <c r="D38" s="96">
        <f t="shared" si="81"/>
        <v>0.17121315308229074</v>
      </c>
      <c r="E38" s="96">
        <f t="shared" si="81"/>
        <v>0.15107971951236729</v>
      </c>
      <c r="F38" s="96">
        <f t="shared" si="81"/>
        <v>0.14322271400412578</v>
      </c>
      <c r="G38" s="196">
        <f t="shared" si="81"/>
        <v>0.15979722714530739</v>
      </c>
      <c r="H38" s="97">
        <f t="shared" si="81"/>
        <v>0.14088054115240981</v>
      </c>
      <c r="I38" s="97">
        <f t="shared" si="81"/>
        <v>0.13376192787250168</v>
      </c>
      <c r="J38" s="97">
        <f t="shared" si="81"/>
        <v>0.13185879215587515</v>
      </c>
      <c r="K38" s="97">
        <f t="shared" si="81"/>
        <v>0.12950103538218208</v>
      </c>
      <c r="L38" s="97">
        <f t="shared" si="81"/>
        <v>0.13412864393732166</v>
      </c>
      <c r="M38" s="97">
        <f t="shared" si="81"/>
        <v>0.13850567387917237</v>
      </c>
      <c r="N38" s="97">
        <f t="shared" si="81"/>
        <v>0.15235870177647892</v>
      </c>
      <c r="O38" s="97">
        <f t="shared" si="81"/>
        <v>0.16401388596625099</v>
      </c>
      <c r="P38" s="97">
        <f t="shared" si="81"/>
        <v>0.15301558506011709</v>
      </c>
      <c r="Q38" s="97">
        <f t="shared" si="81"/>
        <v>0.15239479286857502</v>
      </c>
      <c r="R38" s="97">
        <f t="shared" si="81"/>
        <v>0.16336409516936198</v>
      </c>
      <c r="S38" s="97">
        <f t="shared" si="81"/>
        <v>0.1622012964343679</v>
      </c>
      <c r="T38" s="97">
        <f t="shared" si="81"/>
        <v>0.19082616313696454</v>
      </c>
      <c r="U38" s="97">
        <f t="shared" si="81"/>
        <v>0.17702464451125538</v>
      </c>
      <c r="V38" s="97">
        <f t="shared" si="81"/>
        <v>0.17403696910190131</v>
      </c>
      <c r="W38" s="97">
        <f t="shared" si="81"/>
        <v>0.19083027446537085</v>
      </c>
      <c r="X38" s="97">
        <f t="shared" si="81"/>
        <v>0.21634074550043328</v>
      </c>
      <c r="Y38" s="97">
        <f t="shared" si="81"/>
        <v>0.20908113137225684</v>
      </c>
      <c r="Z38" s="97">
        <f t="shared" si="81"/>
        <v>0.18694294445428369</v>
      </c>
      <c r="AA38" s="97">
        <f t="shared" si="81"/>
        <v>0.20134834776007332</v>
      </c>
      <c r="AB38" s="97">
        <f t="shared" si="81"/>
        <v>0.18241429772453396</v>
      </c>
      <c r="AC38" s="97">
        <f t="shared" si="81"/>
        <v>0.16266452758990116</v>
      </c>
      <c r="AD38" s="97">
        <f t="shared" si="81"/>
        <v>0.17115472742451718</v>
      </c>
      <c r="AE38" s="97">
        <f t="shared" si="81"/>
        <v>0.162879950586968</v>
      </c>
      <c r="AF38" s="97">
        <f t="shared" si="81"/>
        <v>0.17018677413882724</v>
      </c>
      <c r="AG38" s="97">
        <f t="shared" si="81"/>
        <v>0.17454174366781791</v>
      </c>
      <c r="AH38" s="97">
        <f t="shared" si="81"/>
        <v>0.20941594910507144</v>
      </c>
      <c r="AI38" s="97">
        <f t="shared" si="81"/>
        <v>0.24013195274597876</v>
      </c>
      <c r="AJ38" s="97">
        <f t="shared" si="81"/>
        <v>0.2213355183262693</v>
      </c>
      <c r="AK38" s="97">
        <f t="shared" si="81"/>
        <v>0.21277395168314805</v>
      </c>
      <c r="AL38" s="97">
        <f t="shared" si="81"/>
        <v>0.23499042581282203</v>
      </c>
      <c r="AM38" s="97">
        <f t="shared" si="81"/>
        <v>0.2398048673270014</v>
      </c>
      <c r="AN38" s="97">
        <f t="shared" si="81"/>
        <v>0.25225164514503318</v>
      </c>
      <c r="AO38" s="97">
        <f t="shared" si="81"/>
        <v>0.25926494409009776</v>
      </c>
      <c r="AP38" s="97">
        <f t="shared" si="81"/>
        <v>0.24653787746282815</v>
      </c>
      <c r="AQ38" s="97">
        <f t="shared" si="81"/>
        <v>0.21517722134579373</v>
      </c>
      <c r="AR38" s="97">
        <f t="shared" si="81"/>
        <v>0.19886394953351461</v>
      </c>
      <c r="AS38" s="97">
        <f t="shared" si="81"/>
        <v>0.20218309860059083</v>
      </c>
      <c r="AT38" s="97">
        <f t="shared" si="81"/>
        <v>0.20543499978482255</v>
      </c>
      <c r="AU38" s="97">
        <f t="shared" si="81"/>
        <v>0.20557079391500471</v>
      </c>
      <c r="AV38" s="97">
        <f t="shared" si="81"/>
        <v>0.22374950194413337</v>
      </c>
      <c r="AW38" s="97">
        <f>AW37/AW$27</f>
        <v>0.22442526276270816</v>
      </c>
      <c r="AX38" s="97">
        <f>AX37/AX$27</f>
        <v>0.23910167965999377</v>
      </c>
      <c r="AY38" s="97">
        <f t="shared" ref="AY38:BA38" si="82">AY37/AY$27</f>
        <v>0.21936763481563828</v>
      </c>
      <c r="AZ38" s="97">
        <f t="shared" si="82"/>
        <v>0.24027026417257458</v>
      </c>
      <c r="BA38" s="97">
        <f t="shared" si="82"/>
        <v>0.19177839742617492</v>
      </c>
      <c r="BB38" s="97">
        <f t="shared" ref="BB38:BC38" si="83">BB37/BB$27</f>
        <v>0.18051589396362475</v>
      </c>
      <c r="BC38" s="97">
        <f t="shared" si="83"/>
        <v>0.16926094854277599</v>
      </c>
      <c r="BD38" s="97">
        <f t="shared" ref="BD38:BG38" si="84">BD37/BD$27</f>
        <v>0.15152651799313466</v>
      </c>
      <c r="BE38" s="97">
        <f t="shared" si="84"/>
        <v>0.17397827352816153</v>
      </c>
      <c r="BF38" s="97">
        <f t="shared" si="84"/>
        <v>0.1672412158327102</v>
      </c>
      <c r="BG38" s="97">
        <f t="shared" si="84"/>
        <v>0.17305425336513419</v>
      </c>
    </row>
    <row r="39" spans="1:59" ht="15" thickBot="1" x14ac:dyDescent="0.4">
      <c r="A39" s="177"/>
      <c r="B39" s="213"/>
      <c r="C39" s="53"/>
      <c r="D39" s="53"/>
      <c r="E39" s="53"/>
      <c r="F39" s="53"/>
      <c r="G39" s="20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</row>
    <row r="40" spans="1:59" x14ac:dyDescent="0.35">
      <c r="A40" s="207" t="s">
        <v>546</v>
      </c>
      <c r="B40" s="207" t="s">
        <v>561</v>
      </c>
      <c r="C40" s="95">
        <f t="shared" ref="C40:AU40" si="85">C29+C31+C35</f>
        <v>962449.58949052659</v>
      </c>
      <c r="D40" s="95">
        <f t="shared" si="85"/>
        <v>1046446.7879118413</v>
      </c>
      <c r="E40" s="95">
        <f t="shared" si="85"/>
        <v>1183105.9012897338</v>
      </c>
      <c r="F40" s="95">
        <f t="shared" si="85"/>
        <v>1261641.8643579208</v>
      </c>
      <c r="G40" s="202">
        <f t="shared" si="85"/>
        <v>4453644.1430500224</v>
      </c>
      <c r="H40" s="95">
        <f t="shared" si="85"/>
        <v>1193631.7809369215</v>
      </c>
      <c r="I40" s="95">
        <f t="shared" si="85"/>
        <v>1177845.4983662213</v>
      </c>
      <c r="J40" s="95">
        <f t="shared" si="85"/>
        <v>1071561.1752558041</v>
      </c>
      <c r="K40" s="95">
        <f t="shared" si="85"/>
        <v>1164177.1780173909</v>
      </c>
      <c r="L40" s="95">
        <f t="shared" si="85"/>
        <v>4607215.632576338</v>
      </c>
      <c r="M40" s="95">
        <f t="shared" si="85"/>
        <v>1139456.4385509049</v>
      </c>
      <c r="N40" s="95">
        <f t="shared" si="85"/>
        <v>1234611.4614301636</v>
      </c>
      <c r="O40" s="95">
        <f t="shared" si="85"/>
        <v>1232730.5944846354</v>
      </c>
      <c r="P40" s="95">
        <f t="shared" si="85"/>
        <v>1288274.0014388766</v>
      </c>
      <c r="Q40" s="95">
        <f t="shared" si="85"/>
        <v>4895072.4959045807</v>
      </c>
      <c r="R40" s="95">
        <f t="shared" si="85"/>
        <v>1360450.913392093</v>
      </c>
      <c r="S40" s="95">
        <f t="shared" si="85"/>
        <v>1525240.5807201893</v>
      </c>
      <c r="T40" s="95">
        <f t="shared" si="85"/>
        <v>1595374.2168247146</v>
      </c>
      <c r="U40" s="95">
        <f t="shared" si="85"/>
        <v>1528400.4529074975</v>
      </c>
      <c r="V40" s="95">
        <f t="shared" si="85"/>
        <v>6009466.1638444932</v>
      </c>
      <c r="W40" s="95">
        <f t="shared" si="85"/>
        <v>1498087.0965513177</v>
      </c>
      <c r="X40" s="95">
        <f t="shared" si="85"/>
        <v>1567360.0059001837</v>
      </c>
      <c r="Y40" s="95">
        <f t="shared" si="85"/>
        <v>1520955.8168226173</v>
      </c>
      <c r="Z40" s="95">
        <f t="shared" si="85"/>
        <v>1463256.5746591126</v>
      </c>
      <c r="AA40" s="95">
        <f t="shared" si="85"/>
        <v>6049659.4939332316</v>
      </c>
      <c r="AB40" s="95">
        <f t="shared" si="85"/>
        <v>1389491.4762166301</v>
      </c>
      <c r="AC40" s="95">
        <f t="shared" si="85"/>
        <v>676828.40722312382</v>
      </c>
      <c r="AD40" s="95">
        <f t="shared" si="85"/>
        <v>1578873.6752147905</v>
      </c>
      <c r="AE40" s="95">
        <f t="shared" si="85"/>
        <v>1811641.2207320782</v>
      </c>
      <c r="AF40" s="95">
        <f t="shared" si="85"/>
        <v>5456834.7793866228</v>
      </c>
      <c r="AG40" s="95">
        <f t="shared" si="85"/>
        <v>1851460.6302151356</v>
      </c>
      <c r="AH40" s="95">
        <f t="shared" si="85"/>
        <v>1767110.4202221634</v>
      </c>
      <c r="AI40" s="95">
        <f t="shared" si="85"/>
        <v>1850337.8402975709</v>
      </c>
      <c r="AJ40" s="95">
        <f t="shared" si="85"/>
        <v>2016244.8985851654</v>
      </c>
      <c r="AK40" s="95">
        <f t="shared" si="85"/>
        <v>7485153.7893200349</v>
      </c>
      <c r="AL40" s="95">
        <f t="shared" si="85"/>
        <v>2214494.0769496257</v>
      </c>
      <c r="AM40" s="95">
        <f t="shared" si="85"/>
        <v>2186075.4926716429</v>
      </c>
      <c r="AN40" s="95">
        <f t="shared" si="85"/>
        <v>2240140.9269487676</v>
      </c>
      <c r="AO40" s="95">
        <f t="shared" si="85"/>
        <v>2154411.2558383485</v>
      </c>
      <c r="AP40" s="95">
        <f t="shared" si="85"/>
        <v>8795121.7524083834</v>
      </c>
      <c r="AQ40" s="95">
        <f t="shared" si="85"/>
        <v>2221245.1096933102</v>
      </c>
      <c r="AR40" s="95">
        <f t="shared" si="85"/>
        <v>2192121.9028543243</v>
      </c>
      <c r="AS40" s="95">
        <f t="shared" si="85"/>
        <v>2163517.6825107629</v>
      </c>
      <c r="AT40" s="95">
        <f t="shared" si="85"/>
        <v>2030273.8631031059</v>
      </c>
      <c r="AU40" s="95">
        <f t="shared" si="85"/>
        <v>8607158.5581615027</v>
      </c>
      <c r="AV40" s="95">
        <f t="shared" ref="AV40:AX40" si="86">AV29+AV31+AV35</f>
        <v>2059337.2965061883</v>
      </c>
      <c r="AW40" s="95">
        <f t="shared" si="86"/>
        <v>2210352.4365608683</v>
      </c>
      <c r="AX40" s="95">
        <f t="shared" si="86"/>
        <v>2270760.3091707765</v>
      </c>
      <c r="AY40" s="95">
        <f t="shared" ref="AY40:BA40" si="87">AY29+AY31+AY35</f>
        <v>2309538.7394476593</v>
      </c>
      <c r="AZ40" s="95">
        <f t="shared" si="87"/>
        <v>7026186.6553978343</v>
      </c>
      <c r="BA40" s="95">
        <f t="shared" si="87"/>
        <v>2387642.4742177329</v>
      </c>
      <c r="BB40" s="95">
        <f t="shared" ref="BB40:BC40" si="88">BB29+BB31+BB35</f>
        <v>2536810</v>
      </c>
      <c r="BC40" s="95">
        <f t="shared" si="88"/>
        <v>2374370</v>
      </c>
      <c r="BD40" s="95">
        <f t="shared" ref="BD40" si="89">BD29+BD31+BD35</f>
        <v>2296522</v>
      </c>
      <c r="BE40" s="95">
        <f>SUM(BE29,BE31,BE35)</f>
        <v>9595344.4742177334</v>
      </c>
      <c r="BF40" s="95">
        <f t="shared" ref="BF40:BG40" si="90">BF29+BF31+BF35</f>
        <v>2403743</v>
      </c>
      <c r="BG40" s="95">
        <f t="shared" si="90"/>
        <v>2521854</v>
      </c>
    </row>
    <row r="41" spans="1:59" ht="15" thickBot="1" x14ac:dyDescent="0.4">
      <c r="A41" s="209"/>
      <c r="B41" s="214"/>
      <c r="C41" s="96">
        <f t="shared" ref="C41:AU41" si="91">C40/C$27</f>
        <v>0.61876506929845476</v>
      </c>
      <c r="D41" s="96">
        <f t="shared" si="91"/>
        <v>0.62847583796000783</v>
      </c>
      <c r="E41" s="96">
        <f t="shared" si="91"/>
        <v>0.66083771808758385</v>
      </c>
      <c r="F41" s="96">
        <f t="shared" si="91"/>
        <v>0.68729891333899462</v>
      </c>
      <c r="G41" s="196">
        <f t="shared" si="91"/>
        <v>0.65050360129670315</v>
      </c>
      <c r="H41" s="97">
        <f t="shared" si="91"/>
        <v>0.66969279477591603</v>
      </c>
      <c r="I41" s="97">
        <f t="shared" si="91"/>
        <v>0.66918201420004808</v>
      </c>
      <c r="J41" s="97">
        <f t="shared" si="91"/>
        <v>0.67161039385021604</v>
      </c>
      <c r="K41" s="97">
        <f t="shared" si="91"/>
        <v>0.69359854619093131</v>
      </c>
      <c r="L41" s="97">
        <f t="shared" si="91"/>
        <v>0.67589621781745302</v>
      </c>
      <c r="M41" s="97">
        <f t="shared" si="91"/>
        <v>0.6706487904758347</v>
      </c>
      <c r="N41" s="97">
        <f t="shared" si="91"/>
        <v>0.64917745624550005</v>
      </c>
      <c r="O41" s="97">
        <f t="shared" si="91"/>
        <v>0.63791052645379254</v>
      </c>
      <c r="P41" s="97">
        <f t="shared" si="91"/>
        <v>0.65908364484639603</v>
      </c>
      <c r="Q41" s="97">
        <f t="shared" si="91"/>
        <v>0.65372755407201077</v>
      </c>
      <c r="R41" s="97">
        <f t="shared" si="91"/>
        <v>0.63461212006531476</v>
      </c>
      <c r="S41" s="97">
        <f t="shared" si="91"/>
        <v>0.63565321971389699</v>
      </c>
      <c r="T41" s="97">
        <f t="shared" si="91"/>
        <v>0.60954724625973544</v>
      </c>
      <c r="U41" s="97">
        <f t="shared" si="91"/>
        <v>0.62237590752683336</v>
      </c>
      <c r="V41" s="97">
        <f t="shared" si="91"/>
        <v>0.62492507267569886</v>
      </c>
      <c r="W41" s="97">
        <f t="shared" si="91"/>
        <v>0.6069751128798212</v>
      </c>
      <c r="X41" s="97">
        <f t="shared" si="91"/>
        <v>0.58761381220201037</v>
      </c>
      <c r="Y41" s="97">
        <f t="shared" si="91"/>
        <v>0.59825700554061334</v>
      </c>
      <c r="Z41" s="97">
        <f t="shared" si="91"/>
        <v>0.62568870717793457</v>
      </c>
      <c r="AA41" s="97">
        <f t="shared" si="91"/>
        <v>0.60397574148689714</v>
      </c>
      <c r="AB41" s="97">
        <f t="shared" si="91"/>
        <v>0.62461418587933781</v>
      </c>
      <c r="AC41" s="97">
        <f t="shared" si="91"/>
        <v>0.57757529614856307</v>
      </c>
      <c r="AD41" s="97">
        <f t="shared" si="91"/>
        <v>0.6278436770612954</v>
      </c>
      <c r="AE41" s="97">
        <f t="shared" si="91"/>
        <v>0.63579575032224511</v>
      </c>
      <c r="AF41" s="97">
        <f t="shared" si="91"/>
        <v>0.62288598219444558</v>
      </c>
      <c r="AG41" s="97">
        <f t="shared" si="91"/>
        <v>0.59093649284284488</v>
      </c>
      <c r="AH41" s="97">
        <f t="shared" si="91"/>
        <v>0.55501748421224573</v>
      </c>
      <c r="AI41" s="97">
        <f t="shared" si="91"/>
        <v>0.51628036163719182</v>
      </c>
      <c r="AJ41" s="97">
        <f t="shared" si="91"/>
        <v>0.53235457688211674</v>
      </c>
      <c r="AK41" s="97">
        <f t="shared" si="91"/>
        <v>0.54682592654244144</v>
      </c>
      <c r="AL41" s="97">
        <f t="shared" si="91"/>
        <v>0.51774500986216221</v>
      </c>
      <c r="AM41" s="97">
        <f t="shared" si="91"/>
        <v>0.52143969413016622</v>
      </c>
      <c r="AN41" s="97">
        <f t="shared" si="91"/>
        <v>0.51875063259376641</v>
      </c>
      <c r="AO41" s="97">
        <f t="shared" si="91"/>
        <v>0.51789284854996509</v>
      </c>
      <c r="AP41" s="97">
        <f t="shared" si="91"/>
        <v>0.51895148352525433</v>
      </c>
      <c r="AQ41" s="97">
        <f t="shared" si="91"/>
        <v>0.55556784154058592</v>
      </c>
      <c r="AR41" s="97">
        <f t="shared" si="91"/>
        <v>0.57669161907304778</v>
      </c>
      <c r="AS41" s="97">
        <f t="shared" si="91"/>
        <v>0.58913494636887831</v>
      </c>
      <c r="AT41" s="97">
        <f t="shared" si="91"/>
        <v>0.58282568917934818</v>
      </c>
      <c r="AU41" s="97">
        <f t="shared" si="91"/>
        <v>0.57552870544764323</v>
      </c>
      <c r="AV41" s="97">
        <f>AV40/AV$27</f>
        <v>0.57271177171222298</v>
      </c>
      <c r="AW41" s="97">
        <f>AW40/AW$27</f>
        <v>0.57492876158032891</v>
      </c>
      <c r="AX41" s="97">
        <f>AX40/AX$27</f>
        <v>0.57020287278742687</v>
      </c>
      <c r="AY41" s="97">
        <f t="shared" ref="AY41:BA41" si="92">AY40/AY$27</f>
        <v>0.59080984816178028</v>
      </c>
      <c r="AZ41" s="97">
        <f t="shared" si="92"/>
        <v>0.56039508992753218</v>
      </c>
      <c r="BA41" s="97">
        <f t="shared" si="92"/>
        <v>0.60630063717809957</v>
      </c>
      <c r="BB41" s="97">
        <f t="shared" ref="BB41:BC41" si="93">BB40/BB$27</f>
        <v>0.61768438419778293</v>
      </c>
      <c r="BC41" s="97">
        <f t="shared" si="93"/>
        <v>0.62443966325487499</v>
      </c>
      <c r="BD41" s="97">
        <f t="shared" ref="BD41:BG41" si="94">BD40/BD$27</f>
        <v>0.65258416876946512</v>
      </c>
      <c r="BE41" s="97">
        <f t="shared" si="94"/>
        <v>0.6244310587285804</v>
      </c>
      <c r="BF41" s="97">
        <f t="shared" si="94"/>
        <v>0.63134561647221299</v>
      </c>
      <c r="BG41" s="97">
        <f t="shared" si="94"/>
        <v>0.62850413834869789</v>
      </c>
    </row>
    <row r="42" spans="1:59" x14ac:dyDescent="0.35">
      <c r="A42" s="207" t="s">
        <v>547</v>
      </c>
      <c r="B42" s="207" t="s">
        <v>562</v>
      </c>
      <c r="C42" s="95">
        <f t="shared" ref="C42:AU42" si="95">C33+C37</f>
        <v>592986.61278529919</v>
      </c>
      <c r="D42" s="95">
        <f t="shared" si="95"/>
        <v>618608.13497674617</v>
      </c>
      <c r="E42" s="95">
        <f t="shared" si="95"/>
        <v>607206.40823393594</v>
      </c>
      <c r="F42" s="95">
        <f t="shared" si="95"/>
        <v>574010.48409216979</v>
      </c>
      <c r="G42" s="202">
        <f t="shared" si="95"/>
        <v>2392811.6400881512</v>
      </c>
      <c r="H42" s="95">
        <f t="shared" si="95"/>
        <v>588725.42858975288</v>
      </c>
      <c r="I42" s="95">
        <f t="shared" si="95"/>
        <v>582281.75157823286</v>
      </c>
      <c r="J42" s="95">
        <f t="shared" si="95"/>
        <v>523948.93755341764</v>
      </c>
      <c r="K42" s="95">
        <f t="shared" si="95"/>
        <v>514282.47910092218</v>
      </c>
      <c r="L42" s="95">
        <f t="shared" si="95"/>
        <v>2209238.5968223251</v>
      </c>
      <c r="M42" s="95">
        <f t="shared" si="95"/>
        <v>559579.56171153462</v>
      </c>
      <c r="N42" s="95">
        <f t="shared" si="95"/>
        <v>667197.43466198503</v>
      </c>
      <c r="O42" s="95">
        <f t="shared" si="95"/>
        <v>699720.02886140952</v>
      </c>
      <c r="P42" s="95">
        <f t="shared" si="95"/>
        <v>666370.16476421256</v>
      </c>
      <c r="Q42" s="95">
        <f t="shared" si="95"/>
        <v>2592867.1899991417</v>
      </c>
      <c r="R42" s="95">
        <f t="shared" si="95"/>
        <v>783300.94759044587</v>
      </c>
      <c r="S42" s="95">
        <f t="shared" si="95"/>
        <v>874244.75722349202</v>
      </c>
      <c r="T42" s="95">
        <f t="shared" si="95"/>
        <v>1021935.9697344851</v>
      </c>
      <c r="U42" s="95">
        <f t="shared" si="95"/>
        <v>927350.86140828277</v>
      </c>
      <c r="V42" s="95">
        <f t="shared" si="95"/>
        <v>3606832.5359567059</v>
      </c>
      <c r="W42" s="95">
        <f t="shared" si="95"/>
        <v>970032.37780995364</v>
      </c>
      <c r="X42" s="95">
        <f t="shared" si="95"/>
        <v>1099970.089739834</v>
      </c>
      <c r="Y42" s="95">
        <f t="shared" si="95"/>
        <v>1021355.9367158301</v>
      </c>
      <c r="Z42" s="95">
        <f t="shared" si="95"/>
        <v>875376.93090452359</v>
      </c>
      <c r="AA42" s="95">
        <f t="shared" si="95"/>
        <v>3966735.335170141</v>
      </c>
      <c r="AB42" s="95">
        <f t="shared" si="95"/>
        <v>835068.1121322813</v>
      </c>
      <c r="AC42" s="95">
        <f t="shared" si="95"/>
        <v>495016.04619517305</v>
      </c>
      <c r="AD42" s="95">
        <f t="shared" si="95"/>
        <v>935882.35865165817</v>
      </c>
      <c r="AE42" s="95">
        <f t="shared" si="95"/>
        <v>1037766.3442191987</v>
      </c>
      <c r="AF42" s="95">
        <f t="shared" si="95"/>
        <v>3303732.8611983107</v>
      </c>
      <c r="AG42" s="95">
        <f t="shared" si="95"/>
        <v>1281635.1468086021</v>
      </c>
      <c r="AH42" s="95">
        <f t="shared" si="95"/>
        <v>1416772.0167974203</v>
      </c>
      <c r="AI42" s="95">
        <f t="shared" si="95"/>
        <v>1733640.9003035827</v>
      </c>
      <c r="AJ42" s="95">
        <f t="shared" si="95"/>
        <v>1771164.8206922887</v>
      </c>
      <c r="AK42" s="95">
        <f t="shared" si="95"/>
        <v>6203212.8846018938</v>
      </c>
      <c r="AL42" s="95">
        <f t="shared" si="95"/>
        <v>2062696.4990429557</v>
      </c>
      <c r="AM42" s="95">
        <f t="shared" si="95"/>
        <v>2006308.626297896</v>
      </c>
      <c r="AN42" s="95">
        <f t="shared" si="95"/>
        <v>2078197.7625830527</v>
      </c>
      <c r="AO42" s="95">
        <f t="shared" si="95"/>
        <v>2005544.3447659644</v>
      </c>
      <c r="AP42" s="95">
        <f t="shared" si="95"/>
        <v>8152747.2326898687</v>
      </c>
      <c r="AQ42" s="95">
        <f t="shared" si="95"/>
        <v>1776907.6695132984</v>
      </c>
      <c r="AR42" s="95">
        <f t="shared" si="95"/>
        <v>1609081.0804278976</v>
      </c>
      <c r="AS42" s="95">
        <f t="shared" si="95"/>
        <v>1508845.8325812579</v>
      </c>
      <c r="AT42" s="95">
        <f t="shared" si="95"/>
        <v>1453227.1232069642</v>
      </c>
      <c r="AU42" s="95">
        <f t="shared" si="95"/>
        <v>6348061.7057294175</v>
      </c>
      <c r="AV42" s="95">
        <f t="shared" ref="AV42:AX42" si="96">AV33+AV37</f>
        <v>1536428.3193278215</v>
      </c>
      <c r="AW42" s="95">
        <f t="shared" si="96"/>
        <v>1634216.0720904423</v>
      </c>
      <c r="AX42" s="95">
        <f t="shared" si="96"/>
        <v>1711612.3121213682</v>
      </c>
      <c r="AY42" s="95">
        <f t="shared" ref="AY42:BA42" si="97">AY33+AY37</f>
        <v>1599567.9665990609</v>
      </c>
      <c r="AZ42" s="95">
        <f t="shared" si="97"/>
        <v>5511730.5071196314</v>
      </c>
      <c r="BA42" s="95">
        <f t="shared" si="97"/>
        <v>1550407.938083529</v>
      </c>
      <c r="BB42" s="95">
        <f t="shared" ref="BB42:BC42" si="98">BB33+BB37</f>
        <v>1570158</v>
      </c>
      <c r="BC42" s="95">
        <f t="shared" si="98"/>
        <v>1428031</v>
      </c>
      <c r="BD42" s="95">
        <f t="shared" ref="BD42" si="99">BD33+BD37</f>
        <v>1222598</v>
      </c>
      <c r="BE42" s="95">
        <f>SUM(BE33,BE37)</f>
        <v>5771194.9380835295</v>
      </c>
      <c r="BF42" s="95">
        <f t="shared" ref="BF42:BG42" si="100">BF33+BF37</f>
        <v>1403590</v>
      </c>
      <c r="BG42" s="95">
        <f t="shared" si="100"/>
        <v>1490616</v>
      </c>
    </row>
    <row r="43" spans="1:59" ht="15" thickBot="1" x14ac:dyDescent="0.4">
      <c r="A43" s="178"/>
      <c r="B43" s="178"/>
      <c r="C43" s="96">
        <f t="shared" ref="C43:AU43" si="101">C42/C$27</f>
        <v>0.38123493070154529</v>
      </c>
      <c r="D43" s="96">
        <f t="shared" si="101"/>
        <v>0.37152416203999211</v>
      </c>
      <c r="E43" s="96">
        <f t="shared" si="101"/>
        <v>0.33916228191241632</v>
      </c>
      <c r="F43" s="96">
        <f t="shared" si="101"/>
        <v>0.31270108666100532</v>
      </c>
      <c r="G43" s="204">
        <f t="shared" si="101"/>
        <v>0.34949639870329674</v>
      </c>
      <c r="H43" s="205">
        <f t="shared" si="101"/>
        <v>0.33030720522408397</v>
      </c>
      <c r="I43" s="205">
        <f t="shared" si="101"/>
        <v>0.33081798579995192</v>
      </c>
      <c r="J43" s="205">
        <f t="shared" si="101"/>
        <v>0.32838960614978385</v>
      </c>
      <c r="K43" s="205">
        <f t="shared" si="101"/>
        <v>0.30640145380906875</v>
      </c>
      <c r="L43" s="205">
        <f t="shared" si="101"/>
        <v>0.32410378218254687</v>
      </c>
      <c r="M43" s="205">
        <f t="shared" si="101"/>
        <v>0.32935120952416541</v>
      </c>
      <c r="N43" s="205">
        <f t="shared" si="101"/>
        <v>0.35082254375449995</v>
      </c>
      <c r="O43" s="205">
        <f t="shared" si="101"/>
        <v>0.36208947354620719</v>
      </c>
      <c r="P43" s="205">
        <f t="shared" si="101"/>
        <v>0.34091635515360402</v>
      </c>
      <c r="Q43" s="205">
        <f t="shared" si="101"/>
        <v>0.34627244592798928</v>
      </c>
      <c r="R43" s="205">
        <f t="shared" si="101"/>
        <v>0.36538787993468513</v>
      </c>
      <c r="S43" s="205">
        <f t="shared" si="101"/>
        <v>0.36434678028610296</v>
      </c>
      <c r="T43" s="205">
        <f t="shared" si="101"/>
        <v>0.39045275374026456</v>
      </c>
      <c r="U43" s="205">
        <f t="shared" si="101"/>
        <v>0.37762409247316669</v>
      </c>
      <c r="V43" s="205">
        <f t="shared" si="101"/>
        <v>0.37507492732430109</v>
      </c>
      <c r="W43" s="205">
        <f t="shared" si="101"/>
        <v>0.39302488712017875</v>
      </c>
      <c r="X43" s="205">
        <f t="shared" si="101"/>
        <v>0.41238618779798963</v>
      </c>
      <c r="Y43" s="205">
        <f t="shared" si="101"/>
        <v>0.40174299445938666</v>
      </c>
      <c r="Z43" s="205">
        <f t="shared" si="101"/>
        <v>0.37431129282206538</v>
      </c>
      <c r="AA43" s="205">
        <f t="shared" si="101"/>
        <v>0.39602425851310286</v>
      </c>
      <c r="AB43" s="205">
        <f t="shared" si="101"/>
        <v>0.37538581412066224</v>
      </c>
      <c r="AC43" s="205">
        <f t="shared" si="101"/>
        <v>0.42242470385143699</v>
      </c>
      <c r="AD43" s="205">
        <f t="shared" si="101"/>
        <v>0.37215632293870471</v>
      </c>
      <c r="AE43" s="205">
        <f t="shared" si="101"/>
        <v>0.36420424967775505</v>
      </c>
      <c r="AF43" s="205">
        <f t="shared" si="101"/>
        <v>0.37711401780555448</v>
      </c>
      <c r="AG43" s="205">
        <f t="shared" si="101"/>
        <v>0.40906350715715512</v>
      </c>
      <c r="AH43" s="205">
        <f t="shared" si="101"/>
        <v>0.44498251578775422</v>
      </c>
      <c r="AI43" s="205">
        <f t="shared" si="101"/>
        <v>0.48371963836280818</v>
      </c>
      <c r="AJ43" s="205">
        <f t="shared" si="101"/>
        <v>0.46764542311788337</v>
      </c>
      <c r="AK43" s="205">
        <f t="shared" si="101"/>
        <v>0.45317407345755867</v>
      </c>
      <c r="AL43" s="205">
        <f t="shared" si="101"/>
        <v>0.48225499013783801</v>
      </c>
      <c r="AM43" s="205">
        <f t="shared" si="101"/>
        <v>0.47856030586983372</v>
      </c>
      <c r="AN43" s="205">
        <f t="shared" si="101"/>
        <v>0.48124936740623375</v>
      </c>
      <c r="AO43" s="205">
        <f t="shared" si="101"/>
        <v>0.48210715145003491</v>
      </c>
      <c r="AP43" s="205">
        <f t="shared" si="101"/>
        <v>0.48104851647474578</v>
      </c>
      <c r="AQ43" s="205">
        <f t="shared" si="101"/>
        <v>0.44443215845941414</v>
      </c>
      <c r="AR43" s="205">
        <f t="shared" si="101"/>
        <v>0.42330838092695205</v>
      </c>
      <c r="AS43" s="205">
        <f t="shared" si="101"/>
        <v>0.41086505363112175</v>
      </c>
      <c r="AT43" s="205">
        <f t="shared" si="101"/>
        <v>0.41717431082065176</v>
      </c>
      <c r="AU43" s="205">
        <f t="shared" si="101"/>
        <v>0.42447129455235677</v>
      </c>
      <c r="AV43" s="205">
        <f>AV42/AV$27</f>
        <v>0.42728822828777702</v>
      </c>
      <c r="AW43" s="205">
        <f>AW42/AW$27</f>
        <v>0.42507149852695181</v>
      </c>
      <c r="AX43" s="205">
        <f>AX42/AX$27</f>
        <v>0.42979712721257313</v>
      </c>
      <c r="AY43" s="205">
        <f t="shared" ref="AY43:BA43" si="102">AY42/AY$27</f>
        <v>0.40919015183821994</v>
      </c>
      <c r="AZ43" s="205">
        <f t="shared" si="102"/>
        <v>0.43960498983053825</v>
      </c>
      <c r="BA43" s="205">
        <f t="shared" si="102"/>
        <v>0.39369936282190038</v>
      </c>
      <c r="BB43" s="205">
        <f t="shared" ref="BB43:BC43" si="103">BB42/BB$27</f>
        <v>0.38231561580221712</v>
      </c>
      <c r="BC43" s="205">
        <f t="shared" si="103"/>
        <v>0.37556033674512501</v>
      </c>
      <c r="BD43" s="205">
        <f t="shared" ref="BD43:BG43" si="104">BD42/BD$27</f>
        <v>0.34741583123053493</v>
      </c>
      <c r="BE43" s="205">
        <f t="shared" si="104"/>
        <v>0.37556894127141977</v>
      </c>
      <c r="BF43" s="205">
        <f t="shared" si="104"/>
        <v>0.36865438352778701</v>
      </c>
      <c r="BG43" s="205">
        <f t="shared" si="104"/>
        <v>0.37149586165130205</v>
      </c>
    </row>
    <row r="44" spans="1:59" ht="15" thickTop="1" x14ac:dyDescent="0.35"/>
    <row r="45" spans="1:59" x14ac:dyDescent="0.35"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</row>
    <row r="46" spans="1:59" x14ac:dyDescent="0.35">
      <c r="W46" s="99">
        <f>W40/R40-1</f>
        <v>0.10116953269269247</v>
      </c>
    </row>
    <row r="47" spans="1:59" x14ac:dyDescent="0.35">
      <c r="C47" s="34">
        <v>3453212.2107097483</v>
      </c>
    </row>
    <row r="48" spans="1:59" x14ac:dyDescent="0.35">
      <c r="C48" s="34">
        <v>2458465.0719748051</v>
      </c>
      <c r="W48" s="99">
        <f>W42/R42-1</f>
        <v>0.23839040511047815</v>
      </c>
    </row>
    <row r="49" spans="7:7" x14ac:dyDescent="0.35">
      <c r="G49" s="98"/>
    </row>
    <row r="50" spans="7:7" x14ac:dyDescent="0.35">
      <c r="G50" s="98"/>
    </row>
    <row r="51" spans="7:7" x14ac:dyDescent="0.35">
      <c r="G51" s="98"/>
    </row>
  </sheetData>
  <mergeCells count="8">
    <mergeCell ref="A9:A10"/>
    <mergeCell ref="A15:A16"/>
    <mergeCell ref="A20:A21"/>
    <mergeCell ref="A25:A26"/>
    <mergeCell ref="B25:B26"/>
    <mergeCell ref="B9:B10"/>
    <mergeCell ref="B15:B16"/>
    <mergeCell ref="B20:B21"/>
  </mergeCells>
  <pageMargins left="0.7" right="0.7" top="0.75" bottom="0.75" header="0.3" footer="0.3"/>
  <customProperties>
    <customPr name="OrphanNamesChecked" r:id="rId1"/>
  </customProperties>
  <ignoredErrors>
    <ignoredError sqref="L9" formulaRange="1"/>
    <ignoredError sqref="G31:BA43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A127F-3C34-435B-9B49-9A39131C0E51}">
  <dimension ref="A1:BG23"/>
  <sheetViews>
    <sheetView topLeftCell="G1" workbookViewId="0">
      <selection activeCell="BE10" sqref="BE10"/>
    </sheetView>
  </sheetViews>
  <sheetFormatPr defaultRowHeight="14.5" outlineLevelCol="1" x14ac:dyDescent="0.35"/>
  <cols>
    <col min="1" max="1" width="29.26953125" bestFit="1" customWidth="1"/>
    <col min="2" max="2" width="37.26953125" customWidth="1"/>
    <col min="3" max="6" width="8.7265625" hidden="1" customWidth="1" outlineLevel="1"/>
    <col min="7" max="7" width="10" customWidth="1" collapsed="1"/>
    <col min="8" max="11" width="10" hidden="1" customWidth="1" outlineLevel="1"/>
    <col min="12" max="12" width="10" customWidth="1" collapsed="1"/>
    <col min="13" max="16" width="10" hidden="1" customWidth="1" outlineLevel="1"/>
    <col min="17" max="17" width="10" customWidth="1" collapsed="1"/>
    <col min="18" max="21" width="10" hidden="1" customWidth="1" outlineLevel="1"/>
    <col min="22" max="22" width="12.26953125" customWidth="1" collapsed="1"/>
    <col min="23" max="26" width="10" hidden="1" customWidth="1" outlineLevel="1"/>
    <col min="27" max="27" width="12.1796875" customWidth="1" collapsed="1"/>
    <col min="28" max="31" width="10" hidden="1" customWidth="1" outlineLevel="1"/>
    <col min="32" max="32" width="10" customWidth="1" collapsed="1"/>
    <col min="33" max="36" width="10" hidden="1" customWidth="1" outlineLevel="1"/>
    <col min="37" max="37" width="11.1796875" customWidth="1" collapsed="1"/>
    <col min="38" max="41" width="10" hidden="1" customWidth="1" outlineLevel="1"/>
    <col min="42" max="42" width="11.453125" customWidth="1" collapsed="1"/>
    <col min="43" max="46" width="10" hidden="1" customWidth="1" outlineLevel="1"/>
    <col min="47" max="47" width="12.1796875" customWidth="1" collapsed="1"/>
    <col min="48" max="51" width="10" hidden="1" customWidth="1" outlineLevel="1"/>
    <col min="52" max="52" width="11.1796875" customWidth="1" collapsed="1"/>
    <col min="53" max="55" width="10.1796875" hidden="1" customWidth="1" outlineLevel="1"/>
    <col min="56" max="56" width="8.7265625" hidden="1" customWidth="1" outlineLevel="1"/>
    <col min="57" max="57" width="8.90625" bestFit="1" customWidth="1" collapsed="1"/>
    <col min="58" max="59" width="8.7265625" style="247"/>
  </cols>
  <sheetData>
    <row r="1" spans="1:59" ht="15" thickBot="1" x14ac:dyDescent="0.4">
      <c r="A1" s="19" t="s">
        <v>439</v>
      </c>
      <c r="B1" s="19" t="s">
        <v>514</v>
      </c>
      <c r="C1" s="33" t="s">
        <v>659</v>
      </c>
      <c r="D1" s="33" t="s">
        <v>660</v>
      </c>
      <c r="E1" s="33" t="s">
        <v>661</v>
      </c>
      <c r="F1" s="33" t="s">
        <v>662</v>
      </c>
      <c r="G1" s="49">
        <v>2015</v>
      </c>
      <c r="H1" s="33" t="s">
        <v>655</v>
      </c>
      <c r="I1" s="33" t="s">
        <v>656</v>
      </c>
      <c r="J1" s="33" t="s">
        <v>657</v>
      </c>
      <c r="K1" s="33" t="s">
        <v>658</v>
      </c>
      <c r="L1" s="49">
        <v>2016</v>
      </c>
      <c r="M1" s="33" t="s">
        <v>651</v>
      </c>
      <c r="N1" s="33" t="s">
        <v>652</v>
      </c>
      <c r="O1" s="33" t="s">
        <v>653</v>
      </c>
      <c r="P1" s="33" t="s">
        <v>654</v>
      </c>
      <c r="Q1" s="49">
        <v>2017</v>
      </c>
      <c r="R1" s="33" t="s">
        <v>647</v>
      </c>
      <c r="S1" s="33" t="s">
        <v>648</v>
      </c>
      <c r="T1" s="33" t="s">
        <v>649</v>
      </c>
      <c r="U1" s="33" t="s">
        <v>650</v>
      </c>
      <c r="V1" s="49">
        <v>2018</v>
      </c>
      <c r="W1" s="33" t="s">
        <v>643</v>
      </c>
      <c r="X1" s="33" t="s">
        <v>644</v>
      </c>
      <c r="Y1" s="33" t="s">
        <v>645</v>
      </c>
      <c r="Z1" s="33" t="s">
        <v>646</v>
      </c>
      <c r="AA1" s="49">
        <v>2019</v>
      </c>
      <c r="AB1" s="19" t="s">
        <v>516</v>
      </c>
      <c r="AC1" s="19" t="s">
        <v>517</v>
      </c>
      <c r="AD1" s="19" t="s">
        <v>518</v>
      </c>
      <c r="AE1" s="19" t="s">
        <v>519</v>
      </c>
      <c r="AF1" s="48">
        <v>2020</v>
      </c>
      <c r="AG1" s="19" t="s">
        <v>520</v>
      </c>
      <c r="AH1" s="19" t="s">
        <v>521</v>
      </c>
      <c r="AI1" s="19" t="s">
        <v>522</v>
      </c>
      <c r="AJ1" s="19" t="s">
        <v>523</v>
      </c>
      <c r="AK1" s="48">
        <v>2021</v>
      </c>
      <c r="AL1" s="19" t="s">
        <v>524</v>
      </c>
      <c r="AM1" s="19" t="s">
        <v>525</v>
      </c>
      <c r="AN1" s="19" t="s">
        <v>526</v>
      </c>
      <c r="AO1" s="19" t="s">
        <v>527</v>
      </c>
      <c r="AP1" s="35">
        <v>2022</v>
      </c>
      <c r="AQ1" s="19" t="s">
        <v>528</v>
      </c>
      <c r="AR1" s="19" t="s">
        <v>529</v>
      </c>
      <c r="AS1" s="19" t="s">
        <v>530</v>
      </c>
      <c r="AT1" s="19" t="s">
        <v>531</v>
      </c>
      <c r="AU1" s="35">
        <v>2023</v>
      </c>
      <c r="AV1" s="19" t="s">
        <v>436</v>
      </c>
      <c r="AW1" s="19" t="s">
        <v>437</v>
      </c>
      <c r="AX1" s="19" t="s">
        <v>438</v>
      </c>
      <c r="AY1" s="19" t="s">
        <v>565</v>
      </c>
      <c r="AZ1" s="35">
        <v>2024</v>
      </c>
      <c r="BA1" s="236" t="s">
        <v>672</v>
      </c>
      <c r="BB1" s="236" t="s">
        <v>685</v>
      </c>
      <c r="BC1" s="236" t="s">
        <v>686</v>
      </c>
      <c r="BD1" s="236" t="s">
        <v>687</v>
      </c>
      <c r="BE1" s="237">
        <v>2025</v>
      </c>
      <c r="BF1" s="236" t="s">
        <v>688</v>
      </c>
      <c r="BG1" s="236" t="s">
        <v>690</v>
      </c>
    </row>
    <row r="2" spans="1:59" ht="15" thickBot="1" x14ac:dyDescent="0.4">
      <c r="A2" s="20" t="s">
        <v>569</v>
      </c>
      <c r="B2" s="21" t="s">
        <v>572</v>
      </c>
      <c r="C2" s="21" t="s">
        <v>441</v>
      </c>
      <c r="D2" s="21" t="s">
        <v>442</v>
      </c>
      <c r="E2" s="21" t="s">
        <v>443</v>
      </c>
      <c r="F2" s="21" t="s">
        <v>444</v>
      </c>
      <c r="G2" s="32">
        <v>2015</v>
      </c>
      <c r="H2" s="21" t="s">
        <v>445</v>
      </c>
      <c r="I2" s="21" t="s">
        <v>446</v>
      </c>
      <c r="J2" s="21" t="s">
        <v>447</v>
      </c>
      <c r="K2" s="21" t="s">
        <v>448</v>
      </c>
      <c r="L2" s="32">
        <v>2016</v>
      </c>
      <c r="M2" s="21" t="s">
        <v>449</v>
      </c>
      <c r="N2" s="21" t="s">
        <v>450</v>
      </c>
      <c r="O2" s="21" t="s">
        <v>451</v>
      </c>
      <c r="P2" s="21" t="s">
        <v>452</v>
      </c>
      <c r="Q2" s="32">
        <v>2017</v>
      </c>
      <c r="R2" s="21" t="s">
        <v>453</v>
      </c>
      <c r="S2" s="21" t="s">
        <v>454</v>
      </c>
      <c r="T2" s="21" t="s">
        <v>455</v>
      </c>
      <c r="U2" s="21" t="s">
        <v>456</v>
      </c>
      <c r="V2" s="32">
        <v>2018</v>
      </c>
      <c r="W2" s="21" t="s">
        <v>457</v>
      </c>
      <c r="X2" s="21" t="s">
        <v>458</v>
      </c>
      <c r="Y2" s="21" t="s">
        <v>459</v>
      </c>
      <c r="Z2" s="21" t="s">
        <v>460</v>
      </c>
      <c r="AA2" s="32">
        <v>2019</v>
      </c>
      <c r="AB2" s="21" t="s">
        <v>461</v>
      </c>
      <c r="AC2" s="21" t="s">
        <v>462</v>
      </c>
      <c r="AD2" s="21" t="s">
        <v>463</v>
      </c>
      <c r="AE2" s="21" t="s">
        <v>464</v>
      </c>
      <c r="AF2" s="32">
        <v>2020</v>
      </c>
      <c r="AG2" s="21" t="s">
        <v>465</v>
      </c>
      <c r="AH2" s="21" t="s">
        <v>466</v>
      </c>
      <c r="AI2" s="21" t="s">
        <v>467</v>
      </c>
      <c r="AJ2" s="32" t="s">
        <v>468</v>
      </c>
      <c r="AK2" s="32">
        <v>2021</v>
      </c>
      <c r="AL2" s="32" t="s">
        <v>469</v>
      </c>
      <c r="AM2" s="32" t="s">
        <v>470</v>
      </c>
      <c r="AN2" s="32" t="s">
        <v>471</v>
      </c>
      <c r="AO2" s="32" t="s">
        <v>472</v>
      </c>
      <c r="AP2" s="32">
        <v>2022</v>
      </c>
      <c r="AQ2" s="22" t="s">
        <v>473</v>
      </c>
      <c r="AR2" s="21" t="s">
        <v>474</v>
      </c>
      <c r="AS2" s="22" t="s">
        <v>475</v>
      </c>
      <c r="AT2" s="21" t="s">
        <v>476</v>
      </c>
      <c r="AU2" s="23">
        <v>2023</v>
      </c>
      <c r="AV2" s="21" t="s">
        <v>428</v>
      </c>
      <c r="AW2" s="21" t="s">
        <v>429</v>
      </c>
      <c r="AX2" s="22" t="s">
        <v>427</v>
      </c>
      <c r="AY2" s="21" t="s">
        <v>491</v>
      </c>
      <c r="AZ2" s="23">
        <v>2024</v>
      </c>
      <c r="BA2" s="238" t="s">
        <v>671</v>
      </c>
      <c r="BB2" s="238" t="s">
        <v>673</v>
      </c>
      <c r="BC2" s="238" t="s">
        <v>674</v>
      </c>
      <c r="BD2" s="238" t="s">
        <v>675</v>
      </c>
      <c r="BE2" s="238">
        <v>2025</v>
      </c>
      <c r="BF2" s="239" t="s">
        <v>689</v>
      </c>
      <c r="BG2" s="239" t="s">
        <v>691</v>
      </c>
    </row>
    <row r="3" spans="1:59" x14ac:dyDescent="0.35">
      <c r="A3" s="11" t="s">
        <v>566</v>
      </c>
      <c r="B3" s="11" t="s">
        <v>512</v>
      </c>
      <c r="C3" s="1">
        <v>-6678.414511442701</v>
      </c>
      <c r="D3" s="1">
        <v>70241.425051637372</v>
      </c>
      <c r="E3" s="1">
        <v>2433.6645900341555</v>
      </c>
      <c r="F3" s="1">
        <v>-16631.049142560511</v>
      </c>
      <c r="G3" s="1">
        <v>49366</v>
      </c>
      <c r="H3" s="1">
        <v>6982.0713926719036</v>
      </c>
      <c r="I3" s="1">
        <v>-7191.5243772090907</v>
      </c>
      <c r="J3" s="1">
        <v>4893</v>
      </c>
      <c r="K3" s="1">
        <v>16848</v>
      </c>
      <c r="L3" s="1">
        <v>21530.635438429948</v>
      </c>
      <c r="M3" s="1">
        <v>-1250.7128854799848</v>
      </c>
      <c r="N3" s="1">
        <v>24569.456860860533</v>
      </c>
      <c r="O3" s="1">
        <v>34157.304711423189</v>
      </c>
      <c r="P3" s="1">
        <v>11805.20497919945</v>
      </c>
      <c r="Q3" s="1">
        <v>6403.113683225587</v>
      </c>
      <c r="R3" s="1">
        <v>-12966.11119453609</v>
      </c>
      <c r="S3" s="1">
        <v>44135</v>
      </c>
      <c r="T3" s="1">
        <v>93479.099999999977</v>
      </c>
      <c r="U3" s="1">
        <v>76677</v>
      </c>
      <c r="V3" s="1">
        <v>201325</v>
      </c>
      <c r="W3" s="1">
        <v>63098</v>
      </c>
      <c r="X3" s="1">
        <v>110390</v>
      </c>
      <c r="Y3" s="1">
        <v>124838</v>
      </c>
      <c r="Z3" s="1">
        <v>39109.203362147324</v>
      </c>
      <c r="AA3" s="1">
        <v>337435</v>
      </c>
      <c r="AB3" s="1">
        <v>9150.2979017258622</v>
      </c>
      <c r="AC3" s="1">
        <v>-352353.29790172563</v>
      </c>
      <c r="AD3" s="1">
        <v>-18876.64608146064</v>
      </c>
      <c r="AE3" s="1">
        <v>-129700</v>
      </c>
      <c r="AF3" s="1">
        <v>-491779.80516373552</v>
      </c>
      <c r="AG3" s="1">
        <v>51502</v>
      </c>
      <c r="AH3" s="1">
        <v>214786.51670642011</v>
      </c>
      <c r="AI3" s="1">
        <v>177016</v>
      </c>
      <c r="AJ3" s="1">
        <v>93916</v>
      </c>
      <c r="AK3" s="1">
        <v>537221</v>
      </c>
      <c r="AL3" s="1">
        <v>160206.02047020476</v>
      </c>
      <c r="AM3" s="1">
        <v>190485.23186276993</v>
      </c>
      <c r="AN3" s="1">
        <v>69387.722253390151</v>
      </c>
      <c r="AO3" s="1">
        <v>-141146.49043931812</v>
      </c>
      <c r="AP3" s="1">
        <v>278932.90202839486</v>
      </c>
      <c r="AQ3" s="1">
        <v>-16340.902545148041</v>
      </c>
      <c r="AR3" s="1">
        <v>59360.073263368104</v>
      </c>
      <c r="AS3" s="1">
        <v>-4783.9221663526259</v>
      </c>
      <c r="AT3" s="1">
        <v>-7501.7261363081634</v>
      </c>
      <c r="AU3" s="1">
        <f t="shared" ref="AU3:AU8" si="0">SUM(AQ3:AT3)</f>
        <v>30733.522415559273</v>
      </c>
      <c r="AV3" s="1">
        <v>50256.757119285874</v>
      </c>
      <c r="AW3" s="1">
        <v>36925</v>
      </c>
      <c r="AX3" s="1">
        <v>109172</v>
      </c>
      <c r="AY3" s="1">
        <v>68366</v>
      </c>
      <c r="AZ3" s="1">
        <v>196353.75711928587</v>
      </c>
      <c r="BA3" s="240">
        <v>10892</v>
      </c>
      <c r="BB3" s="240">
        <v>86822</v>
      </c>
      <c r="BC3" s="240">
        <v>35067</v>
      </c>
      <c r="BD3" s="240">
        <v>-34398</v>
      </c>
      <c r="BE3" s="240">
        <f>SUM(BA3:BD3)</f>
        <v>98383</v>
      </c>
      <c r="BF3" s="245">
        <v>3920</v>
      </c>
      <c r="BG3" s="245">
        <v>86869</v>
      </c>
    </row>
    <row r="4" spans="1:59" x14ac:dyDescent="0.35">
      <c r="A4" s="11" t="s">
        <v>567</v>
      </c>
      <c r="B4" s="11" t="s">
        <v>511</v>
      </c>
      <c r="C4" s="1">
        <v>16380.681299180698</v>
      </c>
      <c r="D4" s="1">
        <v>13403.283071410391</v>
      </c>
      <c r="E4" s="1">
        <v>10131.91488493991</v>
      </c>
      <c r="F4" s="1">
        <v>30567.120744469001</v>
      </c>
      <c r="G4" s="1">
        <v>70483</v>
      </c>
      <c r="H4" s="1">
        <v>15761</v>
      </c>
      <c r="I4" s="1">
        <v>21394.132814454148</v>
      </c>
      <c r="J4" s="1">
        <v>13397.867185545852</v>
      </c>
      <c r="K4" s="1">
        <v>17047</v>
      </c>
      <c r="L4" s="1">
        <v>67599</v>
      </c>
      <c r="M4" s="1">
        <v>14170.89018125473</v>
      </c>
      <c r="N4" s="1">
        <v>14724.601991088828</v>
      </c>
      <c r="O4" s="1">
        <v>19336.507827656442</v>
      </c>
      <c r="P4" s="1">
        <v>25574</v>
      </c>
      <c r="Q4" s="1">
        <v>73806</v>
      </c>
      <c r="R4" s="1">
        <v>20547</v>
      </c>
      <c r="S4" s="1">
        <v>20981</v>
      </c>
      <c r="T4" s="1">
        <v>18815</v>
      </c>
      <c r="U4" s="1">
        <v>44474</v>
      </c>
      <c r="V4" s="1">
        <v>104817</v>
      </c>
      <c r="W4" s="1">
        <v>17956</v>
      </c>
      <c r="X4" s="1">
        <v>19672</v>
      </c>
      <c r="Y4" s="1">
        <v>21970</v>
      </c>
      <c r="Z4" s="1">
        <v>24382</v>
      </c>
      <c r="AA4" s="1">
        <v>83980</v>
      </c>
      <c r="AB4" s="1">
        <v>21176</v>
      </c>
      <c r="AC4" s="1">
        <v>667</v>
      </c>
      <c r="AD4" s="1">
        <v>13184</v>
      </c>
      <c r="AE4" s="1">
        <v>36839</v>
      </c>
      <c r="AF4" s="1">
        <v>71866</v>
      </c>
      <c r="AG4" s="1">
        <v>26500</v>
      </c>
      <c r="AH4" s="1">
        <v>20235</v>
      </c>
      <c r="AI4" s="1">
        <v>27027</v>
      </c>
      <c r="AJ4" s="1">
        <v>15955</v>
      </c>
      <c r="AK4" s="1">
        <v>89717</v>
      </c>
      <c r="AL4" s="1">
        <v>28506</v>
      </c>
      <c r="AM4" s="1">
        <v>28706</v>
      </c>
      <c r="AN4" s="1">
        <v>20201</v>
      </c>
      <c r="AO4" s="1">
        <v>47826</v>
      </c>
      <c r="AP4" s="1">
        <v>125239</v>
      </c>
      <c r="AQ4" s="1">
        <v>16743</v>
      </c>
      <c r="AR4" s="1">
        <v>22745</v>
      </c>
      <c r="AS4" s="1">
        <v>11218</v>
      </c>
      <c r="AT4" s="1">
        <v>24452</v>
      </c>
      <c r="AU4" s="1">
        <f t="shared" si="0"/>
        <v>75158</v>
      </c>
      <c r="AV4" s="1">
        <v>31567</v>
      </c>
      <c r="AW4" s="1">
        <v>34571</v>
      </c>
      <c r="AX4" s="1">
        <v>20408</v>
      </c>
      <c r="AY4" s="1">
        <v>28818</v>
      </c>
      <c r="AZ4" s="1">
        <v>86546</v>
      </c>
      <c r="BA4" s="240">
        <v>24640</v>
      </c>
      <c r="BB4" s="240">
        <v>23510</v>
      </c>
      <c r="BC4" s="240">
        <v>38429</v>
      </c>
      <c r="BD4" s="240">
        <v>32172</v>
      </c>
      <c r="BE4" s="240">
        <f>SUM(BA4:BD4)</f>
        <v>118751</v>
      </c>
      <c r="BF4" s="245">
        <v>33185</v>
      </c>
      <c r="BG4" s="245">
        <v>36403</v>
      </c>
    </row>
    <row r="5" spans="1:59" x14ac:dyDescent="0.35">
      <c r="A5" s="12" t="s">
        <v>488</v>
      </c>
      <c r="B5" s="12" t="s">
        <v>570</v>
      </c>
      <c r="C5" s="1">
        <v>12099.44734020258</v>
      </c>
      <c r="D5" s="1">
        <v>-1746.267771423094</v>
      </c>
      <c r="E5" s="1">
        <v>14932.496964964617</v>
      </c>
      <c r="F5" s="1">
        <v>-12292.3</v>
      </c>
      <c r="G5" s="1">
        <v>12993</v>
      </c>
      <c r="H5" s="1">
        <v>32944</v>
      </c>
      <c r="I5" s="1">
        <v>5983.1559062331507</v>
      </c>
      <c r="J5" s="1">
        <v>9933.8440937668493</v>
      </c>
      <c r="K5" s="1">
        <v>-3159</v>
      </c>
      <c r="L5" s="1">
        <v>45702</v>
      </c>
      <c r="M5" s="1">
        <v>34646.520771125375</v>
      </c>
      <c r="N5" s="1">
        <v>32522.365560963357</v>
      </c>
      <c r="O5" s="1">
        <v>36840.113667911268</v>
      </c>
      <c r="P5" s="1">
        <v>-2478</v>
      </c>
      <c r="Q5" s="1">
        <v>69139</v>
      </c>
      <c r="R5" s="1">
        <v>74940</v>
      </c>
      <c r="S5" s="1">
        <v>60029</v>
      </c>
      <c r="T5" s="1">
        <v>58279</v>
      </c>
      <c r="U5" s="1">
        <v>-18716</v>
      </c>
      <c r="V5" s="1">
        <v>174532</v>
      </c>
      <c r="W5" s="1">
        <v>-15089</v>
      </c>
      <c r="X5" s="1">
        <v>21886</v>
      </c>
      <c r="Y5" s="1">
        <v>55824</v>
      </c>
      <c r="Z5" s="1">
        <v>22315</v>
      </c>
      <c r="AA5" s="1">
        <v>84936</v>
      </c>
      <c r="AB5" s="1">
        <v>5590</v>
      </c>
      <c r="AC5" s="1">
        <v>-64469</v>
      </c>
      <c r="AD5" s="1">
        <v>34932</v>
      </c>
      <c r="AE5" s="1">
        <v>26154</v>
      </c>
      <c r="AF5" s="1">
        <v>2207</v>
      </c>
      <c r="AG5" s="1">
        <v>86037</v>
      </c>
      <c r="AH5" s="1">
        <v>150726</v>
      </c>
      <c r="AI5" s="1">
        <v>71865</v>
      </c>
      <c r="AJ5" s="1">
        <v>21302</v>
      </c>
      <c r="AK5" s="1">
        <v>329930</v>
      </c>
      <c r="AL5" s="1">
        <v>108937</v>
      </c>
      <c r="AM5" s="1">
        <v>82338</v>
      </c>
      <c r="AN5" s="1">
        <v>18131</v>
      </c>
      <c r="AO5" s="1">
        <v>14442</v>
      </c>
      <c r="AP5" s="1">
        <v>223848</v>
      </c>
      <c r="AQ5" s="1">
        <v>33469</v>
      </c>
      <c r="AR5" s="1">
        <v>41112</v>
      </c>
      <c r="AS5" s="1">
        <v>72542</v>
      </c>
      <c r="AT5" s="1">
        <v>11686</v>
      </c>
      <c r="AU5" s="1">
        <f t="shared" si="0"/>
        <v>158809</v>
      </c>
      <c r="AV5" s="1">
        <v>23910</v>
      </c>
      <c r="AW5" s="1">
        <v>78459</v>
      </c>
      <c r="AX5" s="1">
        <v>77798</v>
      </c>
      <c r="AY5" s="1">
        <v>25212</v>
      </c>
      <c r="AZ5" s="1">
        <v>180167</v>
      </c>
      <c r="BA5" s="240">
        <v>41506</v>
      </c>
      <c r="BB5" s="240">
        <v>45152</v>
      </c>
      <c r="BC5" s="240">
        <v>3850</v>
      </c>
      <c r="BD5" s="240">
        <v>55996</v>
      </c>
      <c r="BE5" s="240">
        <f>SUM(BA5:BD5)</f>
        <v>146504</v>
      </c>
      <c r="BF5" s="245">
        <v>35437</v>
      </c>
      <c r="BG5" s="245">
        <v>43399</v>
      </c>
    </row>
    <row r="6" spans="1:59" x14ac:dyDescent="0.35">
      <c r="A6" s="12" t="s">
        <v>334</v>
      </c>
      <c r="B6" s="12" t="s">
        <v>505</v>
      </c>
      <c r="C6" s="1">
        <v>51106.204228366085</v>
      </c>
      <c r="D6" s="1">
        <v>89646.446073057028</v>
      </c>
      <c r="E6" s="1">
        <v>97391.15659634702</v>
      </c>
      <c r="F6" s="1">
        <v>78616.465895014902</v>
      </c>
      <c r="G6" s="1">
        <v>316760</v>
      </c>
      <c r="H6" s="1">
        <v>97388</v>
      </c>
      <c r="I6" s="1">
        <v>80937.755440514593</v>
      </c>
      <c r="J6" s="1">
        <v>85952</v>
      </c>
      <c r="K6" s="1">
        <v>80212.3</v>
      </c>
      <c r="L6" s="1">
        <v>344490.3</v>
      </c>
      <c r="M6" s="1">
        <v>68479</v>
      </c>
      <c r="N6" s="1">
        <v>49042</v>
      </c>
      <c r="O6" s="1">
        <v>53652.213526075444</v>
      </c>
      <c r="P6" s="1">
        <v>80764</v>
      </c>
      <c r="Q6" s="1">
        <v>347208</v>
      </c>
      <c r="R6" s="1">
        <v>64607</v>
      </c>
      <c r="S6" s="1">
        <v>64847</v>
      </c>
      <c r="T6" s="1">
        <v>49149</v>
      </c>
      <c r="U6" s="1">
        <v>42216</v>
      </c>
      <c r="V6" s="1">
        <v>220819</v>
      </c>
      <c r="W6" s="1">
        <v>77802</v>
      </c>
      <c r="X6" s="1">
        <v>49704</v>
      </c>
      <c r="Y6" s="1">
        <v>24105</v>
      </c>
      <c r="Z6" s="1">
        <v>18293</v>
      </c>
      <c r="AA6" s="1">
        <v>169904</v>
      </c>
      <c r="AB6" s="1">
        <v>49580</v>
      </c>
      <c r="AC6" s="1">
        <v>84121</v>
      </c>
      <c r="AD6" s="1">
        <v>42240</v>
      </c>
      <c r="AE6" s="1">
        <v>57045</v>
      </c>
      <c r="AF6" s="1">
        <v>232986</v>
      </c>
      <c r="AG6" s="1">
        <v>59042</v>
      </c>
      <c r="AH6" s="1">
        <v>68543</v>
      </c>
      <c r="AI6" s="1">
        <v>78756</v>
      </c>
      <c r="AJ6" s="1">
        <v>118276</v>
      </c>
      <c r="AK6" s="1">
        <v>324617</v>
      </c>
      <c r="AL6" s="1">
        <v>122252</v>
      </c>
      <c r="AM6" s="1">
        <v>112366</v>
      </c>
      <c r="AN6" s="1">
        <v>137777</v>
      </c>
      <c r="AO6" s="1">
        <v>245269</v>
      </c>
      <c r="AP6" s="1">
        <v>617664</v>
      </c>
      <c r="AQ6" s="1">
        <v>131889</v>
      </c>
      <c r="AR6" s="1">
        <v>122408</v>
      </c>
      <c r="AS6" s="1">
        <v>118930</v>
      </c>
      <c r="AT6" s="1">
        <v>144649</v>
      </c>
      <c r="AU6" s="1">
        <f t="shared" si="0"/>
        <v>517876</v>
      </c>
      <c r="AV6" s="1">
        <v>95156</v>
      </c>
      <c r="AW6" s="1">
        <v>116478</v>
      </c>
      <c r="AX6" s="1">
        <v>99186</v>
      </c>
      <c r="AY6" s="1">
        <v>124753</v>
      </c>
      <c r="AZ6" s="1">
        <v>310820</v>
      </c>
      <c r="BA6" s="240">
        <v>139991</v>
      </c>
      <c r="BB6" s="240">
        <v>151372</v>
      </c>
      <c r="BC6" s="240">
        <v>144566</v>
      </c>
      <c r="BD6" s="240">
        <v>142347</v>
      </c>
      <c r="BE6" s="240">
        <f>SUM(BA6:BD6)</f>
        <v>578276</v>
      </c>
      <c r="BF6" s="245">
        <v>146281</v>
      </c>
      <c r="BG6" s="245">
        <v>117042</v>
      </c>
    </row>
    <row r="7" spans="1:59" ht="15" thickBot="1" x14ac:dyDescent="0.4">
      <c r="A7" s="12" t="s">
        <v>568</v>
      </c>
      <c r="B7" s="12" t="s">
        <v>571</v>
      </c>
      <c r="C7" s="1">
        <v>66925.606112460475</v>
      </c>
      <c r="D7" s="1">
        <v>70957.01627956274</v>
      </c>
      <c r="E7" s="1">
        <v>79780.713911638159</v>
      </c>
      <c r="F7" s="1">
        <v>83801.358667907363</v>
      </c>
      <c r="G7" s="1">
        <v>301465</v>
      </c>
      <c r="H7" s="1">
        <v>83220.34469610895</v>
      </c>
      <c r="I7" s="1">
        <v>78447.434415169948</v>
      </c>
      <c r="J7" s="1">
        <v>76932.430930428498</v>
      </c>
      <c r="K7" s="1">
        <v>78301.206938418502</v>
      </c>
      <c r="L7" s="1">
        <v>316903</v>
      </c>
      <c r="M7" s="1">
        <v>69348.028349186745</v>
      </c>
      <c r="N7" s="1">
        <v>73279.340171290867</v>
      </c>
      <c r="O7" s="1">
        <v>76268.590325759724</v>
      </c>
      <c r="P7" s="1">
        <v>83100.786151874199</v>
      </c>
      <c r="Q7" s="1">
        <v>301997</v>
      </c>
      <c r="R7" s="1">
        <v>79984.561071236953</v>
      </c>
      <c r="S7" s="1">
        <v>85416.096644693389</v>
      </c>
      <c r="T7" s="1">
        <v>92277.227105724887</v>
      </c>
      <c r="U7" s="1">
        <v>97903.262373120509</v>
      </c>
      <c r="V7" s="1">
        <v>355575</v>
      </c>
      <c r="W7" s="1">
        <v>98821.560033666654</v>
      </c>
      <c r="X7" s="1">
        <v>102594.82141865185</v>
      </c>
      <c r="Y7" s="1">
        <v>107042.01197779806</v>
      </c>
      <c r="Z7" s="1">
        <v>111095.94712748945</v>
      </c>
      <c r="AA7" s="1">
        <v>419554</v>
      </c>
      <c r="AB7" s="1">
        <v>119471.15754825756</v>
      </c>
      <c r="AC7" s="1">
        <v>132518.60908420497</v>
      </c>
      <c r="AD7" s="1">
        <v>136197.0069939376</v>
      </c>
      <c r="AE7" s="1">
        <v>168673.43980482308</v>
      </c>
      <c r="AF7" s="1">
        <v>556860</v>
      </c>
      <c r="AG7" s="1">
        <v>144857.25623936759</v>
      </c>
      <c r="AH7" s="1">
        <v>138438.71531441077</v>
      </c>
      <c r="AI7" s="1">
        <v>135197.85875925384</v>
      </c>
      <c r="AJ7" s="1">
        <v>141354.27890392917</v>
      </c>
      <c r="AK7" s="1">
        <v>559848</v>
      </c>
      <c r="AL7" s="1">
        <v>128250.64778872667</v>
      </c>
      <c r="AM7" s="1">
        <v>120677.49793886277</v>
      </c>
      <c r="AN7" s="1">
        <v>117204.88997267229</v>
      </c>
      <c r="AO7" s="1">
        <v>125098.20982254733</v>
      </c>
      <c r="AP7" s="1">
        <v>491231</v>
      </c>
      <c r="AQ7" s="1">
        <v>121000.35578073096</v>
      </c>
      <c r="AR7" s="1">
        <v>117781.52474405344</v>
      </c>
      <c r="AS7" s="1">
        <v>115415.99861412121</v>
      </c>
      <c r="AT7" s="1">
        <v>116089.75471259499</v>
      </c>
      <c r="AU7" s="1">
        <f t="shared" si="0"/>
        <v>470287.63385150058</v>
      </c>
      <c r="AV7" s="1">
        <v>115752</v>
      </c>
      <c r="AW7" s="1">
        <v>122498</v>
      </c>
      <c r="AX7" s="1">
        <v>133671</v>
      </c>
      <c r="AY7" s="36">
        <v>131114</v>
      </c>
      <c r="AZ7" s="1">
        <v>371921</v>
      </c>
      <c r="BA7" s="240">
        <v>137333</v>
      </c>
      <c r="BB7" s="240">
        <v>143622</v>
      </c>
      <c r="BC7" s="240">
        <v>138523</v>
      </c>
      <c r="BD7" s="240">
        <v>132061</v>
      </c>
      <c r="BE7" s="240">
        <f>SUM(BA7:BD7)</f>
        <v>551539</v>
      </c>
      <c r="BF7" s="245">
        <v>138223</v>
      </c>
      <c r="BG7" s="245">
        <v>133814</v>
      </c>
    </row>
    <row r="8" spans="1:59" ht="15.5" thickTop="1" thickBot="1" x14ac:dyDescent="0.4">
      <c r="A8" s="24" t="s">
        <v>433</v>
      </c>
      <c r="B8" s="25" t="s">
        <v>433</v>
      </c>
      <c r="C8" s="25">
        <f t="shared" ref="C8:H8" si="1">SUM(C3:C7)</f>
        <v>139833.52446876714</v>
      </c>
      <c r="D8" s="25">
        <f t="shared" si="1"/>
        <v>242501.90270424442</v>
      </c>
      <c r="E8" s="25">
        <f t="shared" si="1"/>
        <v>204669.94694792386</v>
      </c>
      <c r="F8" s="25">
        <f t="shared" si="1"/>
        <v>164061.59616483076</v>
      </c>
      <c r="G8" s="25">
        <f t="shared" si="1"/>
        <v>751067</v>
      </c>
      <c r="H8" s="25">
        <f t="shared" si="1"/>
        <v>236295.41608878085</v>
      </c>
      <c r="I8" s="25">
        <f t="shared" ref="I8:P8" si="2">SUM(I3:I7)</f>
        <v>179570.95419916275</v>
      </c>
      <c r="J8" s="25">
        <f t="shared" si="2"/>
        <v>191109.1422097412</v>
      </c>
      <c r="K8" s="25">
        <f t="shared" si="2"/>
        <v>189249.50693841849</v>
      </c>
      <c r="L8" s="25">
        <f t="shared" si="2"/>
        <v>796224.93543842994</v>
      </c>
      <c r="M8" s="25">
        <f t="shared" si="2"/>
        <v>185393.72641608687</v>
      </c>
      <c r="N8" s="25">
        <f t="shared" si="2"/>
        <v>194137.7645842036</v>
      </c>
      <c r="O8" s="25">
        <f t="shared" si="2"/>
        <v>220254.73005882607</v>
      </c>
      <c r="P8" s="25">
        <f t="shared" si="2"/>
        <v>198765.99113107365</v>
      </c>
      <c r="Q8" s="25">
        <f>SUM(Q3:Q7)</f>
        <v>798553.11368322559</v>
      </c>
      <c r="R8" s="25">
        <f>SUM(R3:R7)</f>
        <v>227112.44987670088</v>
      </c>
      <c r="S8" s="25">
        <f>SUM(S3:S7)</f>
        <v>275408.0966446934</v>
      </c>
      <c r="T8" s="25">
        <f t="shared" ref="T8" si="3">SUM(T3:T7)</f>
        <v>311999.32710572483</v>
      </c>
      <c r="U8" s="25">
        <f t="shared" ref="U8" si="4">SUM(U3:U7)</f>
        <v>242554.26237312052</v>
      </c>
      <c r="V8" s="25">
        <f t="shared" ref="V8" si="5">SUM(V3:V7)</f>
        <v>1057068</v>
      </c>
      <c r="W8" s="25">
        <f t="shared" ref="W8" si="6">SUM(W3:W7)</f>
        <v>242588.56003366667</v>
      </c>
      <c r="X8" s="25">
        <f t="shared" ref="X8" si="7">SUM(X3:X7)</f>
        <v>304246.82141865185</v>
      </c>
      <c r="Y8" s="25">
        <f t="shared" ref="Y8" si="8">SUM(Y3:Y7)</f>
        <v>333779.01197779807</v>
      </c>
      <c r="Z8" s="25">
        <f t="shared" ref="Z8" si="9">SUM(Z3:Z7)</f>
        <v>215195.15048963676</v>
      </c>
      <c r="AA8" s="25">
        <f t="shared" ref="AA8" si="10">SUM(AA3:AA7)</f>
        <v>1095809</v>
      </c>
      <c r="AB8" s="25">
        <f>SUM(AB3:AB7)</f>
        <v>204967.45544998342</v>
      </c>
      <c r="AC8" s="25">
        <f t="shared" ref="AC8:AD8" si="11">SUM(AC3:AC7)</f>
        <v>-199515.68881752065</v>
      </c>
      <c r="AD8" s="25">
        <f t="shared" si="11"/>
        <v>207676.36091247696</v>
      </c>
      <c r="AE8" s="25">
        <f t="shared" ref="AE8:AL8" si="12">SUM(AE3:AE7)</f>
        <v>159011.43980482308</v>
      </c>
      <c r="AF8" s="25">
        <f t="shared" si="12"/>
        <v>372139.19483626448</v>
      </c>
      <c r="AG8" s="25">
        <f t="shared" si="12"/>
        <v>367938.25623936759</v>
      </c>
      <c r="AH8" s="25">
        <f t="shared" si="12"/>
        <v>592729.23202083085</v>
      </c>
      <c r="AI8" s="25">
        <f t="shared" si="12"/>
        <v>489861.85875925387</v>
      </c>
      <c r="AJ8" s="25">
        <f t="shared" si="12"/>
        <v>390803.27890392917</v>
      </c>
      <c r="AK8" s="25">
        <f t="shared" si="12"/>
        <v>1841333</v>
      </c>
      <c r="AL8" s="25">
        <f t="shared" si="12"/>
        <v>548151.66825893149</v>
      </c>
      <c r="AM8" s="25">
        <f t="shared" ref="AM8:AP8" si="13">SUM(AM3:AM7)</f>
        <v>534572.7298016327</v>
      </c>
      <c r="AN8" s="25">
        <f t="shared" si="13"/>
        <v>362701.61222606245</v>
      </c>
      <c r="AO8" s="25">
        <f t="shared" si="13"/>
        <v>291488.71938322921</v>
      </c>
      <c r="AP8" s="25">
        <f t="shared" si="13"/>
        <v>1736914.9020283949</v>
      </c>
      <c r="AQ8" s="25">
        <v>286760.45323558291</v>
      </c>
      <c r="AR8" s="25">
        <v>363406.59800742153</v>
      </c>
      <c r="AS8" s="25">
        <v>313322.0764477686</v>
      </c>
      <c r="AT8" s="25">
        <v>289375</v>
      </c>
      <c r="AU8" s="25">
        <f t="shared" si="0"/>
        <v>1252864.127690773</v>
      </c>
      <c r="AV8" s="25">
        <v>316642</v>
      </c>
      <c r="AW8" s="25">
        <v>388931</v>
      </c>
      <c r="AX8" s="25">
        <v>440235</v>
      </c>
      <c r="AY8" s="25">
        <f>SUM(AY3:AY7)</f>
        <v>378263</v>
      </c>
      <c r="AZ8" s="25">
        <f>SUM(AV8:AY8)</f>
        <v>1524071</v>
      </c>
      <c r="BA8" s="241">
        <v>354362</v>
      </c>
      <c r="BB8" s="241">
        <v>450478</v>
      </c>
      <c r="BC8" s="241">
        <v>360435</v>
      </c>
      <c r="BD8" s="241">
        <v>328178</v>
      </c>
      <c r="BE8" s="241">
        <f>SUM(BA8:BD8)</f>
        <v>1493453</v>
      </c>
      <c r="BF8" s="246">
        <f>SUM(BF3:BF7)</f>
        <v>357046</v>
      </c>
      <c r="BG8" s="246">
        <f>SUM(BG3:BG7)</f>
        <v>417527</v>
      </c>
    </row>
    <row r="9" spans="1:59" x14ac:dyDescent="0.35">
      <c r="AT9" s="1"/>
      <c r="AU9" s="1"/>
    </row>
    <row r="18" spans="49:49" x14ac:dyDescent="0.35">
      <c r="AW18" s="1"/>
    </row>
    <row r="19" spans="49:49" x14ac:dyDescent="0.35">
      <c r="AW19" s="1"/>
    </row>
    <row r="20" spans="49:49" x14ac:dyDescent="0.35">
      <c r="AW20" s="1"/>
    </row>
    <row r="21" spans="49:49" x14ac:dyDescent="0.35">
      <c r="AW21" s="1"/>
    </row>
    <row r="22" spans="49:49" x14ac:dyDescent="0.35">
      <c r="AW22" s="1"/>
    </row>
    <row r="23" spans="49:49" x14ac:dyDescent="0.35">
      <c r="AW23" s="13"/>
    </row>
  </sheetData>
  <phoneticPr fontId="10" type="noConversion"/>
  <pageMargins left="0.7" right="0.7" top="0.75" bottom="0.75" header="0.3" footer="0.3"/>
  <customProperties>
    <customPr name="OrphanNamesChecked" r:id="rId1"/>
  </customProperties>
  <ignoredErrors>
    <ignoredError sqref="AU3 AU4:AU7 G8:L8 Q8:AA8 AK8:AU8" formulaRange="1"/>
    <ignoredError sqref="AZ8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004B1-3A35-4146-9F5F-97E0F2A25B03}">
  <dimension ref="A1:JK65"/>
  <sheetViews>
    <sheetView zoomScale="90" zoomScaleNormal="90" workbookViewId="0">
      <selection activeCell="G6" sqref="G6"/>
    </sheetView>
  </sheetViews>
  <sheetFormatPr defaultColWidth="8.7265625" defaultRowHeight="14.5" outlineLevelCol="1" x14ac:dyDescent="0.35"/>
  <cols>
    <col min="1" max="1" width="58.26953125" style="53" bestFit="1" customWidth="1"/>
    <col min="2" max="2" width="51.81640625" style="53" customWidth="1"/>
    <col min="3" max="3" width="16.26953125" style="34" hidden="1" customWidth="1" outlineLevel="1"/>
    <col min="4" max="6" width="11.54296875" style="34" hidden="1" customWidth="1" outlineLevel="1"/>
    <col min="7" max="7" width="13.7265625" style="34" customWidth="1" collapsed="1"/>
    <col min="8" max="11" width="13.7265625" style="34" hidden="1" customWidth="1" outlineLevel="1"/>
    <col min="12" max="12" width="13.7265625" style="34" customWidth="1" collapsed="1"/>
    <col min="13" max="16" width="13.7265625" style="34" hidden="1" customWidth="1" outlineLevel="1"/>
    <col min="17" max="17" width="13.7265625" style="34" customWidth="1" collapsed="1"/>
    <col min="18" max="21" width="13.7265625" style="34" hidden="1" customWidth="1" outlineLevel="1"/>
    <col min="22" max="22" width="13.7265625" style="34" customWidth="1" collapsed="1"/>
    <col min="23" max="26" width="13.7265625" style="34" hidden="1" customWidth="1" outlineLevel="1"/>
    <col min="27" max="27" width="13.7265625" style="34" customWidth="1" collapsed="1"/>
    <col min="28" max="31" width="13.7265625" style="34" hidden="1" customWidth="1" outlineLevel="1"/>
    <col min="32" max="32" width="13.7265625" style="34" customWidth="1" collapsed="1"/>
    <col min="33" max="36" width="13.7265625" style="34" hidden="1" customWidth="1" outlineLevel="1"/>
    <col min="37" max="37" width="13.7265625" style="34" customWidth="1" collapsed="1"/>
    <col min="38" max="41" width="13.7265625" style="34" hidden="1" customWidth="1" outlineLevel="1"/>
    <col min="42" max="42" width="13.7265625" style="34" customWidth="1" collapsed="1"/>
    <col min="43" max="46" width="13.7265625" style="34" hidden="1" customWidth="1" outlineLevel="1"/>
    <col min="47" max="47" width="13.7265625" style="34" customWidth="1" collapsed="1"/>
    <col min="48" max="50" width="13.7265625" style="34" hidden="1" customWidth="1" outlineLevel="1"/>
    <col min="51" max="51" width="13.81640625" style="34" hidden="1" customWidth="1" outlineLevel="1"/>
    <col min="52" max="52" width="13.81640625" style="34" bestFit="1" customWidth="1" collapsed="1"/>
    <col min="53" max="56" width="14.54296875" style="34" hidden="1" customWidth="1" outlineLevel="1"/>
    <col min="57" max="57" width="14.54296875" style="34" customWidth="1" collapsed="1"/>
    <col min="58" max="59" width="14.54296875" style="34" customWidth="1"/>
    <col min="60" max="16384" width="8.7265625" style="34"/>
  </cols>
  <sheetData>
    <row r="1" spans="1:271" ht="15" thickBot="1" x14ac:dyDescent="0.4">
      <c r="A1" s="15" t="s">
        <v>579</v>
      </c>
      <c r="B1" s="15" t="s">
        <v>603</v>
      </c>
      <c r="C1" s="27" t="s">
        <v>659</v>
      </c>
      <c r="D1" s="27" t="s">
        <v>660</v>
      </c>
      <c r="E1" s="27" t="s">
        <v>661</v>
      </c>
      <c r="F1" s="27" t="s">
        <v>662</v>
      </c>
      <c r="G1" s="27">
        <v>2015</v>
      </c>
      <c r="H1" s="27" t="s">
        <v>655</v>
      </c>
      <c r="I1" s="27" t="s">
        <v>656</v>
      </c>
      <c r="J1" s="27" t="s">
        <v>657</v>
      </c>
      <c r="K1" s="27" t="s">
        <v>658</v>
      </c>
      <c r="L1" s="27">
        <v>2016</v>
      </c>
      <c r="M1" s="27" t="s">
        <v>651</v>
      </c>
      <c r="N1" s="27" t="s">
        <v>652</v>
      </c>
      <c r="O1" s="27" t="s">
        <v>653</v>
      </c>
      <c r="P1" s="27" t="s">
        <v>654</v>
      </c>
      <c r="Q1" s="27">
        <v>2017</v>
      </c>
      <c r="R1" s="27" t="s">
        <v>647</v>
      </c>
      <c r="S1" s="27" t="s">
        <v>648</v>
      </c>
      <c r="T1" s="27" t="s">
        <v>649</v>
      </c>
      <c r="U1" s="27" t="s">
        <v>650</v>
      </c>
      <c r="V1" s="27">
        <v>2018</v>
      </c>
      <c r="W1" s="27" t="s">
        <v>643</v>
      </c>
      <c r="X1" s="27" t="s">
        <v>644</v>
      </c>
      <c r="Y1" s="27" t="s">
        <v>645</v>
      </c>
      <c r="Z1" s="27" t="s">
        <v>646</v>
      </c>
      <c r="AA1" s="27">
        <v>2019</v>
      </c>
      <c r="AB1" s="27" t="s">
        <v>516</v>
      </c>
      <c r="AC1" s="27" t="s">
        <v>517</v>
      </c>
      <c r="AD1" s="27" t="s">
        <v>518</v>
      </c>
      <c r="AE1" s="27" t="s">
        <v>519</v>
      </c>
      <c r="AF1" s="27">
        <v>2020</v>
      </c>
      <c r="AG1" s="27" t="s">
        <v>520</v>
      </c>
      <c r="AH1" s="27" t="s">
        <v>521</v>
      </c>
      <c r="AI1" s="27" t="s">
        <v>522</v>
      </c>
      <c r="AJ1" s="27" t="s">
        <v>523</v>
      </c>
      <c r="AK1" s="27">
        <v>2021</v>
      </c>
      <c r="AL1" s="26" t="s">
        <v>524</v>
      </c>
      <c r="AM1" s="26" t="s">
        <v>525</v>
      </c>
      <c r="AN1" s="26" t="s">
        <v>526</v>
      </c>
      <c r="AO1" s="26" t="s">
        <v>527</v>
      </c>
      <c r="AP1" s="26">
        <v>2022</v>
      </c>
      <c r="AQ1" s="10" t="s">
        <v>528</v>
      </c>
      <c r="AR1" s="10" t="s">
        <v>529</v>
      </c>
      <c r="AS1" s="10" t="s">
        <v>530</v>
      </c>
      <c r="AT1" s="10" t="s">
        <v>531</v>
      </c>
      <c r="AU1" s="10">
        <v>2023</v>
      </c>
      <c r="AV1" s="10" t="s">
        <v>436</v>
      </c>
      <c r="AW1" s="10" t="s">
        <v>437</v>
      </c>
      <c r="AX1" s="10" t="s">
        <v>438</v>
      </c>
      <c r="AY1" s="10" t="s">
        <v>565</v>
      </c>
      <c r="AZ1" s="10">
        <v>2024</v>
      </c>
      <c r="BA1" s="10" t="s">
        <v>672</v>
      </c>
      <c r="BB1" s="10" t="s">
        <v>685</v>
      </c>
      <c r="BC1" s="10" t="s">
        <v>686</v>
      </c>
      <c r="BD1" s="10" t="s">
        <v>687</v>
      </c>
      <c r="BE1" s="10">
        <v>2025</v>
      </c>
      <c r="BF1" s="10" t="s">
        <v>688</v>
      </c>
      <c r="BG1" s="10" t="s">
        <v>690</v>
      </c>
    </row>
    <row r="2" spans="1:271" ht="15" thickBot="1" x14ac:dyDescent="0.4">
      <c r="A2" s="15" t="s">
        <v>580</v>
      </c>
      <c r="B2" s="15" t="s">
        <v>604</v>
      </c>
      <c r="C2" s="16" t="s">
        <v>441</v>
      </c>
      <c r="D2" s="16" t="s">
        <v>442</v>
      </c>
      <c r="E2" s="16" t="s">
        <v>443</v>
      </c>
      <c r="F2" s="16" t="s">
        <v>444</v>
      </c>
      <c r="G2" s="16">
        <v>2015</v>
      </c>
      <c r="H2" s="16" t="s">
        <v>445</v>
      </c>
      <c r="I2" s="16" t="s">
        <v>446</v>
      </c>
      <c r="J2" s="16" t="s">
        <v>447</v>
      </c>
      <c r="K2" s="16" t="s">
        <v>448</v>
      </c>
      <c r="L2" s="16">
        <v>2016</v>
      </c>
      <c r="M2" s="16" t="s">
        <v>449</v>
      </c>
      <c r="N2" s="16" t="s">
        <v>450</v>
      </c>
      <c r="O2" s="16" t="s">
        <v>451</v>
      </c>
      <c r="P2" s="16" t="s">
        <v>452</v>
      </c>
      <c r="Q2" s="16">
        <v>2017</v>
      </c>
      <c r="R2" s="16" t="s">
        <v>453</v>
      </c>
      <c r="S2" s="16" t="s">
        <v>454</v>
      </c>
      <c r="T2" s="16" t="s">
        <v>455</v>
      </c>
      <c r="U2" s="16" t="s">
        <v>456</v>
      </c>
      <c r="V2" s="16">
        <v>2018</v>
      </c>
      <c r="W2" s="16" t="s">
        <v>457</v>
      </c>
      <c r="X2" s="16" t="s">
        <v>458</v>
      </c>
      <c r="Y2" s="16" t="s">
        <v>459</v>
      </c>
      <c r="Z2" s="16" t="s">
        <v>460</v>
      </c>
      <c r="AA2" s="16">
        <v>2019</v>
      </c>
      <c r="AB2" s="16" t="s">
        <v>461</v>
      </c>
      <c r="AC2" s="16" t="s">
        <v>462</v>
      </c>
      <c r="AD2" s="16" t="s">
        <v>463</v>
      </c>
      <c r="AE2" s="16" t="s">
        <v>464</v>
      </c>
      <c r="AF2" s="16">
        <v>2020</v>
      </c>
      <c r="AG2" s="16" t="s">
        <v>465</v>
      </c>
      <c r="AH2" s="16" t="s">
        <v>466</v>
      </c>
      <c r="AI2" s="16" t="s">
        <v>467</v>
      </c>
      <c r="AJ2" s="16" t="s">
        <v>468</v>
      </c>
      <c r="AK2" s="16">
        <v>2021</v>
      </c>
      <c r="AL2" s="16" t="s">
        <v>469</v>
      </c>
      <c r="AM2" s="16" t="s">
        <v>470</v>
      </c>
      <c r="AN2" s="16" t="s">
        <v>471</v>
      </c>
      <c r="AO2" s="16" t="s">
        <v>472</v>
      </c>
      <c r="AP2" s="16">
        <v>2022</v>
      </c>
      <c r="AQ2" s="16" t="s">
        <v>473</v>
      </c>
      <c r="AR2" s="16" t="s">
        <v>474</v>
      </c>
      <c r="AS2" s="16" t="s">
        <v>475</v>
      </c>
      <c r="AT2" s="16" t="s">
        <v>476</v>
      </c>
      <c r="AU2" s="16">
        <v>2023</v>
      </c>
      <c r="AV2" s="16" t="s">
        <v>428</v>
      </c>
      <c r="AW2" s="16" t="s">
        <v>429</v>
      </c>
      <c r="AX2" s="16" t="s">
        <v>427</v>
      </c>
      <c r="AY2" s="16" t="s">
        <v>491</v>
      </c>
      <c r="AZ2" s="16">
        <v>2024</v>
      </c>
      <c r="BA2" s="16" t="s">
        <v>671</v>
      </c>
      <c r="BB2" s="16" t="s">
        <v>673</v>
      </c>
      <c r="BC2" s="16" t="s">
        <v>674</v>
      </c>
      <c r="BD2" s="16" t="s">
        <v>675</v>
      </c>
      <c r="BE2" s="16">
        <v>2025</v>
      </c>
      <c r="BF2" s="16" t="s">
        <v>689</v>
      </c>
      <c r="BG2" s="16" t="s">
        <v>691</v>
      </c>
    </row>
    <row r="3" spans="1:271" s="29" customFormat="1" thickBot="1" x14ac:dyDescent="0.35">
      <c r="A3" s="29" t="s">
        <v>581</v>
      </c>
      <c r="B3" s="29" t="s">
        <v>605</v>
      </c>
    </row>
    <row r="4" spans="1:271" x14ac:dyDescent="0.35">
      <c r="A4" s="53" t="s">
        <v>7</v>
      </c>
      <c r="B4" s="53" t="s">
        <v>606</v>
      </c>
      <c r="C4" s="109">
        <v>643969</v>
      </c>
      <c r="D4" s="109">
        <v>675073</v>
      </c>
      <c r="E4" s="109">
        <v>691991</v>
      </c>
      <c r="F4" s="109">
        <v>739255</v>
      </c>
      <c r="G4" s="109">
        <v>739255</v>
      </c>
      <c r="H4" s="109">
        <v>560069</v>
      </c>
      <c r="I4" s="109">
        <v>509196</v>
      </c>
      <c r="J4" s="109">
        <v>341134</v>
      </c>
      <c r="K4" s="109">
        <v>431599</v>
      </c>
      <c r="L4" s="109">
        <v>431599</v>
      </c>
      <c r="M4" s="109">
        <v>690274</v>
      </c>
      <c r="N4" s="109">
        <v>695515</v>
      </c>
      <c r="O4" s="109">
        <v>502741</v>
      </c>
      <c r="P4" s="109">
        <v>543331</v>
      </c>
      <c r="Q4" s="109">
        <v>543331</v>
      </c>
      <c r="R4" s="109">
        <v>820925</v>
      </c>
      <c r="S4" s="109">
        <v>312904</v>
      </c>
      <c r="T4" s="109">
        <v>285356</v>
      </c>
      <c r="U4" s="109">
        <v>486903</v>
      </c>
      <c r="V4" s="109">
        <v>486903</v>
      </c>
      <c r="W4" s="109">
        <v>435074</v>
      </c>
      <c r="X4" s="109">
        <v>353039</v>
      </c>
      <c r="Y4" s="109">
        <v>671381</v>
      </c>
      <c r="Z4" s="109">
        <v>646137</v>
      </c>
      <c r="AA4" s="109">
        <v>646137</v>
      </c>
      <c r="AB4" s="109">
        <v>1133921</v>
      </c>
      <c r="AC4" s="109">
        <v>1392574</v>
      </c>
      <c r="AD4" s="109">
        <v>1641643</v>
      </c>
      <c r="AE4" s="109">
        <v>1605439</v>
      </c>
      <c r="AF4" s="109">
        <v>1605439</v>
      </c>
      <c r="AG4" s="109">
        <v>1508930</v>
      </c>
      <c r="AH4" s="109">
        <v>1355258</v>
      </c>
      <c r="AI4" s="109">
        <v>1006988</v>
      </c>
      <c r="AJ4" s="109">
        <v>1088114</v>
      </c>
      <c r="AK4" s="109">
        <v>1088114</v>
      </c>
      <c r="AL4" s="109">
        <v>1385993</v>
      </c>
      <c r="AM4" s="109">
        <v>1392893</v>
      </c>
      <c r="AN4" s="109">
        <v>1604256</v>
      </c>
      <c r="AO4" s="109">
        <v>2287054</v>
      </c>
      <c r="AP4" s="109">
        <v>2287054</v>
      </c>
      <c r="AQ4" s="109">
        <v>2604739</v>
      </c>
      <c r="AR4" s="109">
        <v>2458590</v>
      </c>
      <c r="AS4" s="109">
        <v>3054672</v>
      </c>
      <c r="AT4" s="109">
        <v>2962366</v>
      </c>
      <c r="AU4" s="109">
        <v>2962366</v>
      </c>
      <c r="AV4" s="109">
        <v>2295227</v>
      </c>
      <c r="AW4" s="121">
        <v>2255949</v>
      </c>
      <c r="AX4" s="109">
        <v>2338050</v>
      </c>
      <c r="AY4" s="109">
        <f>'BS - Consolidado'!J5</f>
        <v>2463475</v>
      </c>
      <c r="AZ4" s="109">
        <f>AY4</f>
        <v>2463475</v>
      </c>
      <c r="BA4" s="109">
        <f>'BS - Consolidado'!I5</f>
        <v>1932732</v>
      </c>
      <c r="BB4" s="219">
        <f>'BS - Consolidado'!H5</f>
        <v>1678690</v>
      </c>
      <c r="BC4" s="219">
        <f>'BS - Consolidado'!G5</f>
        <v>1624952</v>
      </c>
      <c r="BD4" s="219">
        <f>'BS - Consolidado'!F5</f>
        <v>1599733</v>
      </c>
      <c r="BE4" s="219">
        <f>BD4</f>
        <v>1599733</v>
      </c>
      <c r="BF4" s="219">
        <f>'BS - Consolidado'!E5</f>
        <v>1866118</v>
      </c>
      <c r="BG4" s="219">
        <f>'BS - Consolidado'!D5</f>
        <v>1868049</v>
      </c>
    </row>
    <row r="5" spans="1:271" x14ac:dyDescent="0.35">
      <c r="A5" s="53" t="s">
        <v>582</v>
      </c>
      <c r="B5" s="53" t="s">
        <v>607</v>
      </c>
      <c r="C5" s="109">
        <v>957009</v>
      </c>
      <c r="D5" s="109">
        <v>896538</v>
      </c>
      <c r="E5" s="109">
        <v>1095504</v>
      </c>
      <c r="F5" s="109">
        <v>865496</v>
      </c>
      <c r="G5" s="109">
        <v>865496</v>
      </c>
      <c r="H5" s="109">
        <v>923874</v>
      </c>
      <c r="I5" s="109">
        <v>884992</v>
      </c>
      <c r="J5" s="109">
        <v>909652</v>
      </c>
      <c r="K5" s="109">
        <v>835158</v>
      </c>
      <c r="L5" s="109">
        <v>835158</v>
      </c>
      <c r="M5" s="109">
        <v>978340</v>
      </c>
      <c r="N5" s="109">
        <v>1118783</v>
      </c>
      <c r="O5" s="109">
        <v>1141765</v>
      </c>
      <c r="P5" s="109">
        <v>1064916</v>
      </c>
      <c r="Q5" s="109">
        <v>1064916</v>
      </c>
      <c r="R5" s="109">
        <v>1306513</v>
      </c>
      <c r="S5" s="109">
        <v>1470644</v>
      </c>
      <c r="T5" s="109">
        <v>1555906</v>
      </c>
      <c r="U5" s="109">
        <v>1253826</v>
      </c>
      <c r="V5" s="109">
        <v>1253826</v>
      </c>
      <c r="W5" s="109">
        <v>1502342</v>
      </c>
      <c r="X5" s="109">
        <v>1479216</v>
      </c>
      <c r="Y5" s="109">
        <v>1440886</v>
      </c>
      <c r="Z5" s="109">
        <v>1029650</v>
      </c>
      <c r="AA5" s="109">
        <v>1029650</v>
      </c>
      <c r="AB5" s="109">
        <v>1323161</v>
      </c>
      <c r="AC5" s="109">
        <v>966336</v>
      </c>
      <c r="AD5" s="109">
        <v>1528126</v>
      </c>
      <c r="AE5" s="109">
        <v>1405954</v>
      </c>
      <c r="AF5" s="109">
        <v>1405954</v>
      </c>
      <c r="AG5" s="109">
        <v>1824896</v>
      </c>
      <c r="AH5" s="109">
        <v>1749006</v>
      </c>
      <c r="AI5" s="109">
        <v>2040574</v>
      </c>
      <c r="AJ5" s="109">
        <v>1731914</v>
      </c>
      <c r="AK5" s="109">
        <v>1731914</v>
      </c>
      <c r="AL5" s="109">
        <v>2027779</v>
      </c>
      <c r="AM5" s="109">
        <v>2466700</v>
      </c>
      <c r="AN5" s="109">
        <v>2406460</v>
      </c>
      <c r="AO5" s="109">
        <v>2053692</v>
      </c>
      <c r="AP5" s="109">
        <v>2053692</v>
      </c>
      <c r="AQ5" s="109">
        <v>2267301</v>
      </c>
      <c r="AR5" s="109">
        <v>1589570</v>
      </c>
      <c r="AS5" s="109">
        <v>1526405</v>
      </c>
      <c r="AT5" s="109">
        <v>1261050</v>
      </c>
      <c r="AU5" s="109">
        <v>1261050</v>
      </c>
      <c r="AV5" s="109">
        <v>1609129</v>
      </c>
      <c r="AW5" s="121">
        <v>1780765</v>
      </c>
      <c r="AX5" s="109">
        <v>1714233</v>
      </c>
      <c r="AY5" s="109">
        <f>'BS - Consolidado'!J12</f>
        <v>1449118</v>
      </c>
      <c r="AZ5" s="109">
        <f t="shared" ref="AZ5:AZ10" si="0">AY5</f>
        <v>1449118</v>
      </c>
      <c r="BA5" s="109">
        <f>'BS - Consolidado'!I12</f>
        <v>1777578</v>
      </c>
      <c r="BB5" s="219">
        <f>'BS - Consolidado'!H12</f>
        <v>1699403</v>
      </c>
      <c r="BC5" s="219">
        <f>'BS - Consolidado'!G12</f>
        <v>1544030</v>
      </c>
      <c r="BD5" s="219">
        <f>'BS - Consolidado'!F12</f>
        <v>1333705</v>
      </c>
      <c r="BE5" s="219">
        <f t="shared" ref="BE5:BE10" si="1">BD5</f>
        <v>1333705</v>
      </c>
      <c r="BF5" s="219">
        <f>'BS - Consolidado'!E12</f>
        <v>1737718</v>
      </c>
      <c r="BG5" s="219">
        <f>'BS - Consolidado'!D12</f>
        <v>1850701</v>
      </c>
    </row>
    <row r="6" spans="1:271" x14ac:dyDescent="0.35">
      <c r="A6" s="53" t="s">
        <v>27</v>
      </c>
      <c r="B6" s="53" t="s">
        <v>608</v>
      </c>
      <c r="C6" s="109">
        <v>786847</v>
      </c>
      <c r="D6" s="109">
        <v>753593</v>
      </c>
      <c r="E6" s="109">
        <v>936330</v>
      </c>
      <c r="F6" s="109">
        <v>854665</v>
      </c>
      <c r="G6" s="109">
        <v>854665</v>
      </c>
      <c r="H6" s="109">
        <v>856847</v>
      </c>
      <c r="I6" s="109">
        <v>825903</v>
      </c>
      <c r="J6" s="109">
        <v>861165</v>
      </c>
      <c r="K6" s="109">
        <v>865029</v>
      </c>
      <c r="L6" s="109">
        <v>865029</v>
      </c>
      <c r="M6" s="109">
        <v>933278</v>
      </c>
      <c r="N6" s="109">
        <v>1056564</v>
      </c>
      <c r="O6" s="109">
        <v>1110176</v>
      </c>
      <c r="P6" s="109">
        <v>1191445</v>
      </c>
      <c r="Q6" s="109">
        <v>1191445</v>
      </c>
      <c r="R6" s="109">
        <v>1260011</v>
      </c>
      <c r="S6" s="109">
        <v>1441329</v>
      </c>
      <c r="T6" s="109">
        <v>1519877</v>
      </c>
      <c r="U6" s="109">
        <v>1448021</v>
      </c>
      <c r="V6" s="109">
        <v>1448021</v>
      </c>
      <c r="W6" s="109">
        <v>1517728</v>
      </c>
      <c r="X6" s="109">
        <v>1399921</v>
      </c>
      <c r="Y6" s="109">
        <v>1417784</v>
      </c>
      <c r="Z6" s="109">
        <v>1328470</v>
      </c>
      <c r="AA6" s="109">
        <v>1328470</v>
      </c>
      <c r="AB6" s="109">
        <v>1698388</v>
      </c>
      <c r="AC6" s="109">
        <v>1659113</v>
      </c>
      <c r="AD6" s="109">
        <v>1717282</v>
      </c>
      <c r="AE6" s="109">
        <v>1748497</v>
      </c>
      <c r="AF6" s="109">
        <v>1748497</v>
      </c>
      <c r="AG6" s="109">
        <v>2200098</v>
      </c>
      <c r="AH6" s="109">
        <v>2474865</v>
      </c>
      <c r="AI6" s="109">
        <v>3081815</v>
      </c>
      <c r="AJ6" s="109">
        <v>3196694</v>
      </c>
      <c r="AK6" s="109">
        <v>3196694</v>
      </c>
      <c r="AL6" s="109">
        <v>2807064</v>
      </c>
      <c r="AM6" s="109">
        <v>3055324</v>
      </c>
      <c r="AN6" s="109">
        <v>2965662</v>
      </c>
      <c r="AO6" s="109">
        <v>2702075</v>
      </c>
      <c r="AP6" s="109">
        <v>2702075</v>
      </c>
      <c r="AQ6" s="109">
        <v>2563366</v>
      </c>
      <c r="AR6" s="109">
        <v>2444233</v>
      </c>
      <c r="AS6" s="109">
        <v>2456263</v>
      </c>
      <c r="AT6" s="109">
        <v>2320305</v>
      </c>
      <c r="AU6" s="109">
        <v>2320305</v>
      </c>
      <c r="AV6" s="109">
        <v>2343032</v>
      </c>
      <c r="AW6" s="121">
        <v>2461251</v>
      </c>
      <c r="AX6" s="109">
        <v>2444430</v>
      </c>
      <c r="AY6" s="109">
        <f>'BS - Consolidado'!J15</f>
        <v>2458784</v>
      </c>
      <c r="AZ6" s="109">
        <f t="shared" si="0"/>
        <v>2458784</v>
      </c>
      <c r="BA6" s="109">
        <f>'BS - Consolidado'!I15</f>
        <v>2542395</v>
      </c>
      <c r="BB6" s="219">
        <f>'BS - Consolidado'!H15</f>
        <v>2647642</v>
      </c>
      <c r="BC6" s="219">
        <f>'BS - Consolidado'!G15</f>
        <v>2568157</v>
      </c>
      <c r="BD6" s="219">
        <f>'BS - Consolidado'!F15</f>
        <v>2465712</v>
      </c>
      <c r="BE6" s="219">
        <f t="shared" si="1"/>
        <v>2465712</v>
      </c>
      <c r="BF6" s="219">
        <f>'BS - Consolidado'!E15</f>
        <v>2355533</v>
      </c>
      <c r="BG6" s="219">
        <f>'BS - Consolidado'!D15</f>
        <v>2546919</v>
      </c>
    </row>
    <row r="7" spans="1:271" x14ac:dyDescent="0.35">
      <c r="A7" s="53" t="s">
        <v>81</v>
      </c>
      <c r="B7" s="53" t="s">
        <v>609</v>
      </c>
      <c r="C7" s="109">
        <v>126516</v>
      </c>
      <c r="D7" s="109">
        <v>100338</v>
      </c>
      <c r="E7" s="109">
        <v>146911</v>
      </c>
      <c r="F7" s="109">
        <v>135447</v>
      </c>
      <c r="G7" s="109">
        <v>135447</v>
      </c>
      <c r="H7" s="109">
        <v>120694</v>
      </c>
      <c r="I7" s="109">
        <v>107601</v>
      </c>
      <c r="J7" s="109">
        <v>105145</v>
      </c>
      <c r="K7" s="109">
        <v>125249</v>
      </c>
      <c r="L7" s="109">
        <v>125249</v>
      </c>
      <c r="M7" s="109">
        <v>131950</v>
      </c>
      <c r="N7" s="109">
        <v>144112</v>
      </c>
      <c r="O7" s="109">
        <v>150232</v>
      </c>
      <c r="P7" s="109">
        <v>159482</v>
      </c>
      <c r="Q7" s="109">
        <v>159482</v>
      </c>
      <c r="R7" s="109">
        <v>145162</v>
      </c>
      <c r="S7" s="109">
        <v>207658</v>
      </c>
      <c r="T7" s="109">
        <v>260784</v>
      </c>
      <c r="U7" s="109">
        <v>237675</v>
      </c>
      <c r="V7" s="109">
        <v>237675</v>
      </c>
      <c r="W7" s="109">
        <v>228744</v>
      </c>
      <c r="X7" s="109">
        <v>252380</v>
      </c>
      <c r="Y7" s="109">
        <v>308369</v>
      </c>
      <c r="Z7" s="109">
        <v>223589</v>
      </c>
      <c r="AA7" s="109">
        <v>223589</v>
      </c>
      <c r="AB7" s="109">
        <v>213089</v>
      </c>
      <c r="AC7" s="109">
        <v>200080</v>
      </c>
      <c r="AD7" s="109">
        <v>216022</v>
      </c>
      <c r="AE7" s="109">
        <v>239884</v>
      </c>
      <c r="AF7" s="109">
        <v>239884</v>
      </c>
      <c r="AG7" s="109">
        <v>314949</v>
      </c>
      <c r="AH7" s="109">
        <v>392709</v>
      </c>
      <c r="AI7" s="109">
        <v>577775</v>
      </c>
      <c r="AJ7" s="109">
        <v>500695</v>
      </c>
      <c r="AK7" s="109">
        <v>500695</v>
      </c>
      <c r="AL7" s="109">
        <v>481564</v>
      </c>
      <c r="AM7" s="109">
        <v>582900</v>
      </c>
      <c r="AN7" s="109">
        <v>693491</v>
      </c>
      <c r="AO7" s="109">
        <v>600748</v>
      </c>
      <c r="AP7" s="109">
        <v>600748</v>
      </c>
      <c r="AQ7" s="109">
        <v>645572</v>
      </c>
      <c r="AR7" s="109">
        <v>669896</v>
      </c>
      <c r="AS7" s="109">
        <v>707121</v>
      </c>
      <c r="AT7" s="109">
        <v>717498</v>
      </c>
      <c r="AU7" s="109">
        <v>717498</v>
      </c>
      <c r="AV7" s="109">
        <v>706830</v>
      </c>
      <c r="AW7" s="121">
        <v>669423</v>
      </c>
      <c r="AX7" s="109">
        <v>659911</v>
      </c>
      <c r="AY7" s="109">
        <f>'BS - Consolidado'!J17</f>
        <v>687164</v>
      </c>
      <c r="AZ7" s="109">
        <f t="shared" si="0"/>
        <v>687164</v>
      </c>
      <c r="BA7" s="109">
        <f>'BS - Consolidado'!I17</f>
        <v>607687</v>
      </c>
      <c r="BB7" s="219">
        <f>'BS - Consolidado'!H17</f>
        <v>577961</v>
      </c>
      <c r="BC7" s="219">
        <f>'BS - Consolidado'!G17</f>
        <v>521001</v>
      </c>
      <c r="BD7" s="219">
        <f>'BS - Consolidado'!F17</f>
        <v>498665</v>
      </c>
      <c r="BE7" s="219">
        <f t="shared" si="1"/>
        <v>498665</v>
      </c>
      <c r="BF7" s="219">
        <f>'BS - Consolidado'!E17</f>
        <v>449973</v>
      </c>
      <c r="BG7" s="219">
        <f>'BS - Consolidado'!D17</f>
        <v>499212</v>
      </c>
    </row>
    <row r="8" spans="1:271" x14ac:dyDescent="0.35">
      <c r="A8" s="53" t="s">
        <v>35</v>
      </c>
      <c r="B8" s="53" t="s">
        <v>610</v>
      </c>
      <c r="C8" s="109">
        <v>27460</v>
      </c>
      <c r="D8" s="109">
        <v>24819</v>
      </c>
      <c r="E8" s="109">
        <v>25228</v>
      </c>
      <c r="F8" s="109">
        <v>30592</v>
      </c>
      <c r="G8" s="109">
        <v>30592</v>
      </c>
      <c r="H8" s="109">
        <v>31614</v>
      </c>
      <c r="I8" s="109">
        <v>24335</v>
      </c>
      <c r="J8" s="109">
        <v>23381</v>
      </c>
      <c r="K8" s="109">
        <v>23054</v>
      </c>
      <c r="L8" s="109">
        <v>23054</v>
      </c>
      <c r="M8" s="109">
        <v>26989</v>
      </c>
      <c r="N8" s="109">
        <v>30864</v>
      </c>
      <c r="O8" s="109">
        <v>28265</v>
      </c>
      <c r="P8" s="109">
        <v>19657</v>
      </c>
      <c r="Q8" s="109">
        <v>19657</v>
      </c>
      <c r="R8" s="109">
        <v>27384</v>
      </c>
      <c r="S8" s="109">
        <v>25332</v>
      </c>
      <c r="T8" s="109">
        <v>26108</v>
      </c>
      <c r="U8" s="109">
        <v>19641</v>
      </c>
      <c r="V8" s="109">
        <v>19641</v>
      </c>
      <c r="W8" s="109">
        <v>27177</v>
      </c>
      <c r="X8" s="109">
        <v>25991</v>
      </c>
      <c r="Y8" s="109">
        <v>23565</v>
      </c>
      <c r="Z8" s="109">
        <v>20210</v>
      </c>
      <c r="AA8" s="109">
        <v>20210</v>
      </c>
      <c r="AB8" s="109">
        <v>46607</v>
      </c>
      <c r="AC8" s="109">
        <v>48608</v>
      </c>
      <c r="AD8" s="109">
        <v>50855</v>
      </c>
      <c r="AE8" s="109">
        <v>49145</v>
      </c>
      <c r="AF8" s="109">
        <v>49145</v>
      </c>
      <c r="AG8" s="109">
        <v>55688</v>
      </c>
      <c r="AH8" s="109">
        <v>55849</v>
      </c>
      <c r="AI8" s="109">
        <v>49293</v>
      </c>
      <c r="AJ8" s="109">
        <v>49093</v>
      </c>
      <c r="AK8" s="109">
        <v>49093</v>
      </c>
      <c r="AL8" s="109">
        <v>46157</v>
      </c>
      <c r="AM8" s="109">
        <v>55869</v>
      </c>
      <c r="AN8" s="109">
        <v>55625</v>
      </c>
      <c r="AO8" s="109">
        <v>57725</v>
      </c>
      <c r="AP8" s="109">
        <v>57725</v>
      </c>
      <c r="AQ8" s="109">
        <v>81893</v>
      </c>
      <c r="AR8" s="109">
        <v>77817</v>
      </c>
      <c r="AS8" s="109">
        <v>69736</v>
      </c>
      <c r="AT8" s="109">
        <v>80481</v>
      </c>
      <c r="AU8" s="109">
        <v>80481</v>
      </c>
      <c r="AV8" s="109">
        <v>92785</v>
      </c>
      <c r="AW8" s="121">
        <v>113515</v>
      </c>
      <c r="AX8" s="109">
        <v>88658</v>
      </c>
      <c r="AY8" s="109">
        <f>'BS - Consolidado'!J19</f>
        <v>122362</v>
      </c>
      <c r="AZ8" s="109">
        <f t="shared" si="0"/>
        <v>122362</v>
      </c>
      <c r="BA8" s="109">
        <f>'BS - Consolidado'!I19</f>
        <v>127604</v>
      </c>
      <c r="BB8" s="219">
        <f>'BS - Consolidado'!H19</f>
        <v>114572</v>
      </c>
      <c r="BC8" s="219">
        <f>'BS - Consolidado'!G19</f>
        <v>94192</v>
      </c>
      <c r="BD8" s="219">
        <f>'BS - Consolidado'!F19</f>
        <v>92499</v>
      </c>
      <c r="BE8" s="219">
        <f t="shared" si="1"/>
        <v>92499</v>
      </c>
      <c r="BF8" s="219">
        <f>'BS - Consolidado'!E19</f>
        <v>100397</v>
      </c>
      <c r="BG8" s="219">
        <f>'BS - Consolidado'!D19</f>
        <v>106577</v>
      </c>
    </row>
    <row r="9" spans="1:271" x14ac:dyDescent="0.35">
      <c r="A9" s="53" t="s">
        <v>583</v>
      </c>
      <c r="B9" s="53" t="s">
        <v>611</v>
      </c>
      <c r="C9" s="116" t="s">
        <v>663</v>
      </c>
      <c r="D9" s="116" t="s">
        <v>663</v>
      </c>
      <c r="E9" s="116" t="s">
        <v>663</v>
      </c>
      <c r="F9" s="116" t="s">
        <v>663</v>
      </c>
      <c r="G9" s="116" t="s">
        <v>663</v>
      </c>
      <c r="H9" s="116" t="s">
        <v>663</v>
      </c>
      <c r="I9" s="116" t="s">
        <v>663</v>
      </c>
      <c r="J9" s="116" t="s">
        <v>663</v>
      </c>
      <c r="K9" s="116" t="s">
        <v>663</v>
      </c>
      <c r="L9" s="116" t="s">
        <v>663</v>
      </c>
      <c r="M9" s="116" t="s">
        <v>663</v>
      </c>
      <c r="N9" s="116" t="s">
        <v>663</v>
      </c>
      <c r="O9" s="116" t="s">
        <v>663</v>
      </c>
      <c r="P9" s="116" t="s">
        <v>663</v>
      </c>
      <c r="Q9" s="116" t="s">
        <v>663</v>
      </c>
      <c r="R9" s="116" t="s">
        <v>663</v>
      </c>
      <c r="S9" s="116" t="s">
        <v>663</v>
      </c>
      <c r="T9" s="116" t="s">
        <v>663</v>
      </c>
      <c r="U9" s="116" t="s">
        <v>663</v>
      </c>
      <c r="V9" s="116" t="s">
        <v>663</v>
      </c>
      <c r="W9" s="116" t="s">
        <v>663</v>
      </c>
      <c r="X9" s="116" t="s">
        <v>663</v>
      </c>
      <c r="Y9" s="116" t="s">
        <v>663</v>
      </c>
      <c r="Z9" s="116" t="s">
        <v>663</v>
      </c>
      <c r="AA9" s="116" t="s">
        <v>663</v>
      </c>
      <c r="AB9" s="116" t="s">
        <v>663</v>
      </c>
      <c r="AC9" s="116" t="s">
        <v>663</v>
      </c>
      <c r="AD9" s="116" t="s">
        <v>663</v>
      </c>
      <c r="AE9" s="116" t="s">
        <v>663</v>
      </c>
      <c r="AF9" s="116" t="s">
        <v>663</v>
      </c>
      <c r="AG9" s="116" t="s">
        <v>663</v>
      </c>
      <c r="AH9" s="116">
        <v>25430</v>
      </c>
      <c r="AI9" s="109">
        <v>167959</v>
      </c>
      <c r="AJ9" s="34">
        <v>249055</v>
      </c>
      <c r="AK9" s="109">
        <v>249055</v>
      </c>
      <c r="AL9" s="109">
        <v>185048</v>
      </c>
      <c r="AM9" s="109">
        <v>210749</v>
      </c>
      <c r="AN9" s="34">
        <v>257298</v>
      </c>
      <c r="AO9" s="109">
        <v>32079</v>
      </c>
      <c r="AP9" s="109">
        <v>32079</v>
      </c>
      <c r="AQ9" s="109">
        <v>43820</v>
      </c>
      <c r="AR9" s="109">
        <v>36999</v>
      </c>
      <c r="AS9" s="109">
        <v>45409</v>
      </c>
      <c r="AT9" s="109">
        <v>28277</v>
      </c>
      <c r="AU9" s="109">
        <v>28277</v>
      </c>
      <c r="AV9" s="109">
        <v>34044</v>
      </c>
      <c r="AW9" s="121">
        <v>35149</v>
      </c>
      <c r="AX9" s="109">
        <v>31595</v>
      </c>
      <c r="AY9" s="109">
        <f>'BS - Consolidado'!J26</f>
        <v>43488</v>
      </c>
      <c r="AZ9" s="109">
        <f t="shared" si="0"/>
        <v>43488</v>
      </c>
      <c r="BA9" s="109">
        <f>'BS - Consolidado'!I26</f>
        <v>36174</v>
      </c>
      <c r="BB9" s="219">
        <f>'BS - Consolidado'!H26</f>
        <v>27564</v>
      </c>
      <c r="BC9" s="219">
        <f>'BS - Consolidado'!G26</f>
        <v>27714</v>
      </c>
      <c r="BD9" s="219">
        <f>'BS - Consolidado'!F26</f>
        <v>28669</v>
      </c>
      <c r="BE9" s="219">
        <f t="shared" si="1"/>
        <v>28669</v>
      </c>
      <c r="BF9" s="219">
        <f>'BS - Consolidado'!E26</f>
        <v>34111</v>
      </c>
      <c r="BG9" s="219">
        <f>'BS - Consolidado'!D26</f>
        <v>32634</v>
      </c>
    </row>
    <row r="10" spans="1:271" s="123" customFormat="1" x14ac:dyDescent="0.35">
      <c r="A10" s="111" t="s">
        <v>47</v>
      </c>
      <c r="B10" s="111" t="s">
        <v>502</v>
      </c>
      <c r="C10" s="112">
        <v>17033</v>
      </c>
      <c r="D10" s="112">
        <v>21617</v>
      </c>
      <c r="E10" s="112">
        <v>31903</v>
      </c>
      <c r="F10" s="112">
        <v>102400</v>
      </c>
      <c r="G10" s="112">
        <v>102400</v>
      </c>
      <c r="H10" s="112">
        <v>84564</v>
      </c>
      <c r="I10" s="112">
        <v>81865</v>
      </c>
      <c r="J10" s="112">
        <v>109642</v>
      </c>
      <c r="K10" s="112">
        <v>84622</v>
      </c>
      <c r="L10" s="112">
        <v>84622</v>
      </c>
      <c r="M10" s="112">
        <v>68232</v>
      </c>
      <c r="N10" s="112">
        <v>73379</v>
      </c>
      <c r="O10" s="112">
        <v>81660</v>
      </c>
      <c r="P10" s="112">
        <v>69932</v>
      </c>
      <c r="Q10" s="112">
        <v>69932</v>
      </c>
      <c r="R10" s="112">
        <v>80354</v>
      </c>
      <c r="S10" s="112">
        <v>104420</v>
      </c>
      <c r="T10" s="112">
        <v>94910</v>
      </c>
      <c r="U10" s="112">
        <v>77736</v>
      </c>
      <c r="V10" s="112">
        <v>77736</v>
      </c>
      <c r="W10" s="112">
        <v>88246</v>
      </c>
      <c r="X10" s="112">
        <v>105689</v>
      </c>
      <c r="Y10" s="112">
        <v>114226</v>
      </c>
      <c r="Z10" s="112">
        <v>109565</v>
      </c>
      <c r="AA10" s="112">
        <v>109565</v>
      </c>
      <c r="AB10" s="112">
        <v>111081</v>
      </c>
      <c r="AC10" s="112">
        <v>105581</v>
      </c>
      <c r="AD10" s="112">
        <v>124480</v>
      </c>
      <c r="AE10" s="112">
        <v>113007</v>
      </c>
      <c r="AF10" s="112">
        <v>113007</v>
      </c>
      <c r="AG10" s="112">
        <v>149793</v>
      </c>
      <c r="AH10" s="112">
        <v>155257</v>
      </c>
      <c r="AI10" s="112">
        <v>29566</v>
      </c>
      <c r="AJ10" s="112">
        <v>31949</v>
      </c>
      <c r="AK10" s="112">
        <v>31949</v>
      </c>
      <c r="AL10" s="112">
        <v>27830</v>
      </c>
      <c r="AM10" s="112">
        <v>33219</v>
      </c>
      <c r="AN10" s="112">
        <v>38514</v>
      </c>
      <c r="AO10" s="112">
        <v>152952</v>
      </c>
      <c r="AP10" s="112">
        <v>152952</v>
      </c>
      <c r="AQ10" s="112">
        <v>142880</v>
      </c>
      <c r="AR10" s="112">
        <v>171178</v>
      </c>
      <c r="AS10" s="112">
        <v>189175</v>
      </c>
      <c r="AT10" s="112">
        <v>144175</v>
      </c>
      <c r="AU10" s="112">
        <v>144175</v>
      </c>
      <c r="AV10" s="112">
        <v>151250</v>
      </c>
      <c r="AW10" s="122">
        <v>182952</v>
      </c>
      <c r="AX10" s="112">
        <v>203096</v>
      </c>
      <c r="AY10" s="112">
        <f>'BS - Consolidado'!J25</f>
        <v>166556</v>
      </c>
      <c r="AZ10" s="112">
        <f t="shared" si="0"/>
        <v>166556</v>
      </c>
      <c r="BA10" s="112">
        <f>'BS - Consolidado'!I25</f>
        <v>151051</v>
      </c>
      <c r="BB10" s="220">
        <f>'BS - Consolidado'!H25</f>
        <v>180331</v>
      </c>
      <c r="BC10" s="220">
        <f>'BS - Consolidado'!G25</f>
        <v>212627</v>
      </c>
      <c r="BD10" s="220">
        <f>'BS - Consolidado'!F25</f>
        <v>198934</v>
      </c>
      <c r="BE10" s="220">
        <f t="shared" si="1"/>
        <v>198934</v>
      </c>
      <c r="BF10" s="220">
        <f>'BS - Consolidado'!E25</f>
        <v>186206</v>
      </c>
      <c r="BG10" s="220">
        <f>'BS - Consolidado'!D25</f>
        <v>228782</v>
      </c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  <c r="EY10" s="34"/>
      <c r="EZ10" s="34"/>
      <c r="FA10" s="34"/>
      <c r="FB10" s="34"/>
      <c r="FC10" s="34"/>
      <c r="FD10" s="34"/>
      <c r="FE10" s="34"/>
      <c r="FF10" s="34"/>
      <c r="FG10" s="34"/>
      <c r="FH10" s="34"/>
      <c r="FI10" s="34"/>
      <c r="FJ10" s="34"/>
      <c r="FK10" s="34"/>
      <c r="FL10" s="34"/>
      <c r="FM10" s="34"/>
      <c r="FN10" s="34"/>
      <c r="FO10" s="34"/>
      <c r="FP10" s="34"/>
      <c r="FQ10" s="34"/>
      <c r="FR10" s="34"/>
      <c r="FS10" s="34"/>
      <c r="FT10" s="34"/>
      <c r="FU10" s="34"/>
      <c r="FV10" s="34"/>
      <c r="FW10" s="34"/>
      <c r="FX10" s="34"/>
      <c r="FY10" s="34"/>
      <c r="FZ10" s="34"/>
      <c r="GA10" s="34"/>
      <c r="GB10" s="34"/>
      <c r="GC10" s="34"/>
      <c r="GD10" s="34"/>
      <c r="GE10" s="34"/>
      <c r="GF10" s="34"/>
      <c r="GG10" s="34"/>
      <c r="GH10" s="34"/>
      <c r="GI10" s="34"/>
      <c r="GJ10" s="34"/>
      <c r="GK10" s="34"/>
      <c r="GL10" s="34"/>
      <c r="GM10" s="34"/>
      <c r="GN10" s="34"/>
      <c r="GO10" s="34"/>
      <c r="GP10" s="34"/>
      <c r="GQ10" s="34"/>
      <c r="GR10" s="34"/>
      <c r="GS10" s="34"/>
      <c r="GT10" s="34"/>
      <c r="GU10" s="34"/>
      <c r="GV10" s="34"/>
      <c r="GW10" s="34"/>
      <c r="GX10" s="34"/>
      <c r="GY10" s="34"/>
      <c r="GZ10" s="34"/>
      <c r="HA10" s="34"/>
      <c r="HB10" s="34"/>
      <c r="HC10" s="34"/>
      <c r="HD10" s="34"/>
      <c r="HE10" s="34"/>
      <c r="HF10" s="34"/>
      <c r="HG10" s="34"/>
      <c r="HH10" s="34"/>
      <c r="HI10" s="34"/>
      <c r="HJ10" s="34"/>
      <c r="HK10" s="34"/>
      <c r="HL10" s="34"/>
      <c r="HM10" s="34"/>
      <c r="HN10" s="34"/>
      <c r="HO10" s="34"/>
      <c r="HP10" s="34"/>
      <c r="HQ10" s="34"/>
      <c r="HR10" s="34"/>
      <c r="HS10" s="34"/>
      <c r="HT10" s="34"/>
      <c r="HU10" s="34"/>
      <c r="HV10" s="34"/>
      <c r="HW10" s="34"/>
      <c r="HX10" s="34"/>
      <c r="HY10" s="34"/>
      <c r="HZ10" s="34"/>
      <c r="IA10" s="34"/>
      <c r="IB10" s="34"/>
      <c r="IC10" s="34"/>
      <c r="ID10" s="34"/>
      <c r="IE10" s="34"/>
      <c r="IF10" s="34"/>
      <c r="IG10" s="34"/>
      <c r="IH10" s="34"/>
      <c r="II10" s="34"/>
      <c r="IJ10" s="34"/>
      <c r="IK10" s="34"/>
      <c r="IL10" s="34"/>
      <c r="IM10" s="34"/>
      <c r="IN10" s="34"/>
      <c r="IO10" s="34"/>
      <c r="IP10" s="34"/>
      <c r="IQ10" s="34"/>
      <c r="IR10" s="34"/>
      <c r="IS10" s="34"/>
      <c r="IT10" s="34"/>
      <c r="IU10" s="34"/>
      <c r="IV10" s="34"/>
      <c r="IW10" s="34"/>
      <c r="IX10" s="34"/>
      <c r="IY10" s="34"/>
      <c r="IZ10" s="34"/>
      <c r="JA10" s="34"/>
      <c r="JB10" s="34"/>
      <c r="JC10" s="34"/>
      <c r="JD10" s="34"/>
      <c r="JE10" s="34"/>
      <c r="JF10" s="34"/>
      <c r="JG10" s="34"/>
      <c r="JH10" s="34"/>
      <c r="JI10" s="34"/>
      <c r="JJ10" s="34"/>
      <c r="JK10" s="34"/>
    </row>
    <row r="11" spans="1:271" x14ac:dyDescent="0.35">
      <c r="C11" s="114">
        <f>SUM(C4:C10)</f>
        <v>2558834</v>
      </c>
      <c r="D11" s="114">
        <f>SUM(D4:D10)</f>
        <v>2471978</v>
      </c>
      <c r="E11" s="114">
        <f>SUM(E4:E10)</f>
        <v>2927867</v>
      </c>
      <c r="F11" s="114">
        <f t="shared" ref="F11:AZ11" si="2">SUM(F4:F10)</f>
        <v>2727855</v>
      </c>
      <c r="G11" s="114">
        <f t="shared" si="2"/>
        <v>2727855</v>
      </c>
      <c r="H11" s="114">
        <f t="shared" si="2"/>
        <v>2577662</v>
      </c>
      <c r="I11" s="114">
        <f t="shared" si="2"/>
        <v>2433892</v>
      </c>
      <c r="J11" s="114">
        <f t="shared" si="2"/>
        <v>2350119</v>
      </c>
      <c r="K11" s="114">
        <f>SUM(K4:K10)</f>
        <v>2364711</v>
      </c>
      <c r="L11" s="114">
        <f>SUM(L4:L10)</f>
        <v>2364711</v>
      </c>
      <c r="M11" s="114">
        <f t="shared" si="2"/>
        <v>2829063</v>
      </c>
      <c r="N11" s="114">
        <f t="shared" si="2"/>
        <v>3119217</v>
      </c>
      <c r="O11" s="114">
        <f t="shared" si="2"/>
        <v>3014839</v>
      </c>
      <c r="P11" s="114">
        <f t="shared" si="2"/>
        <v>3048763</v>
      </c>
      <c r="Q11" s="114">
        <f t="shared" si="2"/>
        <v>3048763</v>
      </c>
      <c r="R11" s="114">
        <f t="shared" si="2"/>
        <v>3640349</v>
      </c>
      <c r="S11" s="114">
        <f t="shared" si="2"/>
        <v>3562287</v>
      </c>
      <c r="T11" s="114">
        <f t="shared" si="2"/>
        <v>3742941</v>
      </c>
      <c r="U11" s="114">
        <f t="shared" si="2"/>
        <v>3523802</v>
      </c>
      <c r="V11" s="114">
        <v>3523802</v>
      </c>
      <c r="W11" s="114">
        <f t="shared" si="2"/>
        <v>3799311</v>
      </c>
      <c r="X11" s="114">
        <f t="shared" si="2"/>
        <v>3616236</v>
      </c>
      <c r="Y11" s="114">
        <f t="shared" si="2"/>
        <v>3976211</v>
      </c>
      <c r="Z11" s="114">
        <f t="shared" si="2"/>
        <v>3357621</v>
      </c>
      <c r="AA11" s="114">
        <v>3357621</v>
      </c>
      <c r="AB11" s="114">
        <f t="shared" si="2"/>
        <v>4526247</v>
      </c>
      <c r="AC11" s="114">
        <f t="shared" si="2"/>
        <v>4372292</v>
      </c>
      <c r="AD11" s="114">
        <f>SUM(AD4:AD10)</f>
        <v>5278408</v>
      </c>
      <c r="AE11" s="114">
        <f t="shared" si="2"/>
        <v>5161926</v>
      </c>
      <c r="AF11" s="114">
        <v>5161926</v>
      </c>
      <c r="AG11" s="114">
        <f t="shared" si="2"/>
        <v>6054354</v>
      </c>
      <c r="AH11" s="114">
        <f t="shared" si="2"/>
        <v>6208374</v>
      </c>
      <c r="AI11" s="114">
        <f>SUM(AI4:AI10)</f>
        <v>6953970</v>
      </c>
      <c r="AJ11" s="114">
        <f t="shared" si="2"/>
        <v>6847514</v>
      </c>
      <c r="AK11" s="114">
        <f t="shared" ref="AK11" si="3">SUM(AK4:AK10)</f>
        <v>6847514</v>
      </c>
      <c r="AL11" s="114">
        <f t="shared" si="2"/>
        <v>6961435</v>
      </c>
      <c r="AM11" s="114">
        <f t="shared" si="2"/>
        <v>7797654</v>
      </c>
      <c r="AN11" s="114">
        <f t="shared" si="2"/>
        <v>8021306</v>
      </c>
      <c r="AO11" s="114">
        <f t="shared" si="2"/>
        <v>7886325</v>
      </c>
      <c r="AP11" s="114">
        <v>7886325</v>
      </c>
      <c r="AQ11" s="114">
        <f t="shared" si="2"/>
        <v>8349571</v>
      </c>
      <c r="AR11" s="114">
        <f t="shared" si="2"/>
        <v>7448283</v>
      </c>
      <c r="AS11" s="114">
        <f t="shared" si="2"/>
        <v>8048781</v>
      </c>
      <c r="AT11" s="114">
        <f t="shared" si="2"/>
        <v>7514152</v>
      </c>
      <c r="AU11" s="114">
        <f t="shared" ref="AU11" si="4">SUM(AU4:AU10)</f>
        <v>7514152</v>
      </c>
      <c r="AV11" s="114">
        <f t="shared" si="2"/>
        <v>7232297</v>
      </c>
      <c r="AW11" s="114">
        <f t="shared" si="2"/>
        <v>7499004</v>
      </c>
      <c r="AX11" s="114">
        <f t="shared" si="2"/>
        <v>7479973</v>
      </c>
      <c r="AY11" s="114">
        <f t="shared" si="2"/>
        <v>7390947</v>
      </c>
      <c r="AZ11" s="114">
        <f t="shared" si="2"/>
        <v>7390947</v>
      </c>
      <c r="BA11" s="114">
        <f t="shared" ref="BA11:BB11" si="5">SUM(BA4:BA10)</f>
        <v>7175221</v>
      </c>
      <c r="BB11" s="114">
        <f t="shared" si="5"/>
        <v>6926163</v>
      </c>
      <c r="BC11" s="114">
        <f t="shared" ref="BC11:BD11" si="6">SUM(BC4:BC10)</f>
        <v>6592673</v>
      </c>
      <c r="BD11" s="114">
        <f t="shared" si="6"/>
        <v>6217917</v>
      </c>
      <c r="BE11" s="114">
        <f t="shared" ref="BE11" si="7">SUM(BE4:BE10)</f>
        <v>6217917</v>
      </c>
      <c r="BF11" s="114">
        <f t="shared" ref="BF11:BG11" si="8">SUM(BF4:BF10)</f>
        <v>6730056</v>
      </c>
      <c r="BG11" s="114">
        <f t="shared" si="8"/>
        <v>7132874</v>
      </c>
    </row>
    <row r="12" spans="1:271" x14ac:dyDescent="0.35">
      <c r="F12" s="109"/>
      <c r="G12" s="109"/>
    </row>
    <row r="13" spans="1:271" x14ac:dyDescent="0.35">
      <c r="A13" s="28" t="s">
        <v>584</v>
      </c>
      <c r="B13" s="28" t="s">
        <v>612</v>
      </c>
      <c r="K13" s="109"/>
      <c r="L13" s="109"/>
    </row>
    <row r="14" spans="1:271" s="124" customFormat="1" x14ac:dyDescent="0.35">
      <c r="A14" s="63" t="s">
        <v>666</v>
      </c>
      <c r="B14" s="63" t="s">
        <v>684</v>
      </c>
      <c r="K14" s="125"/>
      <c r="L14" s="125"/>
      <c r="N14" s="109">
        <v>32138</v>
      </c>
      <c r="O14" s="109">
        <v>32987</v>
      </c>
      <c r="P14" s="109">
        <v>31961</v>
      </c>
      <c r="Q14" s="109">
        <v>31961</v>
      </c>
      <c r="R14" s="109">
        <v>32625</v>
      </c>
      <c r="S14" s="109">
        <v>33304</v>
      </c>
      <c r="T14" s="109">
        <v>32612</v>
      </c>
      <c r="U14" s="109">
        <v>32612</v>
      </c>
      <c r="V14" s="109">
        <v>32612</v>
      </c>
      <c r="W14" s="109">
        <v>32571</v>
      </c>
      <c r="X14" s="109">
        <v>32571</v>
      </c>
      <c r="Y14" s="109">
        <v>32571</v>
      </c>
      <c r="Z14" s="109">
        <v>4897</v>
      </c>
      <c r="AA14" s="109">
        <v>4897</v>
      </c>
      <c r="AB14" s="109">
        <v>5288</v>
      </c>
      <c r="AC14" s="109"/>
      <c r="AD14" s="109"/>
      <c r="AE14" s="109"/>
      <c r="AF14" s="109"/>
      <c r="AG14" s="109"/>
      <c r="AH14" s="109"/>
      <c r="AI14" s="109"/>
      <c r="AJ14" s="109"/>
      <c r="AK14" s="109"/>
      <c r="AL14" s="109"/>
      <c r="AM14" s="109"/>
      <c r="AN14" s="109"/>
      <c r="AO14" s="109"/>
      <c r="AP14" s="109"/>
      <c r="AQ14" s="109"/>
      <c r="AR14" s="109"/>
      <c r="AS14" s="109"/>
      <c r="AT14" s="109"/>
      <c r="AU14" s="109"/>
      <c r="AV14" s="109"/>
      <c r="AW14" s="109"/>
      <c r="AX14" s="109"/>
      <c r="AY14" s="109"/>
      <c r="AZ14" s="109"/>
      <c r="BA14" s="109"/>
      <c r="BB14" s="109"/>
      <c r="BC14" s="109"/>
      <c r="BD14" s="109"/>
      <c r="BE14" s="109"/>
      <c r="BF14" s="109"/>
      <c r="BG14" s="109"/>
    </row>
    <row r="15" spans="1:271" s="124" customFormat="1" x14ac:dyDescent="0.35">
      <c r="A15" s="63" t="s">
        <v>668</v>
      </c>
      <c r="B15" s="63" t="s">
        <v>683</v>
      </c>
      <c r="K15" s="125"/>
      <c r="L15" s="125"/>
      <c r="N15" s="109"/>
      <c r="O15" s="109"/>
      <c r="P15" s="109"/>
      <c r="Q15" s="109"/>
      <c r="R15" s="109">
        <v>2285</v>
      </c>
      <c r="S15" s="109"/>
      <c r="T15" s="109"/>
      <c r="U15" s="109"/>
      <c r="V15" s="109"/>
      <c r="W15" s="109">
        <v>0</v>
      </c>
      <c r="X15" s="109"/>
      <c r="Z15" s="109"/>
      <c r="AA15" s="109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9"/>
      <c r="AM15" s="109"/>
      <c r="AN15" s="109"/>
      <c r="AO15" s="109"/>
      <c r="AP15" s="109"/>
      <c r="AQ15" s="109"/>
      <c r="AR15" s="109"/>
      <c r="AS15" s="109"/>
      <c r="AT15" s="109"/>
      <c r="AU15" s="109"/>
      <c r="AV15" s="109"/>
      <c r="AW15" s="109"/>
      <c r="AX15" s="109"/>
      <c r="AY15" s="109"/>
      <c r="AZ15" s="109"/>
      <c r="BA15" s="109"/>
      <c r="BB15" s="109"/>
      <c r="BC15" s="109"/>
      <c r="BD15" s="109"/>
      <c r="BE15" s="109"/>
      <c r="BF15" s="109"/>
      <c r="BG15" s="109"/>
    </row>
    <row r="16" spans="1:271" x14ac:dyDescent="0.35">
      <c r="A16" s="53" t="s">
        <v>81</v>
      </c>
      <c r="B16" s="53" t="s">
        <v>613</v>
      </c>
      <c r="C16" s="109">
        <v>30996</v>
      </c>
      <c r="D16" s="109">
        <v>18391</v>
      </c>
      <c r="E16" s="109">
        <v>16935</v>
      </c>
      <c r="F16" s="109">
        <v>22273</v>
      </c>
      <c r="G16" s="109">
        <v>22273</v>
      </c>
      <c r="H16" s="109">
        <v>23985</v>
      </c>
      <c r="I16" s="109">
        <v>51594</v>
      </c>
      <c r="J16" s="109">
        <v>44057</v>
      </c>
      <c r="K16" s="109">
        <v>34002</v>
      </c>
      <c r="L16" s="109">
        <v>34002</v>
      </c>
      <c r="M16" s="109">
        <v>23236</v>
      </c>
      <c r="N16" s="109">
        <v>20427</v>
      </c>
      <c r="O16" s="109">
        <v>20953</v>
      </c>
      <c r="P16" s="109">
        <v>19435</v>
      </c>
      <c r="Q16" s="109">
        <v>19435</v>
      </c>
      <c r="R16" s="109">
        <v>15997</v>
      </c>
      <c r="S16" s="109">
        <v>18384</v>
      </c>
      <c r="T16" s="109">
        <v>21346</v>
      </c>
      <c r="U16" s="109">
        <v>29189</v>
      </c>
      <c r="V16" s="109">
        <v>29189</v>
      </c>
      <c r="W16" s="109">
        <v>35699</v>
      </c>
      <c r="X16" s="109">
        <v>34388</v>
      </c>
      <c r="Y16" s="109">
        <v>124320</v>
      </c>
      <c r="Z16" s="109">
        <v>166759</v>
      </c>
      <c r="AA16" s="109">
        <v>166759</v>
      </c>
      <c r="AB16" s="109">
        <v>147838</v>
      </c>
      <c r="AC16" s="109">
        <v>150092</v>
      </c>
      <c r="AD16" s="109">
        <v>155498</v>
      </c>
      <c r="AE16" s="109">
        <v>151962</v>
      </c>
      <c r="AF16" s="109">
        <v>151962</v>
      </c>
      <c r="AG16" s="109">
        <v>152278</v>
      </c>
      <c r="AH16" s="109">
        <v>343024</v>
      </c>
      <c r="AI16" s="109">
        <v>368922</v>
      </c>
      <c r="AJ16" s="109">
        <v>370063</v>
      </c>
      <c r="AK16" s="109">
        <v>370063</v>
      </c>
      <c r="AL16" s="109">
        <v>269596</v>
      </c>
      <c r="AM16" s="109">
        <v>285275</v>
      </c>
      <c r="AN16" s="109">
        <v>278300</v>
      </c>
      <c r="AO16" s="109">
        <v>338745</v>
      </c>
      <c r="AP16" s="109">
        <v>338745</v>
      </c>
      <c r="AQ16" s="109">
        <v>283507</v>
      </c>
      <c r="AR16" s="109">
        <v>277106</v>
      </c>
      <c r="AS16" s="109">
        <v>262981</v>
      </c>
      <c r="AT16" s="109">
        <v>234431</v>
      </c>
      <c r="AU16" s="109">
        <v>234431</v>
      </c>
      <c r="AV16" s="109">
        <v>239921</v>
      </c>
      <c r="AW16" s="109">
        <v>243968</v>
      </c>
      <c r="AX16" s="109">
        <v>218371</v>
      </c>
      <c r="AY16" s="109">
        <f>'BS - Consolidado'!J48</f>
        <v>133072</v>
      </c>
      <c r="AZ16" s="109">
        <f t="shared" ref="AZ16:AZ24" si="9">AY16</f>
        <v>133072</v>
      </c>
      <c r="BA16" s="109">
        <f>'BS - Consolidado'!I48</f>
        <v>131897</v>
      </c>
      <c r="BB16" s="109">
        <f>'BS - Consolidado'!H48</f>
        <v>133577</v>
      </c>
      <c r="BC16" s="109">
        <f>'BS - Consolidado'!G48</f>
        <v>135868</v>
      </c>
      <c r="BD16" s="109">
        <f>'BS - Consolidado'!F48</f>
        <v>132726</v>
      </c>
      <c r="BE16" s="109">
        <f t="shared" ref="BE16:BE24" si="10">BD16</f>
        <v>132726</v>
      </c>
      <c r="BF16" s="109">
        <f>'BS - Consolidado'!E48</f>
        <v>134130</v>
      </c>
      <c r="BG16" s="109">
        <f>'BS - Consolidado'!D48</f>
        <v>105970</v>
      </c>
    </row>
    <row r="17" spans="1:271" x14ac:dyDescent="0.35">
      <c r="A17" s="53" t="s">
        <v>585</v>
      </c>
      <c r="B17" s="53" t="s">
        <v>614</v>
      </c>
      <c r="C17" s="109">
        <v>77853</v>
      </c>
      <c r="D17" s="109">
        <v>75698</v>
      </c>
      <c r="E17" s="109">
        <v>91047</v>
      </c>
      <c r="F17" s="109">
        <v>88129</v>
      </c>
      <c r="G17" s="109">
        <v>88129</v>
      </c>
      <c r="H17" s="109">
        <v>113980</v>
      </c>
      <c r="I17" s="109">
        <v>137360</v>
      </c>
      <c r="J17" s="109">
        <v>153040</v>
      </c>
      <c r="K17" s="109">
        <v>188481</v>
      </c>
      <c r="L17" s="109">
        <v>188481</v>
      </c>
      <c r="M17" s="109">
        <v>199984</v>
      </c>
      <c r="N17" s="109">
        <v>209404</v>
      </c>
      <c r="O17" s="109">
        <v>238282</v>
      </c>
      <c r="P17" s="109">
        <v>257236</v>
      </c>
      <c r="Q17" s="109">
        <v>257236</v>
      </c>
      <c r="R17" s="109">
        <v>232465</v>
      </c>
      <c r="S17" s="109">
        <v>236634</v>
      </c>
      <c r="T17" s="109">
        <v>246395</v>
      </c>
      <c r="U17" s="109">
        <v>257517</v>
      </c>
      <c r="V17" s="109">
        <v>257517</v>
      </c>
      <c r="W17" s="109">
        <v>312586</v>
      </c>
      <c r="X17" s="109">
        <v>328681</v>
      </c>
      <c r="Y17" s="109">
        <v>324220</v>
      </c>
      <c r="Z17" s="109">
        <v>306628</v>
      </c>
      <c r="AA17" s="109">
        <v>306628</v>
      </c>
      <c r="AB17" s="109">
        <v>360681</v>
      </c>
      <c r="AC17" s="109">
        <v>444780</v>
      </c>
      <c r="AD17" s="109">
        <v>465290</v>
      </c>
      <c r="AE17" s="109">
        <v>419156</v>
      </c>
      <c r="AF17" s="109">
        <v>419156</v>
      </c>
      <c r="AG17" s="109">
        <v>410705</v>
      </c>
      <c r="AH17" s="109">
        <v>355525</v>
      </c>
      <c r="AI17" s="109">
        <v>365634</v>
      </c>
      <c r="AJ17" s="109">
        <v>323117</v>
      </c>
      <c r="AK17" s="109">
        <v>323117</v>
      </c>
      <c r="AL17" s="109">
        <v>256697</v>
      </c>
      <c r="AM17" s="109">
        <v>243601</v>
      </c>
      <c r="AN17" s="109">
        <v>247107</v>
      </c>
      <c r="AO17" s="109">
        <v>269034</v>
      </c>
      <c r="AP17" s="109">
        <v>269034</v>
      </c>
      <c r="AQ17" s="109">
        <v>255658</v>
      </c>
      <c r="AR17" s="109">
        <v>252275</v>
      </c>
      <c r="AS17" s="109">
        <v>256235</v>
      </c>
      <c r="AT17" s="109">
        <v>255413</v>
      </c>
      <c r="AU17" s="109">
        <v>255413</v>
      </c>
      <c r="AV17" s="109">
        <v>278269</v>
      </c>
      <c r="AW17" s="109">
        <v>292059</v>
      </c>
      <c r="AX17" s="109">
        <v>277657</v>
      </c>
      <c r="AY17" s="109">
        <f>'BS - Consolidado'!J39</f>
        <v>334035</v>
      </c>
      <c r="AZ17" s="109">
        <f t="shared" si="9"/>
        <v>334035</v>
      </c>
      <c r="BA17" s="109">
        <f>'BS - Consolidado'!I39</f>
        <v>309625</v>
      </c>
      <c r="BB17" s="109">
        <f>'BS - Consolidado'!H39</f>
        <v>293892</v>
      </c>
      <c r="BC17" s="109">
        <f>'BS - Consolidado'!G39</f>
        <v>290500</v>
      </c>
      <c r="BD17" s="109">
        <f>'BS - Consolidado'!F39</f>
        <v>284018</v>
      </c>
      <c r="BE17" s="109">
        <f t="shared" si="10"/>
        <v>284018</v>
      </c>
      <c r="BF17" s="109">
        <f>'BS - Consolidado'!E39</f>
        <v>282901</v>
      </c>
      <c r="BG17" s="109">
        <f>'BS - Consolidado'!D39</f>
        <v>302988</v>
      </c>
    </row>
    <row r="18" spans="1:271" x14ac:dyDescent="0.35">
      <c r="A18" s="53" t="s">
        <v>83</v>
      </c>
      <c r="B18" s="53" t="s">
        <v>615</v>
      </c>
      <c r="C18" s="109">
        <v>21430</v>
      </c>
      <c r="D18" s="109">
        <v>25554</v>
      </c>
      <c r="E18" s="109">
        <v>28415</v>
      </c>
      <c r="F18" s="109">
        <v>24324</v>
      </c>
      <c r="G18" s="109">
        <v>24324</v>
      </c>
      <c r="H18" s="109">
        <v>30212</v>
      </c>
      <c r="I18" s="109">
        <v>26793</v>
      </c>
      <c r="J18" s="109">
        <v>30116</v>
      </c>
      <c r="K18" s="109">
        <v>55066</v>
      </c>
      <c r="L18" s="109">
        <v>55066</v>
      </c>
      <c r="M18" s="109">
        <v>54593</v>
      </c>
      <c r="N18" s="109">
        <v>58015</v>
      </c>
      <c r="O18" s="109">
        <v>59010</v>
      </c>
      <c r="P18" s="109">
        <v>61548</v>
      </c>
      <c r="Q18" s="109">
        <v>61548</v>
      </c>
      <c r="R18" s="109">
        <v>63661</v>
      </c>
      <c r="S18" s="109">
        <v>63910</v>
      </c>
      <c r="T18" s="109">
        <v>65117</v>
      </c>
      <c r="U18" s="109">
        <v>59468</v>
      </c>
      <c r="V18" s="109">
        <v>59468</v>
      </c>
      <c r="W18" s="109">
        <v>54421</v>
      </c>
      <c r="X18" s="109">
        <v>55398</v>
      </c>
      <c r="Y18" s="109">
        <v>56554</v>
      </c>
      <c r="Z18" s="109">
        <v>58495</v>
      </c>
      <c r="AA18" s="109">
        <v>58495</v>
      </c>
      <c r="AB18" s="109">
        <v>60673</v>
      </c>
      <c r="AC18" s="109">
        <v>59979</v>
      </c>
      <c r="AD18" s="109">
        <v>54254</v>
      </c>
      <c r="AE18" s="109">
        <v>56466</v>
      </c>
      <c r="AF18" s="109">
        <v>56466</v>
      </c>
      <c r="AG18" s="109">
        <v>56339</v>
      </c>
      <c r="AH18" s="109">
        <v>55601</v>
      </c>
      <c r="AI18" s="109">
        <v>55352</v>
      </c>
      <c r="AJ18" s="109">
        <v>56649</v>
      </c>
      <c r="AK18" s="109">
        <v>56649</v>
      </c>
      <c r="AL18" s="109">
        <v>58212</v>
      </c>
      <c r="AM18" s="109">
        <v>59472</v>
      </c>
      <c r="AN18" s="109">
        <v>61325</v>
      </c>
      <c r="AO18" s="109">
        <v>62618</v>
      </c>
      <c r="AP18" s="109">
        <v>62618</v>
      </c>
      <c r="AQ18" s="109">
        <v>65235</v>
      </c>
      <c r="AR18" s="109">
        <v>67355</v>
      </c>
      <c r="AS18" s="109">
        <v>68735</v>
      </c>
      <c r="AT18" s="109">
        <v>69889</v>
      </c>
      <c r="AU18" s="109">
        <v>69889</v>
      </c>
      <c r="AV18" s="109">
        <v>72589</v>
      </c>
      <c r="AW18" s="109">
        <v>77578</v>
      </c>
      <c r="AX18" s="109">
        <v>77377</v>
      </c>
      <c r="AY18" s="109">
        <f>'BS - Consolidado'!J49</f>
        <v>76742</v>
      </c>
      <c r="AZ18" s="109">
        <f t="shared" si="9"/>
        <v>76742</v>
      </c>
      <c r="BA18" s="109">
        <f>'BS - Consolidado'!I49</f>
        <v>77644</v>
      </c>
      <c r="BB18" s="109">
        <f>'BS - Consolidado'!H49</f>
        <v>78764</v>
      </c>
      <c r="BC18" s="109">
        <f>'BS - Consolidado'!G49</f>
        <v>76270</v>
      </c>
      <c r="BD18" s="109">
        <f>'BS - Consolidado'!F49</f>
        <v>56891</v>
      </c>
      <c r="BE18" s="109">
        <f t="shared" si="10"/>
        <v>56891</v>
      </c>
      <c r="BF18" s="109">
        <f>'BS - Consolidado'!E49</f>
        <v>60070</v>
      </c>
      <c r="BG18" s="109">
        <f>'BS - Consolidado'!D49</f>
        <v>80500</v>
      </c>
    </row>
    <row r="19" spans="1:271" x14ac:dyDescent="0.35">
      <c r="A19" s="53" t="s">
        <v>583</v>
      </c>
      <c r="B19" s="53" t="s">
        <v>611</v>
      </c>
      <c r="C19" s="110" t="s">
        <v>663</v>
      </c>
      <c r="D19" s="109" t="s">
        <v>663</v>
      </c>
      <c r="E19" s="110" t="s">
        <v>663</v>
      </c>
      <c r="F19" s="110" t="s">
        <v>663</v>
      </c>
      <c r="G19" s="110" t="s">
        <v>663</v>
      </c>
      <c r="H19" s="110" t="s">
        <v>663</v>
      </c>
      <c r="I19" s="110" t="s">
        <v>663</v>
      </c>
      <c r="J19" s="110" t="s">
        <v>663</v>
      </c>
      <c r="K19" s="109" t="s">
        <v>663</v>
      </c>
      <c r="L19" s="116" t="s">
        <v>663</v>
      </c>
      <c r="M19" s="116" t="s">
        <v>663</v>
      </c>
      <c r="N19" s="116" t="s">
        <v>663</v>
      </c>
      <c r="O19" s="116" t="s">
        <v>663</v>
      </c>
      <c r="P19" s="116" t="s">
        <v>663</v>
      </c>
      <c r="Q19" s="116" t="s">
        <v>663</v>
      </c>
      <c r="R19" s="116" t="s">
        <v>663</v>
      </c>
      <c r="S19" s="116" t="s">
        <v>663</v>
      </c>
      <c r="T19" s="116" t="s">
        <v>663</v>
      </c>
      <c r="U19" s="116" t="s">
        <v>663</v>
      </c>
      <c r="V19" s="116" t="s">
        <v>663</v>
      </c>
      <c r="W19" s="116" t="s">
        <v>663</v>
      </c>
      <c r="X19" s="116" t="s">
        <v>663</v>
      </c>
      <c r="Y19" s="116" t="s">
        <v>663</v>
      </c>
      <c r="Z19" s="116" t="s">
        <v>663</v>
      </c>
      <c r="AA19" s="116" t="s">
        <v>663</v>
      </c>
      <c r="AB19" s="116" t="s">
        <v>663</v>
      </c>
      <c r="AC19" s="116" t="s">
        <v>663</v>
      </c>
      <c r="AD19" s="116" t="s">
        <v>663</v>
      </c>
      <c r="AE19" s="116" t="s">
        <v>663</v>
      </c>
      <c r="AF19" s="116" t="s">
        <v>663</v>
      </c>
      <c r="AG19" s="109"/>
      <c r="AH19" s="109">
        <v>10718</v>
      </c>
      <c r="AI19" s="109">
        <v>65137</v>
      </c>
      <c r="AJ19" s="109">
        <v>112730</v>
      </c>
      <c r="AK19" s="109">
        <v>112730</v>
      </c>
      <c r="AL19" s="109">
        <v>131418</v>
      </c>
      <c r="AM19" s="109">
        <v>279288</v>
      </c>
      <c r="AN19" s="109">
        <v>398905</v>
      </c>
      <c r="AO19" s="109">
        <v>258780</v>
      </c>
      <c r="AP19" s="109">
        <v>258780</v>
      </c>
      <c r="AQ19" s="109">
        <v>223748</v>
      </c>
      <c r="AR19" s="109">
        <v>170679</v>
      </c>
      <c r="AS19" s="109">
        <v>202434</v>
      </c>
      <c r="AT19" s="109">
        <v>119229</v>
      </c>
      <c r="AU19" s="109">
        <v>119229</v>
      </c>
      <c r="AV19" s="109">
        <v>153191</v>
      </c>
      <c r="AW19" s="109">
        <v>182659</v>
      </c>
      <c r="AX19" s="109">
        <v>141559</v>
      </c>
      <c r="AY19" s="109">
        <f>'BS - Consolidado'!J51</f>
        <v>244805</v>
      </c>
      <c r="AZ19" s="109">
        <f t="shared" si="9"/>
        <v>244805</v>
      </c>
      <c r="BA19" s="109">
        <f>'BS - Consolidado'!I51</f>
        <v>194373</v>
      </c>
      <c r="BB19" s="109">
        <f>'BS - Consolidado'!H51</f>
        <v>32502</v>
      </c>
      <c r="BC19" s="109">
        <f>'BS - Consolidado'!G51</f>
        <v>49376</v>
      </c>
      <c r="BD19" s="109">
        <f>'BS - Consolidado'!F51</f>
        <v>45656</v>
      </c>
      <c r="BE19" s="109">
        <f t="shared" si="10"/>
        <v>45656</v>
      </c>
      <c r="BF19" s="109">
        <f>'BS - Consolidado'!E51</f>
        <v>87778</v>
      </c>
      <c r="BG19" s="109">
        <f>'BS - Consolidado'!D51</f>
        <v>77466</v>
      </c>
    </row>
    <row r="20" spans="1:271" x14ac:dyDescent="0.35">
      <c r="A20" s="53" t="s">
        <v>47</v>
      </c>
      <c r="B20" s="53" t="s">
        <v>616</v>
      </c>
      <c r="C20" s="109">
        <v>4711</v>
      </c>
      <c r="D20" s="109">
        <v>10258</v>
      </c>
      <c r="E20" s="109">
        <v>17866</v>
      </c>
      <c r="F20" s="109">
        <v>9484</v>
      </c>
      <c r="G20" s="109">
        <v>9484</v>
      </c>
      <c r="H20" s="109">
        <v>18320</v>
      </c>
      <c r="I20" s="109">
        <v>4517</v>
      </c>
      <c r="J20" s="109">
        <v>6502</v>
      </c>
      <c r="K20" s="109">
        <v>11504</v>
      </c>
      <c r="L20" s="109">
        <v>11504</v>
      </c>
      <c r="M20" s="109">
        <v>11574</v>
      </c>
      <c r="N20" s="109">
        <v>11418</v>
      </c>
      <c r="O20" s="109">
        <v>6022</v>
      </c>
      <c r="P20" s="109">
        <v>12451</v>
      </c>
      <c r="Q20" s="109">
        <v>12451</v>
      </c>
      <c r="R20" s="109">
        <v>5202</v>
      </c>
      <c r="S20" s="109">
        <v>5138</v>
      </c>
      <c r="T20" s="109">
        <v>4819</v>
      </c>
      <c r="U20" s="109">
        <v>4394</v>
      </c>
      <c r="V20" s="109">
        <v>4394</v>
      </c>
      <c r="W20" s="109">
        <v>4881</v>
      </c>
      <c r="X20" s="109">
        <v>3736</v>
      </c>
      <c r="Y20" s="109">
        <v>3621</v>
      </c>
      <c r="Z20" s="109">
        <v>1520</v>
      </c>
      <c r="AA20" s="109">
        <v>1520</v>
      </c>
      <c r="AB20" s="109">
        <v>1374</v>
      </c>
      <c r="AC20" s="109">
        <v>1217</v>
      </c>
      <c r="AD20" s="109">
        <v>1217</v>
      </c>
      <c r="AE20" s="109">
        <v>2046</v>
      </c>
      <c r="AF20" s="109">
        <v>2046</v>
      </c>
      <c r="AG20" s="109">
        <v>2107</v>
      </c>
      <c r="AH20" s="109">
        <v>972</v>
      </c>
      <c r="AI20" s="109">
        <v>662</v>
      </c>
      <c r="AJ20" s="109">
        <v>16056</v>
      </c>
      <c r="AK20" s="109">
        <v>16056</v>
      </c>
      <c r="AL20" s="109">
        <v>13102</v>
      </c>
      <c r="AM20" s="109">
        <v>81452</v>
      </c>
      <c r="AN20" s="109">
        <v>84233</v>
      </c>
      <c r="AO20" s="109">
        <v>74127</v>
      </c>
      <c r="AP20" s="109">
        <v>74127</v>
      </c>
      <c r="AQ20" s="109">
        <v>73893</v>
      </c>
      <c r="AR20" s="109">
        <v>104684</v>
      </c>
      <c r="AS20" s="109">
        <v>111706</v>
      </c>
      <c r="AT20" s="109">
        <v>93672</v>
      </c>
      <c r="AU20" s="109">
        <v>93672</v>
      </c>
      <c r="AV20" s="109">
        <v>104285</v>
      </c>
      <c r="AW20" s="109">
        <v>115914</v>
      </c>
      <c r="AX20" s="109">
        <v>113659</v>
      </c>
      <c r="AY20" s="109">
        <f>'BS - Consolidado'!J50</f>
        <v>130095</v>
      </c>
      <c r="AZ20" s="109">
        <f t="shared" si="9"/>
        <v>130095</v>
      </c>
      <c r="BA20" s="109">
        <f>'BS - Consolidado'!I50</f>
        <v>131332</v>
      </c>
      <c r="BB20" s="109">
        <f>'BS - Consolidado'!H50</f>
        <v>129776</v>
      </c>
      <c r="BC20" s="109">
        <f>'BS - Consolidado'!G50</f>
        <v>133919</v>
      </c>
      <c r="BD20" s="109">
        <f>'BS - Consolidado'!F50</f>
        <v>150209</v>
      </c>
      <c r="BE20" s="109">
        <f t="shared" si="10"/>
        <v>150209</v>
      </c>
      <c r="BF20" s="109">
        <f>'BS - Consolidado'!E50</f>
        <v>139546</v>
      </c>
      <c r="BG20" s="109">
        <f>'BS - Consolidado'!D50</f>
        <v>159992</v>
      </c>
    </row>
    <row r="21" spans="1:271" x14ac:dyDescent="0.35">
      <c r="A21" s="53" t="s">
        <v>88</v>
      </c>
      <c r="B21" s="53" t="s">
        <v>617</v>
      </c>
      <c r="C21" s="109">
        <v>13390</v>
      </c>
      <c r="D21" s="109">
        <v>78816</v>
      </c>
      <c r="E21" s="109">
        <v>82081</v>
      </c>
      <c r="F21" s="109">
        <v>73020</v>
      </c>
      <c r="G21" s="109">
        <v>73020</v>
      </c>
      <c r="H21" s="109">
        <v>99599</v>
      </c>
      <c r="I21" s="109">
        <v>98945</v>
      </c>
      <c r="J21" s="109">
        <v>85548</v>
      </c>
      <c r="K21" s="109">
        <v>81425</v>
      </c>
      <c r="L21" s="109">
        <v>81425</v>
      </c>
      <c r="M21" s="109">
        <v>86604</v>
      </c>
      <c r="N21" s="109">
        <v>62593</v>
      </c>
      <c r="O21" s="109">
        <v>59652</v>
      </c>
      <c r="P21" s="109">
        <v>47339</v>
      </c>
      <c r="Q21" s="109">
        <v>47339</v>
      </c>
      <c r="R21" s="109">
        <v>50052</v>
      </c>
      <c r="S21" s="109">
        <v>43090</v>
      </c>
      <c r="T21" s="109">
        <v>40726</v>
      </c>
      <c r="U21" s="109">
        <v>46803</v>
      </c>
      <c r="V21" s="109">
        <v>46803</v>
      </c>
      <c r="W21" s="109">
        <v>39655</v>
      </c>
      <c r="X21" s="109">
        <v>37768</v>
      </c>
      <c r="Y21" s="109">
        <v>67979</v>
      </c>
      <c r="Z21" s="109">
        <v>74612</v>
      </c>
      <c r="AA21" s="109">
        <v>74612</v>
      </c>
      <c r="AB21" s="109">
        <v>91571</v>
      </c>
      <c r="AC21" s="109">
        <v>93706</v>
      </c>
      <c r="AD21" s="109">
        <v>97383</v>
      </c>
      <c r="AE21" s="109">
        <v>95283</v>
      </c>
      <c r="AF21" s="109">
        <v>95283</v>
      </c>
      <c r="AG21" s="109">
        <v>102535</v>
      </c>
      <c r="AH21" s="109">
        <v>101125</v>
      </c>
      <c r="AI21" s="109">
        <v>114411</v>
      </c>
      <c r="AJ21" s="109">
        <v>138834</v>
      </c>
      <c r="AK21" s="109">
        <v>138834</v>
      </c>
      <c r="AL21" s="109">
        <v>128601</v>
      </c>
      <c r="AM21" s="109">
        <v>132510</v>
      </c>
      <c r="AN21" s="109">
        <v>133444</v>
      </c>
      <c r="AO21" s="109">
        <v>129203</v>
      </c>
      <c r="AP21" s="109">
        <v>129203</v>
      </c>
      <c r="AQ21" s="109">
        <v>127862</v>
      </c>
      <c r="AR21" s="109">
        <v>148090</v>
      </c>
      <c r="AS21" s="109">
        <v>141801</v>
      </c>
      <c r="AT21" s="109">
        <v>159767</v>
      </c>
      <c r="AU21" s="109">
        <v>159767</v>
      </c>
      <c r="AV21" s="109">
        <v>155270</v>
      </c>
      <c r="AW21" s="109">
        <v>170435</v>
      </c>
      <c r="AX21" s="109">
        <v>187943</v>
      </c>
      <c r="AY21" s="109">
        <f>'BS - Consolidado'!J52</f>
        <v>230043</v>
      </c>
      <c r="AZ21" s="109">
        <f t="shared" si="9"/>
        <v>230043</v>
      </c>
      <c r="BA21" s="109">
        <f>'BS - Consolidado'!I52</f>
        <v>222190</v>
      </c>
      <c r="BB21" s="109">
        <f>'BS - Consolidado'!H52</f>
        <v>222967</v>
      </c>
      <c r="BC21" s="109">
        <f>'BS - Consolidado'!G52</f>
        <v>213400</v>
      </c>
      <c r="BD21" s="109">
        <f>'BS - Consolidado'!F52</f>
        <v>295306</v>
      </c>
      <c r="BE21" s="109">
        <f t="shared" si="10"/>
        <v>295306</v>
      </c>
      <c r="BF21" s="109">
        <f>'BS - Consolidado'!E52</f>
        <v>295222</v>
      </c>
      <c r="BG21" s="109">
        <f>'BS - Consolidado'!D52</f>
        <v>189146</v>
      </c>
    </row>
    <row r="22" spans="1:271" x14ac:dyDescent="0.35">
      <c r="A22" s="53" t="s">
        <v>99</v>
      </c>
      <c r="B22" s="53" t="s">
        <v>618</v>
      </c>
      <c r="C22" s="109">
        <v>2965850</v>
      </c>
      <c r="D22" s="109">
        <v>2933474</v>
      </c>
      <c r="E22" s="109">
        <v>3419877</v>
      </c>
      <c r="F22" s="109">
        <v>3358914</v>
      </c>
      <c r="G22" s="109">
        <v>3358914</v>
      </c>
      <c r="H22" s="109">
        <v>3157459</v>
      </c>
      <c r="I22" s="109">
        <v>2910615</v>
      </c>
      <c r="J22" s="109">
        <v>2949578</v>
      </c>
      <c r="K22" s="109">
        <v>2919881</v>
      </c>
      <c r="L22" s="109">
        <v>2919881</v>
      </c>
      <c r="M22" s="109">
        <v>2858422</v>
      </c>
      <c r="N22" s="109">
        <v>2960084</v>
      </c>
      <c r="O22" s="109">
        <v>2878626</v>
      </c>
      <c r="P22" s="109">
        <v>3023091</v>
      </c>
      <c r="Q22" s="109">
        <v>3023091</v>
      </c>
      <c r="R22" s="109">
        <v>3039531</v>
      </c>
      <c r="S22" s="109">
        <v>3289869</v>
      </c>
      <c r="T22" s="109">
        <v>3369818</v>
      </c>
      <c r="U22" s="109">
        <v>3398325</v>
      </c>
      <c r="V22" s="109">
        <v>3398325</v>
      </c>
      <c r="W22" s="109">
        <v>3411159</v>
      </c>
      <c r="X22" s="109">
        <v>3404563</v>
      </c>
      <c r="Y22" s="109">
        <v>3568801</v>
      </c>
      <c r="Z22" s="109">
        <v>3590747</v>
      </c>
      <c r="AA22" s="109">
        <v>3590747</v>
      </c>
      <c r="AB22" s="109">
        <v>4234363</v>
      </c>
      <c r="AC22" s="109">
        <v>4372430</v>
      </c>
      <c r="AD22" s="109">
        <v>4505066</v>
      </c>
      <c r="AE22" s="109">
        <v>4237764</v>
      </c>
      <c r="AF22" s="109">
        <v>4237764</v>
      </c>
      <c r="AG22" s="109">
        <v>4389253</v>
      </c>
      <c r="AH22" s="109">
        <v>3939697</v>
      </c>
      <c r="AI22" s="109">
        <v>4139906</v>
      </c>
      <c r="AJ22" s="109">
        <v>4253134</v>
      </c>
      <c r="AK22" s="109">
        <v>4253134</v>
      </c>
      <c r="AL22" s="109">
        <v>3723126</v>
      </c>
      <c r="AM22" s="109">
        <v>3919901</v>
      </c>
      <c r="AN22" s="109">
        <v>3898889</v>
      </c>
      <c r="AO22" s="109">
        <v>4043815</v>
      </c>
      <c r="AP22" s="109">
        <v>4043815</v>
      </c>
      <c r="AQ22" s="109">
        <v>3968305</v>
      </c>
      <c r="AR22" s="109">
        <v>3849102</v>
      </c>
      <c r="AS22" s="109">
        <v>3942344</v>
      </c>
      <c r="AT22" s="109">
        <v>4043995</v>
      </c>
      <c r="AU22" s="109">
        <v>4043995</v>
      </c>
      <c r="AV22" s="109">
        <v>4094019</v>
      </c>
      <c r="AW22" s="109">
        <v>4442430</v>
      </c>
      <c r="AX22" s="109">
        <v>4527119</v>
      </c>
      <c r="AY22" s="109">
        <f>'BS - Consolidado'!J59+'BS - Consolidado'!J61</f>
        <v>4968505</v>
      </c>
      <c r="AZ22" s="109">
        <f t="shared" si="9"/>
        <v>4968505</v>
      </c>
      <c r="BA22" s="109">
        <f>'BS - Consolidado'!I59+'BS - Consolidado'!I61</f>
        <v>4750824</v>
      </c>
      <c r="BB22" s="109">
        <f>'BS - Consolidado'!H59+'BS - Consolidado'!H61</f>
        <v>4752826</v>
      </c>
      <c r="BC22" s="109">
        <f>'BS - Consolidado'!G59+'BS - Consolidado'!G61</f>
        <v>4676676</v>
      </c>
      <c r="BD22" s="109">
        <f>'BS - Consolidado'!F59+'BS - Consolidado'!F61</f>
        <v>4841597</v>
      </c>
      <c r="BE22" s="109">
        <f t="shared" si="10"/>
        <v>4841597</v>
      </c>
      <c r="BF22" s="109">
        <f>'BS - Consolidado'!E59+'BS - Consolidado'!E61</f>
        <v>4609028</v>
      </c>
      <c r="BG22" s="109">
        <f>'BS - Consolidado'!D59+'BS - Consolidado'!D61</f>
        <v>4591055</v>
      </c>
    </row>
    <row r="23" spans="1:271" x14ac:dyDescent="0.35">
      <c r="A23" s="53" t="s">
        <v>107</v>
      </c>
      <c r="B23" s="53" t="s">
        <v>619</v>
      </c>
      <c r="C23" s="109">
        <v>1384304</v>
      </c>
      <c r="D23" s="109">
        <v>1338076</v>
      </c>
      <c r="E23" s="109">
        <v>1704383</v>
      </c>
      <c r="F23" s="109">
        <v>1686380</v>
      </c>
      <c r="G23" s="109">
        <v>1686380</v>
      </c>
      <c r="H23" s="109">
        <v>1537028</v>
      </c>
      <c r="I23" s="109">
        <v>1386501</v>
      </c>
      <c r="J23" s="109">
        <v>1399440</v>
      </c>
      <c r="K23" s="109">
        <v>1402045</v>
      </c>
      <c r="L23" s="109">
        <v>1402045</v>
      </c>
      <c r="M23" s="109">
        <v>1361066</v>
      </c>
      <c r="N23" s="109">
        <v>1419257</v>
      </c>
      <c r="O23" s="109">
        <v>1361454</v>
      </c>
      <c r="P23" s="109">
        <v>1420424</v>
      </c>
      <c r="Q23" s="109">
        <v>1420424</v>
      </c>
      <c r="R23" s="109">
        <v>1428183</v>
      </c>
      <c r="S23" s="109">
        <v>1652870</v>
      </c>
      <c r="T23" s="109">
        <v>1716135</v>
      </c>
      <c r="U23" s="109">
        <v>1667080</v>
      </c>
      <c r="V23" s="109">
        <v>1667080</v>
      </c>
      <c r="W23" s="109">
        <v>1678263</v>
      </c>
      <c r="X23" s="109">
        <v>1651821</v>
      </c>
      <c r="Y23" s="109">
        <v>1788900</v>
      </c>
      <c r="Z23" s="109">
        <v>1740135</v>
      </c>
      <c r="AA23" s="109">
        <v>1740135</v>
      </c>
      <c r="AB23" s="109">
        <v>2223453</v>
      </c>
      <c r="AC23" s="109">
        <v>2334121</v>
      </c>
      <c r="AD23" s="109">
        <v>2397686</v>
      </c>
      <c r="AE23" s="109">
        <v>2219880</v>
      </c>
      <c r="AF23" s="109">
        <v>2219880</v>
      </c>
      <c r="AG23" s="109">
        <v>2420960</v>
      </c>
      <c r="AH23" s="109">
        <v>2137136</v>
      </c>
      <c r="AI23" s="109">
        <v>2309567</v>
      </c>
      <c r="AJ23" s="109">
        <v>2348415</v>
      </c>
      <c r="AK23" s="109">
        <v>2348415</v>
      </c>
      <c r="AL23" s="109">
        <v>1971695</v>
      </c>
      <c r="AM23" s="109">
        <v>2078537</v>
      </c>
      <c r="AN23" s="109">
        <v>2039454</v>
      </c>
      <c r="AO23" s="109">
        <v>2085571</v>
      </c>
      <c r="AP23" s="109">
        <v>2085571</v>
      </c>
      <c r="AQ23" s="109">
        <v>2053043</v>
      </c>
      <c r="AR23" s="109">
        <v>1951142</v>
      </c>
      <c r="AS23" s="109">
        <v>1979396</v>
      </c>
      <c r="AT23" s="109">
        <v>1969307</v>
      </c>
      <c r="AU23" s="109">
        <v>1969307</v>
      </c>
      <c r="AV23" s="109">
        <v>1992052</v>
      </c>
      <c r="AW23" s="109">
        <v>2185849</v>
      </c>
      <c r="AX23" s="109">
        <v>2200702</v>
      </c>
      <c r="AY23" s="109">
        <f>'BS - Consolidado'!J62</f>
        <v>2360020</v>
      </c>
      <c r="AZ23" s="109">
        <f t="shared" si="9"/>
        <v>2360020</v>
      </c>
      <c r="BA23" s="109">
        <f>'BS - Consolidado'!I62</f>
        <v>2244031</v>
      </c>
      <c r="BB23" s="109">
        <f>'BS - Consolidado'!H62</f>
        <v>2261408</v>
      </c>
      <c r="BC23" s="109">
        <f>'BS - Consolidado'!G62</f>
        <v>2194315</v>
      </c>
      <c r="BD23" s="109">
        <f>'BS - Consolidado'!F62</f>
        <v>2263699</v>
      </c>
      <c r="BE23" s="109">
        <f t="shared" si="10"/>
        <v>2263699</v>
      </c>
      <c r="BF23" s="109">
        <f>'BS - Consolidado'!E62</f>
        <v>2114215</v>
      </c>
      <c r="BG23" s="109">
        <f>'BS - Consolidado'!D62</f>
        <v>2188299</v>
      </c>
    </row>
    <row r="24" spans="1:271" s="123" customFormat="1" x14ac:dyDescent="0.35">
      <c r="A24" s="53" t="s">
        <v>586</v>
      </c>
      <c r="B24" s="53" t="s">
        <v>620</v>
      </c>
      <c r="C24" s="34" t="s">
        <v>663</v>
      </c>
      <c r="D24" s="126" t="s">
        <v>663</v>
      </c>
      <c r="E24" s="34" t="s">
        <v>663</v>
      </c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109">
        <v>71597</v>
      </c>
      <c r="X24" s="109">
        <v>71588</v>
      </c>
      <c r="Y24" s="109">
        <v>79348</v>
      </c>
      <c r="Z24" s="109">
        <v>73997</v>
      </c>
      <c r="AA24" s="109">
        <v>73997</v>
      </c>
      <c r="AB24" s="109">
        <v>65689</v>
      </c>
      <c r="AC24" s="109">
        <v>63970</v>
      </c>
      <c r="AD24" s="109">
        <v>55598</v>
      </c>
      <c r="AE24" s="109">
        <v>67320</v>
      </c>
      <c r="AF24" s="109">
        <v>67320</v>
      </c>
      <c r="AG24" s="109">
        <v>63701</v>
      </c>
      <c r="AH24" s="109">
        <v>51106</v>
      </c>
      <c r="AI24" s="109">
        <v>57912</v>
      </c>
      <c r="AJ24" s="109">
        <v>53018</v>
      </c>
      <c r="AK24" s="109">
        <v>53018</v>
      </c>
      <c r="AL24" s="109">
        <v>38967</v>
      </c>
      <c r="AM24" s="109">
        <v>36645</v>
      </c>
      <c r="AN24" s="109">
        <v>34733</v>
      </c>
      <c r="AO24" s="109">
        <v>47237</v>
      </c>
      <c r="AP24" s="109">
        <v>47237</v>
      </c>
      <c r="AQ24" s="109">
        <v>66831</v>
      </c>
      <c r="AR24" s="109">
        <v>61509</v>
      </c>
      <c r="AS24" s="109">
        <v>65829</v>
      </c>
      <c r="AT24" s="109">
        <v>74261</v>
      </c>
      <c r="AU24" s="109">
        <v>74261</v>
      </c>
      <c r="AV24" s="109">
        <v>81410</v>
      </c>
      <c r="AW24" s="109">
        <v>83773</v>
      </c>
      <c r="AX24" s="109">
        <v>84147</v>
      </c>
      <c r="AY24" s="109">
        <f>'BS - Consolidado'!J60</f>
        <v>93107</v>
      </c>
      <c r="AZ24" s="109">
        <f t="shared" si="9"/>
        <v>93107</v>
      </c>
      <c r="BA24" s="109">
        <f>'BS - Consolidado'!I60</f>
        <v>92002</v>
      </c>
      <c r="BB24" s="109">
        <f>'BS - Consolidado'!H60</f>
        <v>88176</v>
      </c>
      <c r="BC24" s="109">
        <f>'BS - Consolidado'!G60</f>
        <v>89676</v>
      </c>
      <c r="BD24" s="109">
        <f>'BS - Consolidado'!F60</f>
        <v>104465</v>
      </c>
      <c r="BE24" s="109">
        <f t="shared" si="10"/>
        <v>104465</v>
      </c>
      <c r="BF24" s="109">
        <f>'BS - Consolidado'!E60</f>
        <v>102587</v>
      </c>
      <c r="BG24" s="109">
        <f>'BS - Consolidado'!D60</f>
        <v>99337</v>
      </c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34"/>
      <c r="CN24" s="34"/>
      <c r="CO24" s="34"/>
      <c r="CP24" s="34"/>
      <c r="CQ24" s="34"/>
      <c r="CR24" s="34"/>
      <c r="CS24" s="34"/>
      <c r="CT24" s="34"/>
      <c r="CU24" s="34"/>
      <c r="CV24" s="34"/>
      <c r="CW24" s="34"/>
      <c r="CX24" s="34"/>
      <c r="CY24" s="34"/>
      <c r="CZ24" s="34"/>
      <c r="DA24" s="34"/>
      <c r="DB24" s="34"/>
      <c r="DC24" s="34"/>
      <c r="DD24" s="34"/>
      <c r="DE24" s="34"/>
      <c r="DF24" s="34"/>
      <c r="DG24" s="34"/>
      <c r="DH24" s="34"/>
      <c r="DI24" s="34"/>
      <c r="DJ24" s="34"/>
      <c r="DK24" s="34"/>
      <c r="DL24" s="34"/>
      <c r="DM24" s="34"/>
      <c r="DN24" s="34"/>
      <c r="DO24" s="34"/>
      <c r="DP24" s="34"/>
      <c r="DQ24" s="34"/>
      <c r="DR24" s="34"/>
      <c r="DS24" s="34"/>
      <c r="DT24" s="34"/>
      <c r="DU24" s="34"/>
      <c r="DV24" s="34"/>
      <c r="DW24" s="34"/>
      <c r="DX24" s="34"/>
      <c r="DY24" s="34"/>
      <c r="DZ24" s="34"/>
      <c r="EA24" s="34"/>
      <c r="EB24" s="34"/>
      <c r="EC24" s="34"/>
      <c r="ED24" s="34"/>
      <c r="EE24" s="34"/>
      <c r="EF24" s="34"/>
      <c r="EG24" s="34"/>
      <c r="EH24" s="34"/>
      <c r="EI24" s="34"/>
      <c r="EJ24" s="34"/>
      <c r="EK24" s="34"/>
      <c r="EL24" s="34"/>
      <c r="EM24" s="34"/>
      <c r="EN24" s="34"/>
      <c r="EO24" s="34"/>
      <c r="EP24" s="34"/>
      <c r="EQ24" s="34"/>
      <c r="ER24" s="34"/>
      <c r="ES24" s="34"/>
      <c r="ET24" s="34"/>
      <c r="EU24" s="34"/>
      <c r="EV24" s="34"/>
      <c r="EW24" s="34"/>
      <c r="EX24" s="34"/>
      <c r="EY24" s="34"/>
      <c r="EZ24" s="34"/>
      <c r="FA24" s="34"/>
      <c r="FB24" s="34"/>
      <c r="FC24" s="34"/>
      <c r="FD24" s="34"/>
      <c r="FE24" s="34"/>
      <c r="FF24" s="34"/>
      <c r="FG24" s="34"/>
      <c r="FH24" s="34"/>
      <c r="FI24" s="34"/>
      <c r="FJ24" s="34"/>
      <c r="FK24" s="34"/>
      <c r="FL24" s="34"/>
      <c r="FM24" s="34"/>
      <c r="FN24" s="34"/>
      <c r="FO24" s="34"/>
      <c r="FP24" s="34"/>
      <c r="FQ24" s="34"/>
      <c r="FR24" s="34"/>
      <c r="FS24" s="34"/>
      <c r="FT24" s="34"/>
      <c r="FU24" s="34"/>
      <c r="FV24" s="34"/>
      <c r="FW24" s="34"/>
      <c r="FX24" s="34"/>
      <c r="FY24" s="34"/>
      <c r="FZ24" s="34"/>
      <c r="GA24" s="34"/>
      <c r="GB24" s="34"/>
      <c r="GC24" s="34"/>
      <c r="GD24" s="34"/>
      <c r="GE24" s="34"/>
      <c r="GF24" s="34"/>
      <c r="GG24" s="34"/>
      <c r="GH24" s="34"/>
      <c r="GI24" s="34"/>
      <c r="GJ24" s="34"/>
      <c r="GK24" s="34"/>
      <c r="GL24" s="34"/>
      <c r="GM24" s="34"/>
      <c r="GN24" s="34"/>
      <c r="GO24" s="34"/>
      <c r="GP24" s="34"/>
      <c r="GQ24" s="34"/>
      <c r="GR24" s="34"/>
      <c r="GS24" s="34"/>
      <c r="GT24" s="34"/>
      <c r="GU24" s="34"/>
      <c r="GV24" s="34"/>
      <c r="GW24" s="34"/>
      <c r="GX24" s="34"/>
      <c r="GY24" s="34"/>
      <c r="GZ24" s="34"/>
      <c r="HA24" s="34"/>
      <c r="HB24" s="34"/>
      <c r="HC24" s="34"/>
      <c r="HD24" s="34"/>
      <c r="HE24" s="34"/>
      <c r="HF24" s="34"/>
      <c r="HG24" s="34"/>
      <c r="HH24" s="34"/>
      <c r="HI24" s="34"/>
      <c r="HJ24" s="34"/>
      <c r="HK24" s="34"/>
      <c r="HL24" s="34"/>
      <c r="HM24" s="34"/>
      <c r="HN24" s="34"/>
      <c r="HO24" s="34"/>
      <c r="HP24" s="34"/>
      <c r="HQ24" s="34"/>
      <c r="HR24" s="34"/>
      <c r="HS24" s="34"/>
      <c r="HT24" s="34"/>
      <c r="HU24" s="34"/>
      <c r="HV24" s="34"/>
      <c r="HW24" s="34"/>
      <c r="HX24" s="34"/>
      <c r="HY24" s="34"/>
      <c r="HZ24" s="34"/>
      <c r="IA24" s="34"/>
      <c r="IB24" s="34"/>
      <c r="IC24" s="34"/>
      <c r="ID24" s="34"/>
      <c r="IE24" s="34"/>
      <c r="IF24" s="34"/>
      <c r="IG24" s="34"/>
      <c r="IH24" s="34"/>
      <c r="II24" s="34"/>
      <c r="IJ24" s="34"/>
      <c r="IK24" s="34"/>
      <c r="IL24" s="34"/>
      <c r="IM24" s="34"/>
      <c r="IN24" s="34"/>
      <c r="IO24" s="34"/>
      <c r="IP24" s="34"/>
      <c r="IQ24" s="34"/>
      <c r="IR24" s="34"/>
      <c r="IS24" s="34"/>
      <c r="IT24" s="34"/>
      <c r="IU24" s="34"/>
      <c r="IV24" s="34"/>
      <c r="IW24" s="34"/>
      <c r="IX24" s="34"/>
      <c r="IY24" s="34"/>
      <c r="IZ24" s="34"/>
      <c r="JA24" s="34"/>
      <c r="JB24" s="34"/>
      <c r="JC24" s="34"/>
      <c r="JD24" s="34"/>
      <c r="JE24" s="34"/>
      <c r="JF24" s="34"/>
      <c r="JG24" s="34"/>
      <c r="JH24" s="34"/>
      <c r="JI24" s="34"/>
      <c r="JJ24" s="34"/>
      <c r="JK24" s="34"/>
    </row>
    <row r="25" spans="1:271" x14ac:dyDescent="0.35">
      <c r="A25" s="127"/>
      <c r="B25" s="127"/>
      <c r="C25" s="115">
        <f>SUM(C16:C24)</f>
        <v>4498534</v>
      </c>
      <c r="D25" s="115">
        <f>SUM(D16:D24)</f>
        <v>4480267</v>
      </c>
      <c r="E25" s="115">
        <f>SUM(E16:E24)</f>
        <v>5360604</v>
      </c>
      <c r="F25" s="115">
        <f>SUM(F16:F24)</f>
        <v>5262524</v>
      </c>
      <c r="G25" s="115">
        <f>SUM(G16:G24)</f>
        <v>5262524</v>
      </c>
      <c r="H25" s="115">
        <f t="shared" ref="H25:AZ25" si="11">SUM(H16:H24)</f>
        <v>4980583</v>
      </c>
      <c r="I25" s="115">
        <f t="shared" si="11"/>
        <v>4616325</v>
      </c>
      <c r="J25" s="115">
        <f t="shared" si="11"/>
        <v>4668281</v>
      </c>
      <c r="K25" s="115">
        <f t="shared" si="11"/>
        <v>4692404</v>
      </c>
      <c r="L25" s="115">
        <f t="shared" si="11"/>
        <v>4692404</v>
      </c>
      <c r="M25" s="115">
        <f t="shared" si="11"/>
        <v>4595479</v>
      </c>
      <c r="N25" s="115">
        <f t="shared" ref="N25:U25" si="12">SUM(N14:N24)</f>
        <v>4773336</v>
      </c>
      <c r="O25" s="115">
        <f>SUM(O14:O24)</f>
        <v>4656986</v>
      </c>
      <c r="P25" s="115">
        <f t="shared" si="12"/>
        <v>4873485</v>
      </c>
      <c r="Q25" s="115">
        <f t="shared" si="12"/>
        <v>4873485</v>
      </c>
      <c r="R25" s="115">
        <f t="shared" si="12"/>
        <v>4870001</v>
      </c>
      <c r="S25" s="115">
        <f t="shared" si="12"/>
        <v>5343199</v>
      </c>
      <c r="T25" s="115">
        <f t="shared" si="12"/>
        <v>5496968</v>
      </c>
      <c r="U25" s="115">
        <f t="shared" si="12"/>
        <v>5495388</v>
      </c>
      <c r="V25" s="115">
        <v>5495388</v>
      </c>
      <c r="W25" s="115">
        <f>SUM(W14:W24)</f>
        <v>5640832</v>
      </c>
      <c r="X25" s="115">
        <f>SUM(X14:X24)</f>
        <v>5620514</v>
      </c>
      <c r="Y25" s="115">
        <f>SUM(Y14:Y24)</f>
        <v>6046314</v>
      </c>
      <c r="Z25" s="115">
        <f>SUM(Z14:Z24)</f>
        <v>6017790</v>
      </c>
      <c r="AA25" s="115">
        <v>6017790</v>
      </c>
      <c r="AB25" s="115">
        <f>SUM(AB14:AB24)</f>
        <v>7190930</v>
      </c>
      <c r="AC25" s="115">
        <f t="shared" si="11"/>
        <v>7520295</v>
      </c>
      <c r="AD25" s="115">
        <f>SUM(AD14:AD24)</f>
        <v>7731992</v>
      </c>
      <c r="AE25" s="115">
        <f t="shared" si="11"/>
        <v>7249877</v>
      </c>
      <c r="AF25" s="115">
        <v>7249877</v>
      </c>
      <c r="AG25" s="115">
        <f t="shared" si="11"/>
        <v>7597878</v>
      </c>
      <c r="AH25" s="115">
        <f t="shared" si="11"/>
        <v>6994904</v>
      </c>
      <c r="AI25" s="115">
        <f t="shared" si="11"/>
        <v>7477503</v>
      </c>
      <c r="AJ25" s="115">
        <f t="shared" si="11"/>
        <v>7672016</v>
      </c>
      <c r="AK25" s="115">
        <f t="shared" ref="AK25" si="13">SUM(AK16:AK24)</f>
        <v>7672016</v>
      </c>
      <c r="AL25" s="115">
        <f t="shared" si="11"/>
        <v>6591414</v>
      </c>
      <c r="AM25" s="115">
        <f t="shared" si="11"/>
        <v>7116681</v>
      </c>
      <c r="AN25" s="115">
        <f t="shared" si="11"/>
        <v>7176390</v>
      </c>
      <c r="AO25" s="115">
        <f t="shared" si="11"/>
        <v>7309130</v>
      </c>
      <c r="AP25" s="115">
        <v>7309130</v>
      </c>
      <c r="AQ25" s="115">
        <f t="shared" si="11"/>
        <v>7118082</v>
      </c>
      <c r="AR25" s="115">
        <f t="shared" si="11"/>
        <v>6881942</v>
      </c>
      <c r="AS25" s="115">
        <f t="shared" si="11"/>
        <v>7031461</v>
      </c>
      <c r="AT25" s="115">
        <f t="shared" si="11"/>
        <v>7019964</v>
      </c>
      <c r="AU25" s="115">
        <f t="shared" ref="AU25" si="14">SUM(AU16:AU24)</f>
        <v>7019964</v>
      </c>
      <c r="AV25" s="115">
        <f t="shared" si="11"/>
        <v>7171006</v>
      </c>
      <c r="AW25" s="115">
        <f t="shared" si="11"/>
        <v>7794665</v>
      </c>
      <c r="AX25" s="115">
        <f t="shared" si="11"/>
        <v>7828534</v>
      </c>
      <c r="AY25" s="115">
        <f t="shared" si="11"/>
        <v>8570424</v>
      </c>
      <c r="AZ25" s="115">
        <f t="shared" si="11"/>
        <v>8570424</v>
      </c>
      <c r="BA25" s="115">
        <f t="shared" ref="BA25:BB25" si="15">SUM(BA16:BA24)</f>
        <v>8153918</v>
      </c>
      <c r="BB25" s="115">
        <f t="shared" si="15"/>
        <v>7993888</v>
      </c>
      <c r="BC25" s="115">
        <f t="shared" ref="BC25:BD25" si="16">SUM(BC16:BC24)</f>
        <v>7860000</v>
      </c>
      <c r="BD25" s="115">
        <f t="shared" si="16"/>
        <v>8174567</v>
      </c>
      <c r="BE25" s="115">
        <f t="shared" ref="BE25" si="17">SUM(BE16:BE24)</f>
        <v>8174567</v>
      </c>
      <c r="BF25" s="115">
        <f t="shared" ref="BF25:BG25" si="18">SUM(BF16:BF24)</f>
        <v>7825477</v>
      </c>
      <c r="BG25" s="115">
        <f t="shared" si="18"/>
        <v>7794753</v>
      </c>
    </row>
    <row r="27" spans="1:271" s="50" customFormat="1" ht="14" x14ac:dyDescent="0.3">
      <c r="A27" s="15" t="s">
        <v>601</v>
      </c>
      <c r="B27" s="15" t="s">
        <v>621</v>
      </c>
      <c r="C27" s="31">
        <f>C25+C11</f>
        <v>7057368</v>
      </c>
      <c r="D27" s="31">
        <f>D25+D11</f>
        <v>6952245</v>
      </c>
      <c r="E27" s="31">
        <f>E25+E11</f>
        <v>8288471</v>
      </c>
      <c r="F27" s="31">
        <f>F25+F11</f>
        <v>7990379</v>
      </c>
      <c r="G27" s="31">
        <f t="shared" ref="G27" si="19">G25+G11</f>
        <v>7990379</v>
      </c>
      <c r="H27" s="31">
        <f>H25+H11</f>
        <v>7558245</v>
      </c>
      <c r="I27" s="31">
        <f>I25+I11</f>
        <v>7050217</v>
      </c>
      <c r="J27" s="31">
        <f>J25+J11</f>
        <v>7018400</v>
      </c>
      <c r="K27" s="31">
        <f>K25+K11</f>
        <v>7057115</v>
      </c>
      <c r="L27" s="31">
        <f t="shared" ref="L27" si="20">L25+L11</f>
        <v>7057115</v>
      </c>
      <c r="M27" s="31">
        <f>M25+M11</f>
        <v>7424542</v>
      </c>
      <c r="N27" s="31">
        <f>N25+N11</f>
        <v>7892553</v>
      </c>
      <c r="O27" s="31">
        <f>O25+O11</f>
        <v>7671825</v>
      </c>
      <c r="P27" s="31">
        <f>P25+P11</f>
        <v>7922248</v>
      </c>
      <c r="Q27" s="31">
        <f t="shared" ref="Q27" si="21">Q25+Q11</f>
        <v>7922248</v>
      </c>
      <c r="R27" s="31">
        <f t="shared" ref="R27:AZ27" si="22">R25+R11</f>
        <v>8510350</v>
      </c>
      <c r="S27" s="31">
        <f t="shared" si="22"/>
        <v>8905486</v>
      </c>
      <c r="T27" s="31">
        <f t="shared" si="22"/>
        <v>9239909</v>
      </c>
      <c r="U27" s="31">
        <f t="shared" si="22"/>
        <v>9019190</v>
      </c>
      <c r="V27" s="31">
        <v>9019190</v>
      </c>
      <c r="W27" s="31">
        <f t="shared" si="22"/>
        <v>9440143</v>
      </c>
      <c r="X27" s="31">
        <f t="shared" si="22"/>
        <v>9236750</v>
      </c>
      <c r="Y27" s="31">
        <f t="shared" si="22"/>
        <v>10022525</v>
      </c>
      <c r="Z27" s="31">
        <f t="shared" si="22"/>
        <v>9375411</v>
      </c>
      <c r="AA27" s="31">
        <v>9375411</v>
      </c>
      <c r="AB27" s="31">
        <f t="shared" si="22"/>
        <v>11717177</v>
      </c>
      <c r="AC27" s="31">
        <f t="shared" si="22"/>
        <v>11892587</v>
      </c>
      <c r="AD27" s="31">
        <f t="shared" si="22"/>
        <v>13010400</v>
      </c>
      <c r="AE27" s="31">
        <f t="shared" si="22"/>
        <v>12411803</v>
      </c>
      <c r="AF27" s="31">
        <v>12411803</v>
      </c>
      <c r="AG27" s="31">
        <f t="shared" si="22"/>
        <v>13652232</v>
      </c>
      <c r="AH27" s="31">
        <f t="shared" si="22"/>
        <v>13203278</v>
      </c>
      <c r="AI27" s="31">
        <f t="shared" si="22"/>
        <v>14431473</v>
      </c>
      <c r="AJ27" s="31">
        <f t="shared" si="22"/>
        <v>14519530</v>
      </c>
      <c r="AK27" s="31">
        <f t="shared" ref="AK27" si="23">AK25+AK11</f>
        <v>14519530</v>
      </c>
      <c r="AL27" s="31">
        <f t="shared" si="22"/>
        <v>13552849</v>
      </c>
      <c r="AM27" s="31">
        <f t="shared" si="22"/>
        <v>14914335</v>
      </c>
      <c r="AN27" s="31">
        <f t="shared" si="22"/>
        <v>15197696</v>
      </c>
      <c r="AO27" s="31">
        <f t="shared" si="22"/>
        <v>15195455</v>
      </c>
      <c r="AP27" s="31">
        <v>15195455</v>
      </c>
      <c r="AQ27" s="31">
        <f t="shared" si="22"/>
        <v>15467653</v>
      </c>
      <c r="AR27" s="31">
        <f t="shared" si="22"/>
        <v>14330225</v>
      </c>
      <c r="AS27" s="31">
        <f t="shared" si="22"/>
        <v>15080242</v>
      </c>
      <c r="AT27" s="31">
        <f t="shared" si="22"/>
        <v>14534116</v>
      </c>
      <c r="AU27" s="31">
        <f t="shared" ref="AU27" si="24">AU25+AU11</f>
        <v>14534116</v>
      </c>
      <c r="AV27" s="31">
        <f t="shared" si="22"/>
        <v>14403303</v>
      </c>
      <c r="AW27" s="31">
        <f t="shared" si="22"/>
        <v>15293669</v>
      </c>
      <c r="AX27" s="31">
        <f t="shared" si="22"/>
        <v>15308507</v>
      </c>
      <c r="AY27" s="31">
        <f t="shared" si="22"/>
        <v>15961371</v>
      </c>
      <c r="AZ27" s="31">
        <f t="shared" si="22"/>
        <v>15961371</v>
      </c>
      <c r="BA27" s="31">
        <f t="shared" ref="BA27:BB27" si="25">BA25+BA11</f>
        <v>15329139</v>
      </c>
      <c r="BB27" s="31">
        <f t="shared" si="25"/>
        <v>14920051</v>
      </c>
      <c r="BC27" s="31">
        <f t="shared" ref="BC27:BD27" si="26">BC25+BC11</f>
        <v>14452673</v>
      </c>
      <c r="BD27" s="31">
        <f t="shared" si="26"/>
        <v>14392484</v>
      </c>
      <c r="BE27" s="31">
        <f t="shared" ref="BE27" si="27">BE25+BE11</f>
        <v>14392484</v>
      </c>
      <c r="BF27" s="31">
        <f t="shared" ref="BF27:BG27" si="28">BF25+BF11</f>
        <v>14555533</v>
      </c>
      <c r="BG27" s="31">
        <f t="shared" si="28"/>
        <v>14927627</v>
      </c>
    </row>
    <row r="29" spans="1:271" s="50" customFormat="1" ht="14" x14ac:dyDescent="0.3">
      <c r="A29" s="15" t="s">
        <v>587</v>
      </c>
      <c r="B29" s="15" t="s">
        <v>622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</row>
    <row r="31" spans="1:271" x14ac:dyDescent="0.35">
      <c r="A31" s="28" t="s">
        <v>581</v>
      </c>
      <c r="B31" s="28" t="s">
        <v>605</v>
      </c>
      <c r="M31" s="109"/>
      <c r="T31" s="109"/>
      <c r="U31" s="109"/>
    </row>
    <row r="32" spans="1:271" x14ac:dyDescent="0.35">
      <c r="A32" s="53" t="s">
        <v>588</v>
      </c>
      <c r="B32" s="53" t="s">
        <v>623</v>
      </c>
      <c r="C32" s="109">
        <v>1399861</v>
      </c>
      <c r="D32" s="109">
        <v>1477652</v>
      </c>
      <c r="E32" s="109">
        <v>1637787</v>
      </c>
      <c r="F32" s="109">
        <v>1684702</v>
      </c>
      <c r="G32" s="109">
        <v>1684702</v>
      </c>
      <c r="H32" s="109">
        <v>1725679</v>
      </c>
      <c r="I32" s="109">
        <v>1170066</v>
      </c>
      <c r="J32" s="109">
        <v>1144541</v>
      </c>
      <c r="K32" s="109">
        <v>1182808</v>
      </c>
      <c r="L32" s="109">
        <v>1182808</v>
      </c>
      <c r="M32" s="109">
        <v>787887</v>
      </c>
      <c r="N32" s="109">
        <v>1235474</v>
      </c>
      <c r="O32" s="109">
        <v>1149628</v>
      </c>
      <c r="P32" s="109">
        <v>1352544</v>
      </c>
      <c r="Q32" s="109">
        <v>1352544</v>
      </c>
      <c r="R32" s="109">
        <f>1175351-2038</f>
        <v>1173313</v>
      </c>
      <c r="S32" s="109">
        <v>1001361</v>
      </c>
      <c r="T32" s="109">
        <f>915824+151507</f>
        <v>1067331</v>
      </c>
      <c r="U32" s="109">
        <f>912955+163194</f>
        <v>1076149</v>
      </c>
      <c r="V32" s="109">
        <v>1076149</v>
      </c>
      <c r="W32" s="109">
        <f>707690+160258</f>
        <v>867948</v>
      </c>
      <c r="X32" s="109">
        <f>726463+17474</f>
        <v>743937</v>
      </c>
      <c r="Y32" s="109">
        <f>724591+864</f>
        <v>725455</v>
      </c>
      <c r="Z32" s="109">
        <f>629300+19397</f>
        <v>648697</v>
      </c>
      <c r="AA32" s="109">
        <v>648697</v>
      </c>
      <c r="AB32" s="109">
        <f>1462768-195</f>
        <v>1462573</v>
      </c>
      <c r="AC32" s="109">
        <f>1827512+765</f>
        <v>1828277</v>
      </c>
      <c r="AD32" s="109">
        <f>2341754-5335</f>
        <v>2336419</v>
      </c>
      <c r="AE32" s="109">
        <v>1907564</v>
      </c>
      <c r="AF32" s="109">
        <v>1907564</v>
      </c>
      <c r="AG32" s="109">
        <v>3303156</v>
      </c>
      <c r="AH32" s="109">
        <v>1798780</v>
      </c>
      <c r="AI32" s="109">
        <f>1645033+213790</f>
        <v>1858823</v>
      </c>
      <c r="AJ32" s="109">
        <f>1240639+241142</f>
        <v>1481781</v>
      </c>
      <c r="AK32" s="109">
        <f>1240639+241142</f>
        <v>1481781</v>
      </c>
      <c r="AL32" s="109">
        <f>1634537+388379</f>
        <v>2022916</v>
      </c>
      <c r="AM32" s="109">
        <f>838668+438766</f>
        <v>1277434</v>
      </c>
      <c r="AN32" s="109">
        <f>654954+615402</f>
        <v>1270356</v>
      </c>
      <c r="AO32" s="109">
        <v>1043611</v>
      </c>
      <c r="AP32" s="109">
        <v>1043611</v>
      </c>
      <c r="AQ32" s="109">
        <v>2017722</v>
      </c>
      <c r="AR32" s="109">
        <v>1813563</v>
      </c>
      <c r="AS32" s="109">
        <v>1775347</v>
      </c>
      <c r="AT32" s="109">
        <v>1631599</v>
      </c>
      <c r="AU32" s="109">
        <v>1631599</v>
      </c>
      <c r="AV32" s="109">
        <v>1387002</v>
      </c>
      <c r="AW32" s="109">
        <v>1113245</v>
      </c>
      <c r="AX32" s="109">
        <v>1069562</v>
      </c>
      <c r="AY32" s="109">
        <f>'BS - Consolidado'!J86</f>
        <v>614709</v>
      </c>
      <c r="AZ32" s="109">
        <f t="shared" ref="AZ32:AZ39" si="29">AY32</f>
        <v>614709</v>
      </c>
      <c r="BA32" s="109">
        <f>'BS - Consolidado'!I86</f>
        <v>509221</v>
      </c>
      <c r="BB32" s="109">
        <f>'BS - Consolidado'!H86</f>
        <v>354676</v>
      </c>
      <c r="BC32" s="109">
        <f>'BS - Consolidado'!G86</f>
        <v>390576</v>
      </c>
      <c r="BD32" s="109">
        <f>'BS - Consolidado'!F86</f>
        <v>356196</v>
      </c>
      <c r="BE32" s="109">
        <f t="shared" ref="BE32:BE39" si="30">BD32</f>
        <v>356196</v>
      </c>
      <c r="BF32" s="109">
        <f>'BS - Consolidado'!E86</f>
        <v>279439</v>
      </c>
      <c r="BG32" s="109">
        <f>'BS - Consolidado'!D86</f>
        <v>265029</v>
      </c>
    </row>
    <row r="33" spans="1:59" x14ac:dyDescent="0.35">
      <c r="A33" s="53" t="s">
        <v>130</v>
      </c>
      <c r="B33" s="53" t="s">
        <v>624</v>
      </c>
      <c r="C33" s="109">
        <v>874574</v>
      </c>
      <c r="D33" s="109">
        <v>914167</v>
      </c>
      <c r="E33" s="109">
        <v>1080719</v>
      </c>
      <c r="F33" s="109">
        <v>936491</v>
      </c>
      <c r="G33" s="109">
        <v>936491</v>
      </c>
      <c r="H33" s="109">
        <v>813219</v>
      </c>
      <c r="I33" s="109">
        <v>806110</v>
      </c>
      <c r="J33" s="109">
        <v>730800</v>
      </c>
      <c r="K33" s="109">
        <v>856084</v>
      </c>
      <c r="L33" s="109">
        <v>856084</v>
      </c>
      <c r="M33" s="109">
        <v>853623</v>
      </c>
      <c r="N33" s="109">
        <v>978150</v>
      </c>
      <c r="O33" s="109">
        <v>955804</v>
      </c>
      <c r="P33" s="109">
        <v>1056299</v>
      </c>
      <c r="Q33" s="109">
        <v>1056299</v>
      </c>
      <c r="R33" s="109">
        <v>1146239</v>
      </c>
      <c r="S33" s="109">
        <v>1365829</v>
      </c>
      <c r="T33" s="109">
        <v>1372013</v>
      </c>
      <c r="U33" s="109">
        <v>1316903</v>
      </c>
      <c r="V33" s="109">
        <v>1316903</v>
      </c>
      <c r="W33" s="109">
        <v>1367348</v>
      </c>
      <c r="X33" s="109">
        <v>1246438</v>
      </c>
      <c r="Y33" s="109">
        <v>1228512</v>
      </c>
      <c r="Z33" s="109">
        <v>1126821</v>
      </c>
      <c r="AA33" s="109">
        <v>1126821</v>
      </c>
      <c r="AB33" s="109">
        <v>1436452</v>
      </c>
      <c r="AC33" s="109">
        <v>919013</v>
      </c>
      <c r="AD33" s="109">
        <v>1349412</v>
      </c>
      <c r="AE33" s="109">
        <v>1463594</v>
      </c>
      <c r="AF33" s="109">
        <v>1463594</v>
      </c>
      <c r="AG33" s="109">
        <v>1729247</v>
      </c>
      <c r="AH33" s="109">
        <v>1700511</v>
      </c>
      <c r="AI33" s="109">
        <v>1974037</v>
      </c>
      <c r="AJ33" s="109">
        <v>2269458</v>
      </c>
      <c r="AK33" s="109">
        <v>2269458</v>
      </c>
      <c r="AL33" s="109">
        <v>2009326</v>
      </c>
      <c r="AM33" s="109">
        <v>2493077</v>
      </c>
      <c r="AN33" s="109">
        <v>2388009</v>
      </c>
      <c r="AO33" s="109">
        <v>2294570</v>
      </c>
      <c r="AP33" s="109">
        <v>2294570</v>
      </c>
      <c r="AQ33" s="109">
        <v>2273866</v>
      </c>
      <c r="AR33" s="109">
        <v>2085250</v>
      </c>
      <c r="AS33" s="109">
        <v>2080949</v>
      </c>
      <c r="AT33" s="109">
        <v>1906468</v>
      </c>
      <c r="AU33" s="109">
        <v>1906468</v>
      </c>
      <c r="AV33" s="109">
        <v>2082011</v>
      </c>
      <c r="AW33" s="109">
        <v>2292708</v>
      </c>
      <c r="AX33" s="109">
        <v>2208094</v>
      </c>
      <c r="AY33" s="109">
        <f>'BS - Consolidado'!J76</f>
        <v>2263044</v>
      </c>
      <c r="AZ33" s="109">
        <f t="shared" si="29"/>
        <v>2263044</v>
      </c>
      <c r="BA33" s="109">
        <f>'BS - Consolidado'!I76</f>
        <v>2467337</v>
      </c>
      <c r="BB33" s="109">
        <f>'BS - Consolidado'!H76</f>
        <v>2441738</v>
      </c>
      <c r="BC33" s="109">
        <f>'BS - Consolidado'!G76</f>
        <v>2100209</v>
      </c>
      <c r="BD33" s="109">
        <f>'BS - Consolidado'!F76</f>
        <v>1950556</v>
      </c>
      <c r="BE33" s="109">
        <f t="shared" si="30"/>
        <v>1950556</v>
      </c>
      <c r="BF33" s="109">
        <f>'BS - Consolidado'!E76</f>
        <v>2295142</v>
      </c>
      <c r="BG33" s="109">
        <f>'BS - Consolidado'!D76</f>
        <v>2522216</v>
      </c>
    </row>
    <row r="34" spans="1:59" x14ac:dyDescent="0.35">
      <c r="A34" s="53" t="s">
        <v>140</v>
      </c>
      <c r="B34" s="53" t="s">
        <v>625</v>
      </c>
      <c r="C34" s="109">
        <v>74195</v>
      </c>
      <c r="D34" s="109">
        <v>58652</v>
      </c>
      <c r="E34" s="109">
        <v>70292</v>
      </c>
      <c r="F34" s="109">
        <v>55897</v>
      </c>
      <c r="G34" s="109">
        <v>55897</v>
      </c>
      <c r="H34" s="109">
        <v>68181</v>
      </c>
      <c r="I34" s="109">
        <v>60106</v>
      </c>
      <c r="J34" s="109">
        <v>76595</v>
      </c>
      <c r="K34" s="109">
        <v>77103</v>
      </c>
      <c r="L34" s="109">
        <v>77103</v>
      </c>
      <c r="M34" s="109">
        <v>109234</v>
      </c>
      <c r="N34" s="109">
        <v>135423</v>
      </c>
      <c r="O34" s="109">
        <v>151118</v>
      </c>
      <c r="P34" s="109">
        <v>133550</v>
      </c>
      <c r="Q34" s="109">
        <v>133550</v>
      </c>
      <c r="R34" s="109">
        <v>134495</v>
      </c>
      <c r="S34" s="109">
        <v>159266</v>
      </c>
      <c r="T34" s="109">
        <v>198779</v>
      </c>
      <c r="U34" s="109">
        <v>121901</v>
      </c>
      <c r="V34" s="109">
        <v>121901</v>
      </c>
      <c r="W34" s="109">
        <v>138571</v>
      </c>
      <c r="X34" s="109">
        <v>172239</v>
      </c>
      <c r="Y34" s="109">
        <v>216024</v>
      </c>
      <c r="Z34" s="109">
        <v>121060</v>
      </c>
      <c r="AA34" s="109">
        <v>121060</v>
      </c>
      <c r="AB34" s="109">
        <v>93075</v>
      </c>
      <c r="AC34" s="109">
        <v>73495</v>
      </c>
      <c r="AD34" s="109">
        <v>123405</v>
      </c>
      <c r="AE34" s="109">
        <v>90868</v>
      </c>
      <c r="AF34" s="109">
        <v>90868</v>
      </c>
      <c r="AG34" s="109">
        <v>117971</v>
      </c>
      <c r="AH34" s="109">
        <v>220606</v>
      </c>
      <c r="AI34" s="109">
        <v>284710</v>
      </c>
      <c r="AJ34" s="109">
        <v>220549</v>
      </c>
      <c r="AK34" s="109">
        <v>220549</v>
      </c>
      <c r="AL34" s="109">
        <v>175807</v>
      </c>
      <c r="AM34" s="109">
        <v>211394</v>
      </c>
      <c r="AN34" s="109">
        <v>253510</v>
      </c>
      <c r="AO34" s="109">
        <v>317483</v>
      </c>
      <c r="AP34" s="109">
        <v>317483</v>
      </c>
      <c r="AQ34" s="109">
        <v>149626</v>
      </c>
      <c r="AR34" s="109">
        <v>164540</v>
      </c>
      <c r="AS34" s="109">
        <v>171878</v>
      </c>
      <c r="AT34" s="109">
        <v>126797</v>
      </c>
      <c r="AU34" s="109">
        <v>126797</v>
      </c>
      <c r="AV34" s="109">
        <v>172569</v>
      </c>
      <c r="AW34" s="109">
        <v>193817</v>
      </c>
      <c r="AX34" s="109">
        <v>229013</v>
      </c>
      <c r="AY34" s="109">
        <f>'BS - Consolidado'!J81</f>
        <v>210899</v>
      </c>
      <c r="AZ34" s="109">
        <f t="shared" si="29"/>
        <v>210899</v>
      </c>
      <c r="BA34" s="109">
        <f>'BS - Consolidado'!I81</f>
        <v>162633</v>
      </c>
      <c r="BB34" s="109">
        <f>'BS - Consolidado'!H81</f>
        <v>153543</v>
      </c>
      <c r="BC34" s="109">
        <f>'BS - Consolidado'!G81</f>
        <v>153051</v>
      </c>
      <c r="BD34" s="109">
        <f>'BS - Consolidado'!F81</f>
        <v>196478</v>
      </c>
      <c r="BE34" s="109">
        <f t="shared" si="30"/>
        <v>196478</v>
      </c>
      <c r="BF34" s="109">
        <f>'BS - Consolidado'!E81</f>
        <v>157826</v>
      </c>
      <c r="BG34" s="109">
        <f>'BS - Consolidado'!D81</f>
        <v>193620</v>
      </c>
    </row>
    <row r="35" spans="1:59" x14ac:dyDescent="0.35">
      <c r="A35" s="53" t="s">
        <v>120</v>
      </c>
      <c r="B35" s="53" t="s">
        <v>626</v>
      </c>
      <c r="C35" s="109">
        <f>152061+46943</f>
        <v>199004</v>
      </c>
      <c r="D35" s="109">
        <f>104222+51017</f>
        <v>155239</v>
      </c>
      <c r="E35" s="109">
        <v>194825</v>
      </c>
      <c r="F35" s="109">
        <v>161260</v>
      </c>
      <c r="G35" s="109">
        <v>161260</v>
      </c>
      <c r="H35" s="109">
        <v>182197</v>
      </c>
      <c r="I35" s="109">
        <f>120566+69852</f>
        <v>190418</v>
      </c>
      <c r="J35" s="109">
        <f>130424+83124</f>
        <v>213548</v>
      </c>
      <c r="K35" s="109">
        <f>149649+54180</f>
        <v>203829</v>
      </c>
      <c r="L35" s="109">
        <f>149649+54180</f>
        <v>203829</v>
      </c>
      <c r="M35" s="109">
        <f>163018+71449</f>
        <v>234467</v>
      </c>
      <c r="N35" s="109">
        <v>232666</v>
      </c>
      <c r="O35" s="109">
        <v>257416</v>
      </c>
      <c r="P35" s="109">
        <f>181448+70488</f>
        <v>251936</v>
      </c>
      <c r="Q35" s="109">
        <f>181448+70488</f>
        <v>251936</v>
      </c>
      <c r="R35" s="109">
        <f>158828+92111</f>
        <v>250939</v>
      </c>
      <c r="S35" s="109">
        <v>297134</v>
      </c>
      <c r="T35" s="109">
        <f>212423+127888</f>
        <v>340311</v>
      </c>
      <c r="U35" s="109">
        <f>235284+92987</f>
        <v>328271</v>
      </c>
      <c r="V35" s="109">
        <v>328271</v>
      </c>
      <c r="W35" s="109">
        <f>193602+112474</f>
        <v>306076</v>
      </c>
      <c r="X35" s="109">
        <f>194728+132162</f>
        <v>326890</v>
      </c>
      <c r="Y35" s="109">
        <f>216525+145449</f>
        <v>361974</v>
      </c>
      <c r="Z35" s="109">
        <f>239012+83076</f>
        <v>322088</v>
      </c>
      <c r="AA35" s="109">
        <v>322088</v>
      </c>
      <c r="AB35" s="109">
        <f>221479+105276</f>
        <v>326755</v>
      </c>
      <c r="AC35" s="109">
        <f>254245+97427</f>
        <v>351672</v>
      </c>
      <c r="AD35" s="109">
        <f>252905+123828</f>
        <v>376733</v>
      </c>
      <c r="AE35" s="109">
        <v>318632</v>
      </c>
      <c r="AF35" s="109">
        <v>318632</v>
      </c>
      <c r="AG35" s="109">
        <v>399131</v>
      </c>
      <c r="AH35" s="109">
        <v>441451</v>
      </c>
      <c r="AI35" s="109">
        <f>361011+175984</f>
        <v>536995</v>
      </c>
      <c r="AJ35" s="109">
        <f>395998+111950</f>
        <v>507948</v>
      </c>
      <c r="AK35" s="109">
        <f>395998+111950</f>
        <v>507948</v>
      </c>
      <c r="AL35" s="109">
        <f>286356+146134</f>
        <v>432490</v>
      </c>
      <c r="AM35" s="109">
        <f>299019+174056</f>
        <v>473075</v>
      </c>
      <c r="AN35" s="109">
        <f>339989+196165</f>
        <v>536154</v>
      </c>
      <c r="AO35" s="109">
        <v>502106</v>
      </c>
      <c r="AP35" s="109">
        <v>502106</v>
      </c>
      <c r="AQ35" s="109">
        <v>559435</v>
      </c>
      <c r="AR35" s="109">
        <v>452827</v>
      </c>
      <c r="AS35" s="109">
        <v>507656</v>
      </c>
      <c r="AT35" s="109">
        <v>451023</v>
      </c>
      <c r="AU35" s="109">
        <v>451023</v>
      </c>
      <c r="AV35" s="109">
        <v>512995</v>
      </c>
      <c r="AW35" s="109">
        <v>506597</v>
      </c>
      <c r="AX35" s="109">
        <v>550070</v>
      </c>
      <c r="AY35" s="109">
        <f>'BS - Consolidado'!J73</f>
        <v>526158</v>
      </c>
      <c r="AZ35" s="109">
        <f t="shared" si="29"/>
        <v>526158</v>
      </c>
      <c r="BA35" s="109">
        <f>'BS - Consolidado'!I73</f>
        <v>591797</v>
      </c>
      <c r="BB35" s="109">
        <f>'BS - Consolidado'!H73</f>
        <v>552854</v>
      </c>
      <c r="BC35" s="109">
        <f>'BS - Consolidado'!G73</f>
        <v>579471</v>
      </c>
      <c r="BD35" s="109">
        <f>'BS - Consolidado'!F73</f>
        <v>496288</v>
      </c>
      <c r="BE35" s="109">
        <f t="shared" si="30"/>
        <v>496288</v>
      </c>
      <c r="BF35" s="109">
        <f>'BS - Consolidado'!E73</f>
        <v>560309</v>
      </c>
      <c r="BG35" s="109">
        <f>'BS - Consolidado'!D73</f>
        <v>559457</v>
      </c>
    </row>
    <row r="36" spans="1:59" x14ac:dyDescent="0.35">
      <c r="A36" s="53" t="s">
        <v>178</v>
      </c>
      <c r="B36" s="53" t="s">
        <v>627</v>
      </c>
      <c r="C36" s="109">
        <v>16578</v>
      </c>
      <c r="D36" s="109">
        <v>17601</v>
      </c>
      <c r="E36" s="109">
        <v>56573</v>
      </c>
      <c r="F36" s="109">
        <v>89559</v>
      </c>
      <c r="G36" s="109">
        <v>89559</v>
      </c>
      <c r="H36" s="109">
        <v>28172</v>
      </c>
      <c r="I36" s="109">
        <v>31254</v>
      </c>
      <c r="J36" s="109">
        <v>33085</v>
      </c>
      <c r="K36" s="109">
        <v>55942</v>
      </c>
      <c r="L36" s="109">
        <v>55942</v>
      </c>
      <c r="M36" s="109">
        <v>66589</v>
      </c>
      <c r="N36" s="109">
        <v>89275</v>
      </c>
      <c r="O36" s="109">
        <v>101088</v>
      </c>
      <c r="P36" s="109">
        <v>99795</v>
      </c>
      <c r="Q36" s="109">
        <v>99795</v>
      </c>
      <c r="R36" s="109">
        <v>120363</v>
      </c>
      <c r="S36" s="109">
        <v>129266</v>
      </c>
      <c r="T36" s="109">
        <v>129408</v>
      </c>
      <c r="U36" s="109">
        <v>109025</v>
      </c>
      <c r="V36" s="109">
        <v>109025</v>
      </c>
      <c r="W36" s="109">
        <v>111520</v>
      </c>
      <c r="X36" s="109">
        <v>76239</v>
      </c>
      <c r="Y36" s="109">
        <v>69118</v>
      </c>
      <c r="Z36" s="109">
        <v>27244</v>
      </c>
      <c r="AA36" s="109">
        <v>27244</v>
      </c>
      <c r="AB36" s="109">
        <v>48317</v>
      </c>
      <c r="AC36" s="109">
        <v>47215</v>
      </c>
      <c r="AD36" s="109">
        <v>53239</v>
      </c>
      <c r="AE36" s="109">
        <v>58849</v>
      </c>
      <c r="AF36" s="109">
        <v>58849</v>
      </c>
      <c r="AG36" s="109">
        <v>78299</v>
      </c>
      <c r="AH36" s="109">
        <v>102615</v>
      </c>
      <c r="AI36" s="109">
        <v>68904</v>
      </c>
      <c r="AJ36" s="109">
        <v>83113</v>
      </c>
      <c r="AK36" s="109">
        <v>83113</v>
      </c>
      <c r="AL36" s="109">
        <v>81757</v>
      </c>
      <c r="AM36" s="109">
        <v>83481</v>
      </c>
      <c r="AN36" s="109">
        <v>110416</v>
      </c>
      <c r="AO36" s="109">
        <v>66561</v>
      </c>
      <c r="AP36" s="109">
        <v>66561</v>
      </c>
      <c r="AQ36" s="109">
        <v>63351</v>
      </c>
      <c r="AR36" s="109">
        <v>59910</v>
      </c>
      <c r="AS36" s="109">
        <v>51739</v>
      </c>
      <c r="AT36" s="109">
        <v>47539</v>
      </c>
      <c r="AU36" s="109">
        <v>47539</v>
      </c>
      <c r="AV36" s="109">
        <v>55435</v>
      </c>
      <c r="AW36" s="109">
        <v>42311</v>
      </c>
      <c r="AX36" s="109">
        <v>109966</v>
      </c>
      <c r="AY36" s="109">
        <f>'BS - Consolidado'!J101</f>
        <v>50633</v>
      </c>
      <c r="AZ36" s="109">
        <f t="shared" si="29"/>
        <v>50633</v>
      </c>
      <c r="BA36" s="109">
        <f>'BS - Consolidado'!I101</f>
        <v>38672</v>
      </c>
      <c r="BB36" s="109">
        <f>'BS - Consolidado'!H101</f>
        <v>37294</v>
      </c>
      <c r="BC36" s="109">
        <f>'BS - Consolidado'!G101</f>
        <v>36286</v>
      </c>
      <c r="BD36" s="109">
        <f>'BS - Consolidado'!F101</f>
        <v>27993</v>
      </c>
      <c r="BE36" s="109">
        <f t="shared" si="30"/>
        <v>27993</v>
      </c>
      <c r="BF36" s="109">
        <f>'BS - Consolidado'!E101</f>
        <v>20769</v>
      </c>
      <c r="BG36" s="109">
        <f>'BS - Consolidado'!D101</f>
        <v>24426</v>
      </c>
    </row>
    <row r="37" spans="1:59" x14ac:dyDescent="0.35">
      <c r="A37" s="53" t="s">
        <v>583</v>
      </c>
      <c r="B37" s="53" t="s">
        <v>611</v>
      </c>
      <c r="C37" s="109" t="s">
        <v>663</v>
      </c>
      <c r="D37" s="34" t="s">
        <v>663</v>
      </c>
      <c r="E37" s="34" t="s">
        <v>663</v>
      </c>
      <c r="F37" s="34" t="s">
        <v>663</v>
      </c>
      <c r="G37" s="110" t="s">
        <v>663</v>
      </c>
      <c r="H37" s="34" t="s">
        <v>663</v>
      </c>
      <c r="I37" s="34" t="s">
        <v>663</v>
      </c>
      <c r="J37" s="34" t="s">
        <v>663</v>
      </c>
      <c r="K37" s="34" t="s">
        <v>663</v>
      </c>
      <c r="L37" s="110" t="s">
        <v>663</v>
      </c>
      <c r="M37" s="110" t="s">
        <v>663</v>
      </c>
      <c r="N37" s="110"/>
      <c r="O37" s="110" t="s">
        <v>663</v>
      </c>
      <c r="P37" s="110" t="s">
        <v>663</v>
      </c>
      <c r="Q37" s="110" t="s">
        <v>663</v>
      </c>
      <c r="R37" s="110" t="s">
        <v>663</v>
      </c>
      <c r="S37" s="110" t="s">
        <v>663</v>
      </c>
      <c r="T37" s="110" t="s">
        <v>663</v>
      </c>
      <c r="U37" s="110" t="s">
        <v>663</v>
      </c>
      <c r="V37" s="110" t="s">
        <v>663</v>
      </c>
      <c r="W37" s="110" t="s">
        <v>663</v>
      </c>
      <c r="X37" s="110" t="s">
        <v>663</v>
      </c>
      <c r="Y37" s="110" t="s">
        <v>663</v>
      </c>
      <c r="Z37" s="110" t="s">
        <v>663</v>
      </c>
      <c r="AA37" s="110" t="s">
        <v>663</v>
      </c>
      <c r="AB37" s="110" t="s">
        <v>663</v>
      </c>
      <c r="AC37" s="110" t="s">
        <v>663</v>
      </c>
      <c r="AD37" s="110" t="s">
        <v>663</v>
      </c>
      <c r="AE37" s="110" t="s">
        <v>663</v>
      </c>
      <c r="AF37" s="110" t="s">
        <v>663</v>
      </c>
      <c r="AG37" s="110" t="s">
        <v>663</v>
      </c>
      <c r="AH37" s="110" t="s">
        <v>663</v>
      </c>
      <c r="AI37" s="110" t="s">
        <v>663</v>
      </c>
      <c r="AJ37" s="110" t="s">
        <v>663</v>
      </c>
      <c r="AK37" s="110" t="s">
        <v>663</v>
      </c>
      <c r="AL37" s="109">
        <v>14327</v>
      </c>
      <c r="AM37" s="109">
        <v>14315</v>
      </c>
      <c r="AN37" s="109">
        <v>10260</v>
      </c>
      <c r="AO37" s="109">
        <v>16250</v>
      </c>
      <c r="AP37" s="109">
        <v>16250</v>
      </c>
      <c r="AQ37" s="109">
        <v>14940</v>
      </c>
      <c r="AR37" s="109">
        <v>15783</v>
      </c>
      <c r="AS37" s="109">
        <v>7067</v>
      </c>
      <c r="AT37" s="109">
        <v>18662</v>
      </c>
      <c r="AU37" s="109">
        <v>18662</v>
      </c>
      <c r="AV37" s="109">
        <v>2247</v>
      </c>
      <c r="AW37" s="109">
        <v>722</v>
      </c>
      <c r="AX37" s="109">
        <v>8504</v>
      </c>
      <c r="AY37" s="109">
        <f>'BS - Consolidado'!J103</f>
        <v>235</v>
      </c>
      <c r="AZ37" s="109">
        <f t="shared" si="29"/>
        <v>235</v>
      </c>
      <c r="BA37" s="109">
        <f>'BS - Consolidado'!I103</f>
        <v>219</v>
      </c>
      <c r="BB37" s="109">
        <f>'BS - Consolidado'!H103</f>
        <v>10698</v>
      </c>
      <c r="BC37" s="109">
        <f>'BS - Consolidado'!G103</f>
        <v>2543</v>
      </c>
      <c r="BD37" s="109">
        <f>'BS - Consolidado'!F103</f>
        <v>1023</v>
      </c>
      <c r="BE37" s="109">
        <f t="shared" si="30"/>
        <v>1023</v>
      </c>
      <c r="BF37" s="109">
        <f>'BS - Consolidado'!E103</f>
        <v>0</v>
      </c>
      <c r="BG37" s="109">
        <f>'BS - Consolidado'!D103</f>
        <v>0</v>
      </c>
    </row>
    <row r="38" spans="1:59" x14ac:dyDescent="0.35">
      <c r="A38" s="53" t="s">
        <v>589</v>
      </c>
      <c r="B38" s="53" t="s">
        <v>628</v>
      </c>
      <c r="C38" s="109" t="s">
        <v>663</v>
      </c>
      <c r="D38" s="34" t="s">
        <v>663</v>
      </c>
      <c r="E38" s="34" t="s">
        <v>663</v>
      </c>
      <c r="F38" s="109">
        <v>21166</v>
      </c>
      <c r="G38" s="109">
        <v>21166</v>
      </c>
      <c r="H38" s="109">
        <v>86440</v>
      </c>
      <c r="I38" s="109">
        <v>78216</v>
      </c>
      <c r="J38" s="109">
        <v>305</v>
      </c>
      <c r="K38" s="109">
        <v>10751</v>
      </c>
      <c r="L38" s="109">
        <v>10751</v>
      </c>
      <c r="M38" s="109">
        <v>73718</v>
      </c>
      <c r="N38" s="109">
        <v>70498</v>
      </c>
      <c r="O38" s="109">
        <v>25881</v>
      </c>
      <c r="P38" s="109">
        <v>5436</v>
      </c>
      <c r="Q38" s="109">
        <v>5436</v>
      </c>
      <c r="R38" s="109">
        <v>93564</v>
      </c>
      <c r="S38" s="109">
        <v>53138</v>
      </c>
      <c r="T38" s="109">
        <v>79606</v>
      </c>
      <c r="U38" s="109">
        <v>99199</v>
      </c>
      <c r="V38" s="109">
        <v>99199</v>
      </c>
      <c r="W38" s="109">
        <v>56352</v>
      </c>
      <c r="X38" s="109">
        <v>56117</v>
      </c>
      <c r="Y38" s="109">
        <v>65930</v>
      </c>
      <c r="Z38" s="109">
        <v>127147</v>
      </c>
      <c r="AA38" s="109">
        <v>127147</v>
      </c>
      <c r="AB38" s="109">
        <v>81676</v>
      </c>
      <c r="AC38" s="109">
        <v>86596</v>
      </c>
      <c r="AD38" s="109">
        <v>93026</v>
      </c>
      <c r="AE38" s="109">
        <v>89731</v>
      </c>
      <c r="AF38" s="109">
        <v>89731</v>
      </c>
      <c r="AG38" s="109">
        <v>74790</v>
      </c>
      <c r="AH38" s="109">
        <v>55756</v>
      </c>
      <c r="AI38" s="109">
        <v>34025</v>
      </c>
      <c r="AJ38" s="109">
        <v>201326</v>
      </c>
      <c r="AK38" s="109">
        <v>201326</v>
      </c>
      <c r="AL38" s="109">
        <v>37290</v>
      </c>
      <c r="AM38" s="109">
        <v>61023</v>
      </c>
      <c r="AN38" s="109">
        <v>78816</v>
      </c>
      <c r="AO38" s="109">
        <v>125623</v>
      </c>
      <c r="AP38" s="109">
        <v>125623</v>
      </c>
      <c r="AQ38" s="109">
        <v>101712</v>
      </c>
      <c r="AR38" s="109">
        <v>42432</v>
      </c>
      <c r="AS38" s="109">
        <v>21531</v>
      </c>
      <c r="AT38" s="109">
        <v>13465</v>
      </c>
      <c r="AU38" s="109">
        <v>13465</v>
      </c>
      <c r="AV38" s="109">
        <v>85797</v>
      </c>
      <c r="AW38" s="109">
        <v>97359</v>
      </c>
      <c r="AX38" s="109">
        <v>112474</v>
      </c>
      <c r="AY38" s="109">
        <f>'BS - Consolidado'!J98</f>
        <v>99673</v>
      </c>
      <c r="AZ38" s="109">
        <f t="shared" si="29"/>
        <v>99673</v>
      </c>
      <c r="BA38" s="109">
        <f>'BS - Consolidado'!I98</f>
        <v>135133</v>
      </c>
      <c r="BB38" s="109">
        <f>'BS - Consolidado'!H98</f>
        <v>101219</v>
      </c>
      <c r="BC38" s="109">
        <f>'BS - Consolidado'!G98</f>
        <v>120177</v>
      </c>
      <c r="BD38" s="109">
        <f>'BS - Consolidado'!F98</f>
        <v>42437</v>
      </c>
      <c r="BE38" s="109">
        <f t="shared" si="30"/>
        <v>42437</v>
      </c>
      <c r="BF38" s="109">
        <f>'BS - Consolidado'!E98</f>
        <v>95340</v>
      </c>
      <c r="BG38" s="109">
        <f>'BS - Consolidado'!D98</f>
        <v>52247</v>
      </c>
    </row>
    <row r="39" spans="1:59" x14ac:dyDescent="0.35">
      <c r="A39" s="111" t="s">
        <v>161</v>
      </c>
      <c r="B39" s="111" t="s">
        <v>502</v>
      </c>
      <c r="C39" s="112">
        <v>171358</v>
      </c>
      <c r="D39" s="112">
        <v>180724</v>
      </c>
      <c r="E39" s="112">
        <v>172383</v>
      </c>
      <c r="F39" s="112">
        <v>139675</v>
      </c>
      <c r="G39" s="112">
        <v>139675</v>
      </c>
      <c r="H39" s="112">
        <v>146850</v>
      </c>
      <c r="I39" s="112">
        <v>207282</v>
      </c>
      <c r="J39" s="112">
        <v>202473</v>
      </c>
      <c r="K39" s="112">
        <v>135202</v>
      </c>
      <c r="L39" s="112">
        <v>135202</v>
      </c>
      <c r="M39" s="112">
        <v>138895</v>
      </c>
      <c r="N39" s="112">
        <v>147535</v>
      </c>
      <c r="O39" s="112">
        <v>173176</v>
      </c>
      <c r="P39" s="112">
        <v>161294</v>
      </c>
      <c r="Q39" s="112">
        <v>161294</v>
      </c>
      <c r="R39" s="112">
        <v>190927</v>
      </c>
      <c r="S39" s="112">
        <v>199587</v>
      </c>
      <c r="T39" s="113">
        <v>185617</v>
      </c>
      <c r="U39" s="113">
        <v>210381</v>
      </c>
      <c r="V39" s="112">
        <v>210381</v>
      </c>
      <c r="W39" s="112">
        <v>251630</v>
      </c>
      <c r="X39" s="112">
        <v>231278</v>
      </c>
      <c r="Y39" s="112">
        <v>248312</v>
      </c>
      <c r="Z39" s="112">
        <v>210561</v>
      </c>
      <c r="AA39" s="112">
        <v>210561</v>
      </c>
      <c r="AB39" s="112">
        <v>245445</v>
      </c>
      <c r="AC39" s="112">
        <v>296446</v>
      </c>
      <c r="AD39" s="112">
        <v>360805</v>
      </c>
      <c r="AE39" s="112">
        <v>423213</v>
      </c>
      <c r="AF39" s="112">
        <v>423213</v>
      </c>
      <c r="AG39" s="112">
        <v>436883</v>
      </c>
      <c r="AH39" s="109">
        <v>462058</v>
      </c>
      <c r="AI39" s="112">
        <f>465146+28544</f>
        <v>493690</v>
      </c>
      <c r="AJ39" s="112">
        <f>375209+27344</f>
        <v>402553</v>
      </c>
      <c r="AK39" s="112">
        <f>375209+27344</f>
        <v>402553</v>
      </c>
      <c r="AL39" s="112">
        <f>405432+22420</f>
        <v>427852</v>
      </c>
      <c r="AM39" s="112">
        <f>359139+20709</f>
        <v>379848</v>
      </c>
      <c r="AN39" s="112">
        <f>412800+15719</f>
        <v>428519</v>
      </c>
      <c r="AO39" s="112">
        <v>402259</v>
      </c>
      <c r="AP39" s="112">
        <v>402259</v>
      </c>
      <c r="AQ39" s="112">
        <v>475057</v>
      </c>
      <c r="AR39" s="112">
        <v>499814</v>
      </c>
      <c r="AS39" s="112">
        <v>489167</v>
      </c>
      <c r="AT39" s="112">
        <v>421833</v>
      </c>
      <c r="AU39" s="112">
        <v>421833</v>
      </c>
      <c r="AV39" s="112">
        <v>387875</v>
      </c>
      <c r="AW39" s="112">
        <v>461573</v>
      </c>
      <c r="AX39" s="112">
        <v>512506</v>
      </c>
      <c r="AY39" s="109">
        <f>'BS - Consolidado'!J102</f>
        <v>540808</v>
      </c>
      <c r="AZ39" s="112">
        <f t="shared" si="29"/>
        <v>540808</v>
      </c>
      <c r="BA39" s="109">
        <f>'BS - Consolidado'!I102</f>
        <v>556061</v>
      </c>
      <c r="BB39" s="109">
        <f>'BS - Consolidado'!H102</f>
        <v>476205</v>
      </c>
      <c r="BC39" s="109">
        <f>'BS - Consolidado'!G102</f>
        <v>406249</v>
      </c>
      <c r="BD39" s="109">
        <f>'BS - Consolidado'!F102</f>
        <v>427993</v>
      </c>
      <c r="BE39" s="109">
        <f t="shared" si="30"/>
        <v>427993</v>
      </c>
      <c r="BF39" s="109">
        <f>'BS - Consolidado'!E102</f>
        <v>427191</v>
      </c>
      <c r="BG39" s="109">
        <f>'BS - Consolidado'!D102</f>
        <v>503534</v>
      </c>
    </row>
    <row r="40" spans="1:59" x14ac:dyDescent="0.35">
      <c r="C40" s="114">
        <f t="shared" ref="C40:H40" si="31">SUM(C32:C39)</f>
        <v>2735570</v>
      </c>
      <c r="D40" s="114">
        <f t="shared" si="31"/>
        <v>2804035</v>
      </c>
      <c r="E40" s="114">
        <f t="shared" si="31"/>
        <v>3212579</v>
      </c>
      <c r="F40" s="114">
        <f t="shared" si="31"/>
        <v>3088750</v>
      </c>
      <c r="G40" s="114">
        <f t="shared" si="31"/>
        <v>3088750</v>
      </c>
      <c r="H40" s="114">
        <f t="shared" si="31"/>
        <v>3050738</v>
      </c>
      <c r="I40" s="114">
        <f t="shared" ref="I40:AZ40" si="32">SUM(I32:I39)</f>
        <v>2543452</v>
      </c>
      <c r="J40" s="114">
        <f t="shared" si="32"/>
        <v>2401347</v>
      </c>
      <c r="K40" s="114">
        <f t="shared" si="32"/>
        <v>2521719</v>
      </c>
      <c r="L40" s="114">
        <f t="shared" si="32"/>
        <v>2521719</v>
      </c>
      <c r="M40" s="114">
        <f t="shared" si="32"/>
        <v>2264413</v>
      </c>
      <c r="N40" s="114">
        <f>SUM(N32:N39)</f>
        <v>2889021</v>
      </c>
      <c r="O40" s="114">
        <f t="shared" si="32"/>
        <v>2814111</v>
      </c>
      <c r="P40" s="114">
        <f t="shared" si="32"/>
        <v>3060854</v>
      </c>
      <c r="Q40" s="114">
        <f t="shared" si="32"/>
        <v>3060854</v>
      </c>
      <c r="R40" s="114">
        <f t="shared" si="32"/>
        <v>3109840</v>
      </c>
      <c r="S40" s="114">
        <f>SUM(S32:S39)</f>
        <v>3205581</v>
      </c>
      <c r="T40" s="115">
        <f t="shared" si="32"/>
        <v>3373065</v>
      </c>
      <c r="U40" s="115">
        <f t="shared" si="32"/>
        <v>3261829</v>
      </c>
      <c r="V40" s="115">
        <v>3261829</v>
      </c>
      <c r="W40" s="115">
        <f t="shared" si="32"/>
        <v>3099445</v>
      </c>
      <c r="X40" s="115">
        <f t="shared" si="32"/>
        <v>2853138</v>
      </c>
      <c r="Y40" s="115">
        <f t="shared" si="32"/>
        <v>2915325</v>
      </c>
      <c r="Z40" s="115">
        <f t="shared" si="32"/>
        <v>2583618</v>
      </c>
      <c r="AA40" s="115">
        <v>2583618</v>
      </c>
      <c r="AB40" s="115">
        <f t="shared" si="32"/>
        <v>3694293</v>
      </c>
      <c r="AC40" s="115">
        <f t="shared" si="32"/>
        <v>3602714</v>
      </c>
      <c r="AD40" s="115">
        <f t="shared" si="32"/>
        <v>4693039</v>
      </c>
      <c r="AE40" s="115">
        <f t="shared" si="32"/>
        <v>4352451</v>
      </c>
      <c r="AF40" s="115">
        <v>4352451</v>
      </c>
      <c r="AG40" s="115">
        <f t="shared" si="32"/>
        <v>6139477</v>
      </c>
      <c r="AH40" s="115">
        <f>SUM(AH32:AH39)</f>
        <v>4781777</v>
      </c>
      <c r="AI40" s="115">
        <f t="shared" si="32"/>
        <v>5251184</v>
      </c>
      <c r="AJ40" s="115">
        <f t="shared" si="32"/>
        <v>5166728</v>
      </c>
      <c r="AK40" s="115">
        <f t="shared" ref="AK40" si="33">SUM(AK32:AK39)</f>
        <v>5166728</v>
      </c>
      <c r="AL40" s="115">
        <f t="shared" si="32"/>
        <v>5201765</v>
      </c>
      <c r="AM40" s="115">
        <f t="shared" si="32"/>
        <v>4993647</v>
      </c>
      <c r="AN40" s="115">
        <f t="shared" si="32"/>
        <v>5076040</v>
      </c>
      <c r="AO40" s="115">
        <f t="shared" si="32"/>
        <v>4768463</v>
      </c>
      <c r="AP40" s="115">
        <v>4768463</v>
      </c>
      <c r="AQ40" s="115">
        <f t="shared" si="32"/>
        <v>5655709</v>
      </c>
      <c r="AR40" s="115">
        <f t="shared" si="32"/>
        <v>5134119</v>
      </c>
      <c r="AS40" s="115">
        <f t="shared" si="32"/>
        <v>5105334</v>
      </c>
      <c r="AT40" s="115">
        <f t="shared" si="32"/>
        <v>4617386</v>
      </c>
      <c r="AU40" s="115">
        <f t="shared" ref="AU40" si="34">SUM(AU32:AU39)</f>
        <v>4617386</v>
      </c>
      <c r="AV40" s="115">
        <f t="shared" si="32"/>
        <v>4685931</v>
      </c>
      <c r="AW40" s="115">
        <f t="shared" si="32"/>
        <v>4708332</v>
      </c>
      <c r="AX40" s="115">
        <f t="shared" si="32"/>
        <v>4800189</v>
      </c>
      <c r="AY40" s="115">
        <f t="shared" si="32"/>
        <v>4306159</v>
      </c>
      <c r="AZ40" s="115">
        <f t="shared" si="32"/>
        <v>4306159</v>
      </c>
      <c r="BA40" s="115">
        <f t="shared" ref="BA40:BB40" si="35">SUM(BA32:BA39)</f>
        <v>4461073</v>
      </c>
      <c r="BB40" s="115">
        <f t="shared" si="35"/>
        <v>4128227</v>
      </c>
      <c r="BC40" s="115">
        <f t="shared" ref="BC40:BD40" si="36">SUM(BC32:BC39)</f>
        <v>3788562</v>
      </c>
      <c r="BD40" s="115">
        <f t="shared" si="36"/>
        <v>3498964</v>
      </c>
      <c r="BE40" s="115">
        <f t="shared" ref="BE40" si="37">SUM(BE32:BE39)</f>
        <v>3498964</v>
      </c>
      <c r="BF40" s="115">
        <f t="shared" ref="BF40:BG40" si="38">SUM(BF32:BF39)</f>
        <v>3836016</v>
      </c>
      <c r="BG40" s="115">
        <f t="shared" si="38"/>
        <v>4120529</v>
      </c>
    </row>
    <row r="41" spans="1:59" x14ac:dyDescent="0.35">
      <c r="C41" s="34" t="s">
        <v>663</v>
      </c>
      <c r="D41" s="34" t="s">
        <v>663</v>
      </c>
      <c r="E41" s="34" t="s">
        <v>663</v>
      </c>
    </row>
    <row r="42" spans="1:59" x14ac:dyDescent="0.35">
      <c r="A42" s="28" t="s">
        <v>584</v>
      </c>
      <c r="B42" s="28" t="s">
        <v>612</v>
      </c>
      <c r="C42" s="34" t="s">
        <v>663</v>
      </c>
      <c r="D42" s="34" t="s">
        <v>663</v>
      </c>
      <c r="E42" s="34" t="s">
        <v>663</v>
      </c>
    </row>
    <row r="43" spans="1:59" x14ac:dyDescent="0.35">
      <c r="A43" s="53" t="s">
        <v>588</v>
      </c>
      <c r="B43" s="53" t="s">
        <v>623</v>
      </c>
      <c r="C43" s="109">
        <v>1790353</v>
      </c>
      <c r="D43" s="109">
        <v>1622068</v>
      </c>
      <c r="E43" s="109">
        <v>1783196</v>
      </c>
      <c r="F43" s="109">
        <v>1730153</v>
      </c>
      <c r="G43" s="109">
        <v>1730153</v>
      </c>
      <c r="H43" s="109">
        <v>1628772</v>
      </c>
      <c r="I43" s="109">
        <v>1917312</v>
      </c>
      <c r="J43" s="109">
        <v>1964462</v>
      </c>
      <c r="K43" s="109">
        <v>1877277</v>
      </c>
      <c r="L43" s="109">
        <v>1877277</v>
      </c>
      <c r="M43" s="109">
        <v>2030521</v>
      </c>
      <c r="N43" s="109">
        <v>1707481</v>
      </c>
      <c r="O43" s="109">
        <v>1635279</v>
      </c>
      <c r="P43" s="109">
        <v>1490732</v>
      </c>
      <c r="Q43" s="109">
        <v>1490732</v>
      </c>
      <c r="R43" s="109">
        <f>1276149+602131</f>
        <v>1878280</v>
      </c>
      <c r="S43" s="109">
        <v>1841657</v>
      </c>
      <c r="T43" s="109">
        <f>1375449+445453</f>
        <v>1820902</v>
      </c>
      <c r="U43" s="109">
        <f>1291758+445798</f>
        <v>1737556</v>
      </c>
      <c r="V43" s="109">
        <v>1737556</v>
      </c>
      <c r="W43" s="109">
        <f>1404227+890080</f>
        <v>2294307</v>
      </c>
      <c r="X43" s="109">
        <f>1358854+890776</f>
        <v>2249630</v>
      </c>
      <c r="Y43" s="109">
        <f>1394744+1239285</f>
        <v>2634029</v>
      </c>
      <c r="Z43" s="109">
        <f>1173173+1239713</f>
        <v>2412886</v>
      </c>
      <c r="AA43" s="109">
        <v>2412886</v>
      </c>
      <c r="AB43" s="109">
        <f>1597034+1240433</f>
        <v>2837467</v>
      </c>
      <c r="AC43" s="109">
        <f>1959363+1241100</f>
        <v>3200463</v>
      </c>
      <c r="AD43" s="109">
        <v>3043845</v>
      </c>
      <c r="AE43" s="109">
        <v>3212825</v>
      </c>
      <c r="AF43" s="109">
        <v>3212825</v>
      </c>
      <c r="AG43" s="109">
        <v>2263046</v>
      </c>
      <c r="AH43" s="109">
        <v>3574364</v>
      </c>
      <c r="AI43" s="109">
        <f>2761160+1004462</f>
        <v>3765622</v>
      </c>
      <c r="AJ43" s="109">
        <f>3041331+1009098</f>
        <v>4050429</v>
      </c>
      <c r="AK43" s="109">
        <f>3041331+1009098</f>
        <v>4050429</v>
      </c>
      <c r="AL43" s="109">
        <f>3047073+618636</f>
        <v>3665709</v>
      </c>
      <c r="AM43" s="109">
        <f>3373338+1365491</f>
        <v>4738829</v>
      </c>
      <c r="AN43" s="109">
        <f>3737169+1193190</f>
        <v>4930359</v>
      </c>
      <c r="AO43" s="109">
        <v>5433377</v>
      </c>
      <c r="AP43" s="109">
        <v>5433377</v>
      </c>
      <c r="AQ43" s="109">
        <v>4924655</v>
      </c>
      <c r="AR43" s="109">
        <v>4382987</v>
      </c>
      <c r="AS43" s="109">
        <v>5092090</v>
      </c>
      <c r="AT43" s="109">
        <v>5133934</v>
      </c>
      <c r="AU43" s="109">
        <v>5133934</v>
      </c>
      <c r="AV43" s="109">
        <v>4875884</v>
      </c>
      <c r="AW43" s="109">
        <v>5244652</v>
      </c>
      <c r="AX43" s="109">
        <v>5144600</v>
      </c>
      <c r="AY43" s="109">
        <f>'BS - Consolidado'!J118</f>
        <v>5774050</v>
      </c>
      <c r="AZ43" s="109">
        <f t="shared" ref="AZ43:AZ49" si="39">AY43</f>
        <v>5774050</v>
      </c>
      <c r="BA43" s="109">
        <f>'BS - Consolidado'!I118</f>
        <v>5314654</v>
      </c>
      <c r="BB43" s="109">
        <f>'BS - Consolidado'!H118</f>
        <v>5240740</v>
      </c>
      <c r="BC43" s="109">
        <f>'BS - Consolidado'!G118</f>
        <v>5240584</v>
      </c>
      <c r="BD43" s="109">
        <f>'BS - Consolidado'!F118</f>
        <v>5275350</v>
      </c>
      <c r="BE43" s="109">
        <f t="shared" ref="BE43:BE49" si="40">BD43</f>
        <v>5275350</v>
      </c>
      <c r="BF43" s="109">
        <f>'BS - Consolidado'!E118</f>
        <v>5428057</v>
      </c>
      <c r="BG43" s="109">
        <f>'BS - Consolidado'!D118</f>
        <v>5398534</v>
      </c>
    </row>
    <row r="44" spans="1:59" x14ac:dyDescent="0.35">
      <c r="A44" s="53" t="s">
        <v>590</v>
      </c>
      <c r="B44" s="53" t="s">
        <v>629</v>
      </c>
      <c r="C44" s="109">
        <v>26005</v>
      </c>
      <c r="D44" s="109">
        <v>25223</v>
      </c>
      <c r="E44" s="109">
        <v>40963</v>
      </c>
      <c r="F44" s="109">
        <v>48679</v>
      </c>
      <c r="G44" s="109">
        <v>48679</v>
      </c>
      <c r="H44" s="109">
        <v>48334</v>
      </c>
      <c r="I44" s="109">
        <v>37631</v>
      </c>
      <c r="J44" s="109">
        <v>41605</v>
      </c>
      <c r="K44" s="109">
        <v>70650</v>
      </c>
      <c r="L44" s="109">
        <v>70650</v>
      </c>
      <c r="M44" s="109">
        <v>74973</v>
      </c>
      <c r="N44" s="109">
        <v>80842</v>
      </c>
      <c r="O44" s="109">
        <v>89573</v>
      </c>
      <c r="P44" s="109">
        <v>100663</v>
      </c>
      <c r="Q44" s="109">
        <v>100663</v>
      </c>
      <c r="R44" s="109">
        <v>106686</v>
      </c>
      <c r="S44" s="109">
        <v>104829</v>
      </c>
      <c r="T44" s="109">
        <v>111900</v>
      </c>
      <c r="U44" s="109">
        <v>105150</v>
      </c>
      <c r="V44" s="109">
        <v>105150</v>
      </c>
      <c r="W44" s="109">
        <v>101410</v>
      </c>
      <c r="X44" s="109">
        <v>84568</v>
      </c>
      <c r="Y44" s="109">
        <v>86542</v>
      </c>
      <c r="Z44" s="109">
        <v>83753</v>
      </c>
      <c r="AA44" s="109">
        <v>83753</v>
      </c>
      <c r="AB44" s="109">
        <v>82744</v>
      </c>
      <c r="AC44" s="109">
        <v>84136</v>
      </c>
      <c r="AD44" s="109">
        <v>104246</v>
      </c>
      <c r="AE44" s="109">
        <v>79423</v>
      </c>
      <c r="AF44" s="109">
        <v>79423</v>
      </c>
      <c r="AG44" s="109">
        <v>90726</v>
      </c>
      <c r="AH44" s="109">
        <v>86108</v>
      </c>
      <c r="AI44" s="109">
        <v>100176</v>
      </c>
      <c r="AJ44" s="109">
        <v>90893</v>
      </c>
      <c r="AK44" s="109">
        <v>90893</v>
      </c>
      <c r="AL44" s="109">
        <v>92759</v>
      </c>
      <c r="AM44" s="109">
        <v>77558</v>
      </c>
      <c r="AN44" s="109">
        <v>79580</v>
      </c>
      <c r="AO44" s="109">
        <v>78574</v>
      </c>
      <c r="AP44" s="109">
        <v>78574</v>
      </c>
      <c r="AQ44" s="109">
        <v>77939</v>
      </c>
      <c r="AR44" s="109">
        <v>79259</v>
      </c>
      <c r="AS44" s="109">
        <v>78045</v>
      </c>
      <c r="AT44" s="109">
        <v>78965</v>
      </c>
      <c r="AU44" s="109">
        <v>78965</v>
      </c>
      <c r="AV44" s="109">
        <v>83760</v>
      </c>
      <c r="AW44" s="109">
        <v>85485</v>
      </c>
      <c r="AX44" s="109">
        <v>65433</v>
      </c>
      <c r="AY44" s="109">
        <f>'BS - Consolidado'!J138</f>
        <v>62577</v>
      </c>
      <c r="AZ44" s="109">
        <f t="shared" si="39"/>
        <v>62577</v>
      </c>
      <c r="BA44" s="109">
        <f>'BS - Consolidado'!I138</f>
        <v>61878</v>
      </c>
      <c r="BB44" s="109">
        <f>'BS - Consolidado'!H138</f>
        <v>62266</v>
      </c>
      <c r="BC44" s="109">
        <f>'BS - Consolidado'!G138</f>
        <v>61031</v>
      </c>
      <c r="BD44" s="109">
        <f>'BS - Consolidado'!F138</f>
        <v>42040</v>
      </c>
      <c r="BE44" s="109">
        <f t="shared" si="40"/>
        <v>42040</v>
      </c>
      <c r="BF44" s="109">
        <f>'BS - Consolidado'!E138</f>
        <v>45656</v>
      </c>
      <c r="BG44" s="109">
        <f>'BS - Consolidado'!D138</f>
        <v>65991</v>
      </c>
    </row>
    <row r="45" spans="1:59" x14ac:dyDescent="0.35">
      <c r="A45" s="53" t="s">
        <v>66</v>
      </c>
      <c r="B45" s="53" t="s">
        <v>630</v>
      </c>
      <c r="C45" s="109">
        <v>179030</v>
      </c>
      <c r="D45" s="109">
        <v>153767</v>
      </c>
      <c r="E45" s="109">
        <v>185458</v>
      </c>
      <c r="F45" s="109">
        <v>164662</v>
      </c>
      <c r="G45" s="109">
        <v>164662</v>
      </c>
      <c r="H45" s="109">
        <v>162240</v>
      </c>
      <c r="I45" s="109">
        <v>146056</v>
      </c>
      <c r="J45" s="109">
        <v>146301</v>
      </c>
      <c r="K45" s="109">
        <v>162883</v>
      </c>
      <c r="L45" s="109">
        <v>162883</v>
      </c>
      <c r="M45" s="109">
        <v>164849</v>
      </c>
      <c r="N45" s="109">
        <v>181786</v>
      </c>
      <c r="O45" s="109">
        <v>176300</v>
      </c>
      <c r="P45" s="109">
        <v>169030</v>
      </c>
      <c r="Q45" s="109">
        <v>169030</v>
      </c>
      <c r="R45" s="109">
        <v>163462</v>
      </c>
      <c r="S45" s="109">
        <v>201689</v>
      </c>
      <c r="T45" s="109">
        <v>221847</v>
      </c>
      <c r="U45" s="109">
        <v>199862</v>
      </c>
      <c r="V45" s="109">
        <v>199862</v>
      </c>
      <c r="W45" s="109">
        <v>178767</v>
      </c>
      <c r="X45" s="109">
        <v>165427</v>
      </c>
      <c r="Y45" s="109">
        <v>182911</v>
      </c>
      <c r="Z45" s="109">
        <v>174548</v>
      </c>
      <c r="AA45" s="109">
        <v>174548</v>
      </c>
      <c r="AB45" s="109">
        <v>198721</v>
      </c>
      <c r="AC45" s="109">
        <v>203951</v>
      </c>
      <c r="AD45" s="109">
        <v>221660</v>
      </c>
      <c r="AE45" s="109">
        <v>175180</v>
      </c>
      <c r="AF45" s="109">
        <v>175180</v>
      </c>
      <c r="AG45" s="109">
        <v>192230</v>
      </c>
      <c r="AH45" s="109">
        <v>160053</v>
      </c>
      <c r="AI45" s="109">
        <v>166283</v>
      </c>
      <c r="AJ45" s="109">
        <v>120725</v>
      </c>
      <c r="AK45" s="109">
        <v>120725</v>
      </c>
      <c r="AL45" s="109">
        <v>88254</v>
      </c>
      <c r="AM45" s="109">
        <v>109058</v>
      </c>
      <c r="AN45" s="109">
        <v>82710</v>
      </c>
      <c r="AO45" s="109">
        <v>42904</v>
      </c>
      <c r="AP45" s="109">
        <v>42904</v>
      </c>
      <c r="AQ45" s="109">
        <v>19869</v>
      </c>
      <c r="AR45" s="109">
        <v>52507</v>
      </c>
      <c r="AS45" s="109">
        <v>52221</v>
      </c>
      <c r="AT45" s="109">
        <v>47568</v>
      </c>
      <c r="AU45" s="109">
        <v>47568</v>
      </c>
      <c r="AV45" s="109">
        <v>37286</v>
      </c>
      <c r="AW45" s="109">
        <v>69025</v>
      </c>
      <c r="AX45" s="109">
        <v>57485</v>
      </c>
      <c r="AY45" s="109">
        <f>'BS - Consolidado'!J135</f>
        <v>75899</v>
      </c>
      <c r="AZ45" s="109">
        <f t="shared" si="39"/>
        <v>75899</v>
      </c>
      <c r="BA45" s="109">
        <f>'BS - Consolidado'!I135</f>
        <v>69199</v>
      </c>
      <c r="BB45" s="109">
        <f>'BS - Consolidado'!H135</f>
        <v>77302</v>
      </c>
      <c r="BC45" s="109">
        <f>'BS - Consolidado'!G135</f>
        <v>60833</v>
      </c>
      <c r="BD45" s="109">
        <f>'BS - Consolidado'!F135</f>
        <v>40968</v>
      </c>
      <c r="BE45" s="109">
        <f t="shared" si="40"/>
        <v>40968</v>
      </c>
      <c r="BF45" s="109">
        <f>'BS - Consolidado'!E135</f>
        <v>35498</v>
      </c>
      <c r="BG45" s="109">
        <f>'BS - Consolidado'!D135</f>
        <v>34595</v>
      </c>
    </row>
    <row r="46" spans="1:59" x14ac:dyDescent="0.35">
      <c r="A46" s="53" t="s">
        <v>583</v>
      </c>
      <c r="B46" s="53" t="s">
        <v>611</v>
      </c>
      <c r="C46" s="109" t="s">
        <v>663</v>
      </c>
      <c r="D46" s="109" t="s">
        <v>663</v>
      </c>
      <c r="E46" s="109" t="s">
        <v>663</v>
      </c>
      <c r="F46" s="109" t="s">
        <v>663</v>
      </c>
      <c r="G46" s="116" t="s">
        <v>663</v>
      </c>
      <c r="H46" s="116" t="s">
        <v>663</v>
      </c>
      <c r="I46" s="116" t="s">
        <v>663</v>
      </c>
      <c r="J46" s="116" t="s">
        <v>663</v>
      </c>
      <c r="K46" s="116" t="s">
        <v>663</v>
      </c>
      <c r="L46" s="116" t="s">
        <v>663</v>
      </c>
      <c r="M46" s="116" t="s">
        <v>663</v>
      </c>
      <c r="N46" s="116" t="s">
        <v>663</v>
      </c>
      <c r="O46" s="116" t="s">
        <v>663</v>
      </c>
      <c r="P46" s="116" t="s">
        <v>663</v>
      </c>
      <c r="Q46" s="116" t="s">
        <v>663</v>
      </c>
      <c r="R46" s="116" t="s">
        <v>663</v>
      </c>
      <c r="S46" s="116" t="s">
        <v>663</v>
      </c>
      <c r="T46" s="116" t="s">
        <v>663</v>
      </c>
      <c r="U46" s="116" t="s">
        <v>663</v>
      </c>
      <c r="V46" s="116" t="s">
        <v>663</v>
      </c>
      <c r="W46" s="116" t="s">
        <v>663</v>
      </c>
      <c r="X46" s="116" t="s">
        <v>663</v>
      </c>
      <c r="Y46" s="116" t="s">
        <v>663</v>
      </c>
      <c r="Z46" s="116" t="s">
        <v>663</v>
      </c>
      <c r="AA46" s="116" t="s">
        <v>663</v>
      </c>
      <c r="AB46" s="116" t="s">
        <v>663</v>
      </c>
      <c r="AC46" s="116" t="s">
        <v>663</v>
      </c>
      <c r="AD46" s="116" t="s">
        <v>663</v>
      </c>
      <c r="AE46" s="116" t="s">
        <v>663</v>
      </c>
      <c r="AF46" s="116" t="s">
        <v>663</v>
      </c>
      <c r="AG46" s="116" t="s">
        <v>663</v>
      </c>
      <c r="AH46" s="116" t="s">
        <v>663</v>
      </c>
      <c r="AI46" s="116" t="s">
        <v>663</v>
      </c>
      <c r="AJ46" s="116" t="s">
        <v>663</v>
      </c>
      <c r="AK46" s="116" t="s">
        <v>663</v>
      </c>
      <c r="AL46" s="109">
        <v>1378</v>
      </c>
      <c r="AM46" s="109">
        <v>5464</v>
      </c>
      <c r="AN46" s="109" t="s">
        <v>663</v>
      </c>
      <c r="AO46" s="109">
        <v>1591</v>
      </c>
      <c r="AP46" s="109">
        <v>1591</v>
      </c>
      <c r="AR46" s="109">
        <v>0</v>
      </c>
      <c r="AS46" s="109">
        <v>0</v>
      </c>
      <c r="AT46" s="109">
        <v>489</v>
      </c>
      <c r="AU46" s="109">
        <v>489</v>
      </c>
      <c r="AV46" s="109">
        <v>450</v>
      </c>
      <c r="AW46" s="109">
        <v>206</v>
      </c>
      <c r="AX46" s="109">
        <v>103</v>
      </c>
      <c r="AY46" s="109">
        <f>'BS - Consolidado'!J134</f>
        <v>0</v>
      </c>
      <c r="AZ46" s="109">
        <f t="shared" si="39"/>
        <v>0</v>
      </c>
      <c r="BA46" s="109">
        <f>'BS - Consolidado'!I134</f>
        <v>0</v>
      </c>
      <c r="BB46" s="109">
        <f>'BS - Consolidado'!H134</f>
        <v>0</v>
      </c>
      <c r="BC46" s="109">
        <f>'BS - Consolidado'!G134</f>
        <v>0</v>
      </c>
      <c r="BD46" s="109">
        <f>'BS - Consolidado'!F134</f>
        <v>0</v>
      </c>
      <c r="BE46" s="109">
        <f t="shared" si="40"/>
        <v>0</v>
      </c>
      <c r="BF46" s="109">
        <f>'BS - Consolidado'!E134</f>
        <v>0</v>
      </c>
      <c r="BG46" s="109">
        <f>'BS - Consolidado'!D134</f>
        <v>0</v>
      </c>
    </row>
    <row r="47" spans="1:59" x14ac:dyDescent="0.35">
      <c r="A47" s="53" t="s">
        <v>664</v>
      </c>
      <c r="B47" s="53" t="s">
        <v>665</v>
      </c>
      <c r="C47" s="109">
        <v>9349</v>
      </c>
      <c r="D47" s="34" t="s">
        <v>663</v>
      </c>
      <c r="E47" s="34" t="s">
        <v>663</v>
      </c>
      <c r="F47" s="34" t="s">
        <v>663</v>
      </c>
      <c r="G47" s="34" t="s">
        <v>663</v>
      </c>
      <c r="H47" s="34" t="s">
        <v>663</v>
      </c>
      <c r="I47" s="34" t="s">
        <v>663</v>
      </c>
      <c r="J47" s="34" t="s">
        <v>663</v>
      </c>
      <c r="K47" s="34" t="s">
        <v>663</v>
      </c>
      <c r="L47" s="34" t="s">
        <v>663</v>
      </c>
      <c r="M47" s="34" t="s">
        <v>663</v>
      </c>
      <c r="N47" s="34" t="s">
        <v>663</v>
      </c>
      <c r="O47" s="34" t="s">
        <v>663</v>
      </c>
      <c r="P47" s="34" t="s">
        <v>663</v>
      </c>
      <c r="Q47" s="34" t="s">
        <v>663</v>
      </c>
      <c r="R47" s="34" t="s">
        <v>663</v>
      </c>
      <c r="S47" s="34" t="s">
        <v>663</v>
      </c>
      <c r="T47" s="34" t="s">
        <v>663</v>
      </c>
      <c r="U47" s="34" t="s">
        <v>663</v>
      </c>
      <c r="V47" s="34" t="s">
        <v>663</v>
      </c>
      <c r="W47" s="34" t="s">
        <v>663</v>
      </c>
      <c r="X47" s="34" t="s">
        <v>663</v>
      </c>
      <c r="Y47" s="34" t="s">
        <v>663</v>
      </c>
      <c r="Z47" s="34" t="s">
        <v>663</v>
      </c>
      <c r="AA47" s="34" t="s">
        <v>663</v>
      </c>
      <c r="AB47" s="34" t="s">
        <v>663</v>
      </c>
      <c r="AC47" s="34" t="s">
        <v>663</v>
      </c>
      <c r="AD47" s="34" t="s">
        <v>663</v>
      </c>
      <c r="AE47" s="34" t="s">
        <v>663</v>
      </c>
      <c r="AF47" s="34" t="s">
        <v>663</v>
      </c>
      <c r="AG47" s="34" t="s">
        <v>663</v>
      </c>
      <c r="AH47" s="34" t="s">
        <v>663</v>
      </c>
      <c r="AI47" s="34" t="s">
        <v>663</v>
      </c>
      <c r="AJ47" s="34" t="s">
        <v>663</v>
      </c>
      <c r="AK47" s="34" t="s">
        <v>663</v>
      </c>
      <c r="AL47" s="34" t="s">
        <v>663</v>
      </c>
      <c r="AM47" s="34" t="s">
        <v>663</v>
      </c>
      <c r="AN47" s="34" t="s">
        <v>663</v>
      </c>
      <c r="AO47" s="34" t="s">
        <v>663</v>
      </c>
      <c r="AP47" s="34" t="s">
        <v>663</v>
      </c>
      <c r="AQ47" s="34" t="s">
        <v>663</v>
      </c>
      <c r="AR47" s="34" t="s">
        <v>663</v>
      </c>
      <c r="AS47" s="34" t="s">
        <v>663</v>
      </c>
      <c r="AT47" s="34" t="s">
        <v>663</v>
      </c>
      <c r="AU47" s="34" t="s">
        <v>663</v>
      </c>
      <c r="AV47" s="34" t="s">
        <v>663</v>
      </c>
      <c r="AY47" s="109" t="s">
        <v>663</v>
      </c>
      <c r="AZ47" s="34" t="str">
        <f t="shared" si="39"/>
        <v>-</v>
      </c>
      <c r="BA47" s="109" t="s">
        <v>663</v>
      </c>
      <c r="BB47" s="109" t="s">
        <v>663</v>
      </c>
      <c r="BC47" s="109" t="s">
        <v>663</v>
      </c>
      <c r="BD47" s="109" t="s">
        <v>663</v>
      </c>
      <c r="BE47" s="109" t="str">
        <f t="shared" si="40"/>
        <v>-</v>
      </c>
      <c r="BF47" s="109" t="s">
        <v>663</v>
      </c>
      <c r="BG47" s="109" t="s">
        <v>663</v>
      </c>
    </row>
    <row r="48" spans="1:59" x14ac:dyDescent="0.35">
      <c r="A48" s="53" t="s">
        <v>591</v>
      </c>
      <c r="B48" s="53" t="s">
        <v>631</v>
      </c>
      <c r="C48" s="109">
        <v>389153</v>
      </c>
      <c r="D48" s="109">
        <v>387201</v>
      </c>
      <c r="E48" s="109">
        <v>489991</v>
      </c>
      <c r="F48" s="109">
        <v>462299</v>
      </c>
      <c r="G48" s="109">
        <v>462299</v>
      </c>
      <c r="H48" s="109">
        <v>436969</v>
      </c>
      <c r="I48" s="109">
        <v>379533</v>
      </c>
      <c r="J48" s="109">
        <v>387215</v>
      </c>
      <c r="K48" s="109">
        <v>383157</v>
      </c>
      <c r="L48" s="109">
        <v>383157</v>
      </c>
      <c r="M48" s="109">
        <v>374882</v>
      </c>
      <c r="N48" s="109">
        <v>412973</v>
      </c>
      <c r="O48" s="109">
        <v>404578</v>
      </c>
      <c r="P48" s="109">
        <v>421237</v>
      </c>
      <c r="Q48" s="109">
        <v>421237</v>
      </c>
      <c r="R48" s="109">
        <v>429673</v>
      </c>
      <c r="S48" s="109">
        <v>466872</v>
      </c>
      <c r="T48" s="109">
        <v>474051</v>
      </c>
      <c r="U48" s="109">
        <v>471053</v>
      </c>
      <c r="V48" s="109">
        <v>471053</v>
      </c>
      <c r="W48" s="109">
        <v>463959</v>
      </c>
      <c r="X48" s="109">
        <v>459380</v>
      </c>
      <c r="Y48" s="109">
        <v>478073</v>
      </c>
      <c r="Z48" s="109">
        <v>515932</v>
      </c>
      <c r="AA48" s="109">
        <v>515932</v>
      </c>
      <c r="AB48" s="109">
        <v>641121</v>
      </c>
      <c r="AC48" s="109">
        <v>678251</v>
      </c>
      <c r="AD48" s="109">
        <v>715811</v>
      </c>
      <c r="AE48" s="109">
        <v>701929</v>
      </c>
      <c r="AF48" s="109">
        <v>701929</v>
      </c>
      <c r="AG48" s="109">
        <v>730273</v>
      </c>
      <c r="AH48" s="109">
        <v>643352</v>
      </c>
      <c r="AI48" s="109">
        <v>677397</v>
      </c>
      <c r="AJ48" s="109">
        <v>616795</v>
      </c>
      <c r="AK48" s="109">
        <v>616795</v>
      </c>
      <c r="AL48" s="109">
        <v>512224</v>
      </c>
      <c r="AM48" s="109">
        <v>535043</v>
      </c>
      <c r="AN48" s="109">
        <f>515240</f>
        <v>515240</v>
      </c>
      <c r="AO48" s="109">
        <v>462259</v>
      </c>
      <c r="AP48" s="109">
        <v>462259</v>
      </c>
      <c r="AQ48" s="109">
        <v>436477</v>
      </c>
      <c r="AR48" s="109">
        <v>418091</v>
      </c>
      <c r="AS48" s="109">
        <v>420829</v>
      </c>
      <c r="AT48" s="109">
        <v>424222</v>
      </c>
      <c r="AU48" s="109">
        <v>424222</v>
      </c>
      <c r="AV48" s="109">
        <v>444097</v>
      </c>
      <c r="AW48" s="109">
        <v>459977</v>
      </c>
      <c r="AX48" s="109">
        <v>460629</v>
      </c>
      <c r="AY48" s="109">
        <f>'BS - Consolidado'!J147</f>
        <v>477376</v>
      </c>
      <c r="AZ48" s="109">
        <f t="shared" si="39"/>
        <v>477376</v>
      </c>
      <c r="BA48" s="109">
        <f>'BS - Consolidado'!I147</f>
        <v>450596</v>
      </c>
      <c r="BB48" s="109">
        <f>'BS - Consolidado'!H147</f>
        <v>479171</v>
      </c>
      <c r="BC48" s="109">
        <f>'BS - Consolidado'!G147</f>
        <v>463888</v>
      </c>
      <c r="BD48" s="109">
        <f>'BS - Consolidado'!F147</f>
        <v>439751</v>
      </c>
      <c r="BE48" s="109">
        <f t="shared" si="40"/>
        <v>439751</v>
      </c>
      <c r="BF48" s="109">
        <f>'BS - Consolidado'!E147</f>
        <v>431370</v>
      </c>
      <c r="BG48" s="109">
        <f>'BS - Consolidado'!D147</f>
        <v>424604</v>
      </c>
    </row>
    <row r="49" spans="1:63" x14ac:dyDescent="0.35">
      <c r="A49" s="111" t="s">
        <v>161</v>
      </c>
      <c r="B49" s="111" t="s">
        <v>502</v>
      </c>
      <c r="C49" s="112">
        <v>42210</v>
      </c>
      <c r="D49" s="112">
        <v>52857</v>
      </c>
      <c r="E49" s="112">
        <v>48460</v>
      </c>
      <c r="F49" s="112">
        <v>39346</v>
      </c>
      <c r="G49" s="112">
        <v>39346</v>
      </c>
      <c r="H49" s="112">
        <v>34679</v>
      </c>
      <c r="I49" s="112">
        <v>24751</v>
      </c>
      <c r="J49" s="112">
        <v>23797</v>
      </c>
      <c r="K49" s="112">
        <v>24352</v>
      </c>
      <c r="L49" s="112">
        <v>24352</v>
      </c>
      <c r="M49" s="112">
        <v>24579</v>
      </c>
      <c r="N49" s="112">
        <v>28358</v>
      </c>
      <c r="O49" s="112">
        <v>36168</v>
      </c>
      <c r="P49" s="112">
        <v>49227</v>
      </c>
      <c r="Q49" s="112">
        <v>49227</v>
      </c>
      <c r="R49" s="112">
        <v>46136</v>
      </c>
      <c r="S49" s="112">
        <v>46583</v>
      </c>
      <c r="T49" s="112">
        <v>47899</v>
      </c>
      <c r="U49" s="112">
        <v>45213</v>
      </c>
      <c r="V49" s="112">
        <v>45213</v>
      </c>
      <c r="W49" s="112">
        <v>88021</v>
      </c>
      <c r="X49" s="112">
        <v>94543</v>
      </c>
      <c r="Y49" s="112">
        <v>99275</v>
      </c>
      <c r="Z49" s="112">
        <v>107698</v>
      </c>
      <c r="AA49" s="112">
        <v>107698</v>
      </c>
      <c r="AB49" s="112">
        <v>78463</v>
      </c>
      <c r="AC49" s="112">
        <v>78398</v>
      </c>
      <c r="AD49" s="112">
        <v>76049</v>
      </c>
      <c r="AE49" s="112">
        <v>87234</v>
      </c>
      <c r="AF49" s="112">
        <v>87234</v>
      </c>
      <c r="AG49" s="112">
        <v>86951</v>
      </c>
      <c r="AH49" s="112">
        <v>64431</v>
      </c>
      <c r="AI49" s="112">
        <f>29955+26233</f>
        <v>56188</v>
      </c>
      <c r="AJ49" s="112">
        <f>51937+23904</f>
        <v>75841</v>
      </c>
      <c r="AK49" s="112">
        <f>51937+23904</f>
        <v>75841</v>
      </c>
      <c r="AL49" s="112">
        <f>91119+16333</f>
        <v>107452</v>
      </c>
      <c r="AM49" s="112">
        <f>88251+16793</f>
        <v>105044</v>
      </c>
      <c r="AN49" s="112">
        <f>86362+16342</f>
        <v>102704</v>
      </c>
      <c r="AO49" s="112">
        <v>115480</v>
      </c>
      <c r="AP49" s="112">
        <v>115480</v>
      </c>
      <c r="AQ49" s="34">
        <v>136452</v>
      </c>
      <c r="AR49" s="109">
        <v>117794</v>
      </c>
      <c r="AS49" s="34">
        <v>126059</v>
      </c>
      <c r="AT49" s="109">
        <v>146523</v>
      </c>
      <c r="AU49" s="112">
        <v>146523</v>
      </c>
      <c r="AV49" s="112">
        <v>134841</v>
      </c>
      <c r="AW49" s="112">
        <v>181828</v>
      </c>
      <c r="AX49" s="112">
        <v>184417</v>
      </c>
      <c r="AY49" s="112">
        <f>'BS - Consolidado'!J129</f>
        <v>194328</v>
      </c>
      <c r="AZ49" s="112">
        <f t="shared" si="39"/>
        <v>194328</v>
      </c>
      <c r="BA49" s="112">
        <f>'BS - Consolidado'!I129</f>
        <v>193529</v>
      </c>
      <c r="BB49" s="112">
        <f>'BS - Consolidado'!H129</f>
        <v>170753</v>
      </c>
      <c r="BC49" s="112">
        <f>'BS - Consolidado'!G129</f>
        <v>169008</v>
      </c>
      <c r="BD49" s="112">
        <f>'BS - Consolidado'!F129</f>
        <v>243662</v>
      </c>
      <c r="BE49" s="112">
        <f t="shared" si="40"/>
        <v>243662</v>
      </c>
      <c r="BF49" s="112">
        <f>'BS - Consolidado'!E129</f>
        <v>208688</v>
      </c>
      <c r="BG49" s="112">
        <f>'BS - Consolidado'!D129</f>
        <v>198369</v>
      </c>
    </row>
    <row r="50" spans="1:63" x14ac:dyDescent="0.35">
      <c r="C50" s="114">
        <f>SUM(C43:C49)</f>
        <v>2436100</v>
      </c>
      <c r="D50" s="114">
        <f>SUM(D43:D49)</f>
        <v>2241116</v>
      </c>
      <c r="E50" s="114">
        <f>SUM(E43:E49)</f>
        <v>2548068</v>
      </c>
      <c r="F50" s="114">
        <f>SUM(F43:F49)</f>
        <v>2445139</v>
      </c>
      <c r="G50" s="114">
        <f>SUM(G43:G49)</f>
        <v>2445139</v>
      </c>
      <c r="H50" s="114">
        <f t="shared" ref="H50:AZ50" si="41">SUM(H43:H49)</f>
        <v>2310994</v>
      </c>
      <c r="I50" s="114">
        <f t="shared" si="41"/>
        <v>2505283</v>
      </c>
      <c r="J50" s="114">
        <f t="shared" si="41"/>
        <v>2563380</v>
      </c>
      <c r="K50" s="114">
        <f t="shared" si="41"/>
        <v>2518319</v>
      </c>
      <c r="L50" s="114">
        <f t="shared" si="41"/>
        <v>2518319</v>
      </c>
      <c r="M50" s="114">
        <f t="shared" si="41"/>
        <v>2669804</v>
      </c>
      <c r="N50" s="114">
        <f t="shared" si="41"/>
        <v>2411440</v>
      </c>
      <c r="O50" s="114">
        <f t="shared" si="41"/>
        <v>2341898</v>
      </c>
      <c r="P50" s="114">
        <f t="shared" si="41"/>
        <v>2230889</v>
      </c>
      <c r="Q50" s="114">
        <f t="shared" si="41"/>
        <v>2230889</v>
      </c>
      <c r="R50" s="114">
        <f t="shared" si="41"/>
        <v>2624237</v>
      </c>
      <c r="S50" s="114">
        <f t="shared" si="41"/>
        <v>2661630</v>
      </c>
      <c r="T50" s="114">
        <f>SUM(T43:T49)</f>
        <v>2676599</v>
      </c>
      <c r="U50" s="114">
        <f t="shared" si="41"/>
        <v>2558834</v>
      </c>
      <c r="V50" s="114">
        <v>2558834</v>
      </c>
      <c r="W50" s="114">
        <f t="shared" si="41"/>
        <v>3126464</v>
      </c>
      <c r="X50" s="114">
        <f t="shared" si="41"/>
        <v>3053548</v>
      </c>
      <c r="Y50" s="114">
        <f t="shared" si="41"/>
        <v>3480830</v>
      </c>
      <c r="Z50" s="114">
        <f t="shared" si="41"/>
        <v>3294817</v>
      </c>
      <c r="AA50" s="114">
        <v>3294817</v>
      </c>
      <c r="AB50" s="114">
        <f t="shared" si="41"/>
        <v>3838516</v>
      </c>
      <c r="AC50" s="114">
        <f t="shared" si="41"/>
        <v>4245199</v>
      </c>
      <c r="AD50" s="114">
        <f t="shared" si="41"/>
        <v>4161611</v>
      </c>
      <c r="AE50" s="114">
        <f t="shared" si="41"/>
        <v>4256591</v>
      </c>
      <c r="AF50" s="114">
        <v>4256591</v>
      </c>
      <c r="AG50" s="114">
        <f t="shared" si="41"/>
        <v>3363226</v>
      </c>
      <c r="AH50" s="114">
        <f>SUM(AH43:AH49)</f>
        <v>4528308</v>
      </c>
      <c r="AI50" s="114">
        <f t="shared" si="41"/>
        <v>4765666</v>
      </c>
      <c r="AJ50" s="114">
        <f t="shared" si="41"/>
        <v>4954683</v>
      </c>
      <c r="AK50" s="114">
        <f t="shared" ref="AK50" si="42">SUM(AK43:AK49)</f>
        <v>4954683</v>
      </c>
      <c r="AL50" s="114">
        <f t="shared" si="41"/>
        <v>4467776</v>
      </c>
      <c r="AM50" s="114">
        <f t="shared" si="41"/>
        <v>5570996</v>
      </c>
      <c r="AN50" s="114">
        <f t="shared" si="41"/>
        <v>5710593</v>
      </c>
      <c r="AO50" s="114">
        <f t="shared" si="41"/>
        <v>6134185</v>
      </c>
      <c r="AP50" s="114">
        <v>6134185</v>
      </c>
      <c r="AQ50" s="114">
        <f t="shared" ref="AQ50:AX50" si="43">SUM(AQ43:AQ49)</f>
        <v>5595392</v>
      </c>
      <c r="AR50" s="114">
        <f t="shared" si="43"/>
        <v>5050638</v>
      </c>
      <c r="AS50" s="114">
        <f t="shared" si="43"/>
        <v>5769244</v>
      </c>
      <c r="AT50" s="114">
        <f t="shared" si="43"/>
        <v>5831701</v>
      </c>
      <c r="AU50" s="114">
        <f t="shared" si="43"/>
        <v>5831701</v>
      </c>
      <c r="AV50" s="114">
        <f t="shared" si="43"/>
        <v>5576318</v>
      </c>
      <c r="AW50" s="114">
        <f t="shared" si="43"/>
        <v>6041173</v>
      </c>
      <c r="AX50" s="114">
        <f t="shared" si="43"/>
        <v>5912667</v>
      </c>
      <c r="AY50" s="114">
        <f t="shared" si="41"/>
        <v>6584230</v>
      </c>
      <c r="AZ50" s="114">
        <f t="shared" si="41"/>
        <v>6584230</v>
      </c>
      <c r="BA50" s="114">
        <f t="shared" ref="BA50:BB50" si="44">SUM(BA43:BA49)</f>
        <v>6089856</v>
      </c>
      <c r="BB50" s="114">
        <f t="shared" si="44"/>
        <v>6030232</v>
      </c>
      <c r="BC50" s="114">
        <f t="shared" ref="BC50:BD50" si="45">SUM(BC43:BC49)</f>
        <v>5995344</v>
      </c>
      <c r="BD50" s="114">
        <f t="shared" si="45"/>
        <v>6041771</v>
      </c>
      <c r="BE50" s="114">
        <f t="shared" ref="BE50" si="46">SUM(BE43:BE49)</f>
        <v>6041771</v>
      </c>
      <c r="BF50" s="114">
        <f t="shared" ref="BF50:BG50" si="47">SUM(BF43:BF49)</f>
        <v>6149269</v>
      </c>
      <c r="BG50" s="114">
        <f t="shared" si="47"/>
        <v>6122093</v>
      </c>
    </row>
    <row r="51" spans="1:63" x14ac:dyDescent="0.35">
      <c r="A51" s="28" t="s">
        <v>592</v>
      </c>
      <c r="B51" s="28" t="s">
        <v>632</v>
      </c>
    </row>
    <row r="52" spans="1:63" x14ac:dyDescent="0.35">
      <c r="A52" s="53" t="s">
        <v>593</v>
      </c>
      <c r="B52" s="53" t="s">
        <v>633</v>
      </c>
      <c r="C52" s="109">
        <v>700000</v>
      </c>
      <c r="D52" s="109">
        <v>700000</v>
      </c>
      <c r="E52" s="109">
        <v>700000</v>
      </c>
      <c r="F52" s="109">
        <v>700000</v>
      </c>
      <c r="G52" s="109">
        <v>700000</v>
      </c>
      <c r="H52" s="109">
        <v>700000</v>
      </c>
      <c r="I52" s="109">
        <v>700000</v>
      </c>
      <c r="J52" s="109">
        <v>700000</v>
      </c>
      <c r="K52" s="109">
        <v>700000</v>
      </c>
      <c r="L52" s="109">
        <v>700000</v>
      </c>
      <c r="M52" s="109">
        <v>1254323</v>
      </c>
      <c r="N52" s="109">
        <v>1254422</v>
      </c>
      <c r="O52" s="109">
        <v>1262653</v>
      </c>
      <c r="P52" s="109">
        <v>1277398</v>
      </c>
      <c r="Q52" s="109">
        <v>1277398</v>
      </c>
      <c r="R52" s="109">
        <v>1407536</v>
      </c>
      <c r="S52" s="109">
        <v>1407536</v>
      </c>
      <c r="T52" s="109">
        <v>1407536</v>
      </c>
      <c r="U52" s="109">
        <v>1407536</v>
      </c>
      <c r="V52" s="109">
        <v>1407536</v>
      </c>
      <c r="W52" s="109">
        <v>1407536</v>
      </c>
      <c r="X52" s="109">
        <v>1447474</v>
      </c>
      <c r="Y52" s="109">
        <v>1447474</v>
      </c>
      <c r="Z52" s="109">
        <v>1576954</v>
      </c>
      <c r="AA52" s="109">
        <v>1576954</v>
      </c>
      <c r="AB52" s="109">
        <v>1576954</v>
      </c>
      <c r="AC52" s="109">
        <v>1576954</v>
      </c>
      <c r="AD52" s="109">
        <v>1576954</v>
      </c>
      <c r="AE52" s="109">
        <v>1576954</v>
      </c>
      <c r="AF52" s="109">
        <v>1576954</v>
      </c>
      <c r="AG52" s="109">
        <v>1576954</v>
      </c>
      <c r="AH52" s="109">
        <v>1576954</v>
      </c>
      <c r="AI52" s="109">
        <v>1576954</v>
      </c>
      <c r="AJ52" s="109">
        <v>1576954</v>
      </c>
      <c r="AK52" s="109">
        <v>1576954</v>
      </c>
      <c r="AL52" s="109">
        <v>1576954</v>
      </c>
      <c r="AM52" s="109">
        <v>1576954</v>
      </c>
      <c r="AN52" s="109">
        <v>1576954</v>
      </c>
      <c r="AO52" s="109">
        <v>1576954</v>
      </c>
      <c r="AP52" s="109">
        <v>1576954</v>
      </c>
      <c r="AQ52" s="109">
        <v>1576954</v>
      </c>
      <c r="AR52" s="109">
        <v>1576954</v>
      </c>
      <c r="AS52" s="109">
        <v>1576954</v>
      </c>
      <c r="AT52" s="109">
        <v>1576954</v>
      </c>
      <c r="AU52" s="109">
        <v>1576954</v>
      </c>
      <c r="AV52" s="109">
        <v>1576954</v>
      </c>
      <c r="AW52" s="109">
        <v>1576954</v>
      </c>
      <c r="AX52" s="109">
        <v>1576954</v>
      </c>
      <c r="AY52" s="109">
        <f>'BS - Consolidado'!J156</f>
        <v>1576954</v>
      </c>
      <c r="AZ52" s="109">
        <f t="shared" ref="AZ52:AZ59" si="48">AY52</f>
        <v>1576954</v>
      </c>
      <c r="BA52" s="109">
        <f>'BS - Consolidado'!I156</f>
        <v>1576954</v>
      </c>
      <c r="BB52" s="109">
        <f>'BS - Consolidado'!H156</f>
        <v>1576954</v>
      </c>
      <c r="BC52" s="109">
        <f>'BS - Consolidado'!G156</f>
        <v>1576954</v>
      </c>
      <c r="BD52" s="109">
        <f>'BS - Consolidado'!F156</f>
        <v>1576954</v>
      </c>
      <c r="BE52" s="109">
        <f>'BS - Consolidado'!G156</f>
        <v>1576954</v>
      </c>
      <c r="BF52" s="109">
        <f>'BS - Consolidado'!E156</f>
        <v>1576954</v>
      </c>
      <c r="BG52" s="109">
        <f>'BS - Consolidado'!D156</f>
        <v>1576954</v>
      </c>
    </row>
    <row r="53" spans="1:63" x14ac:dyDescent="0.35">
      <c r="A53" s="53" t="s">
        <v>594</v>
      </c>
      <c r="B53" s="53" t="s">
        <v>634</v>
      </c>
      <c r="C53" s="109">
        <v>3083</v>
      </c>
      <c r="D53" s="109">
        <v>2783</v>
      </c>
      <c r="E53" s="109">
        <v>2783</v>
      </c>
      <c r="F53" s="109">
        <v>2783</v>
      </c>
      <c r="G53" s="109">
        <v>2783</v>
      </c>
      <c r="H53" s="109">
        <v>2783</v>
      </c>
      <c r="I53" s="109">
        <v>2783</v>
      </c>
      <c r="J53" s="109">
        <v>2783</v>
      </c>
      <c r="K53" s="109">
        <v>2783</v>
      </c>
      <c r="L53" s="109">
        <v>2783</v>
      </c>
      <c r="M53" s="109">
        <v>2783</v>
      </c>
      <c r="N53" s="109">
        <v>3019</v>
      </c>
      <c r="O53" s="109">
        <v>3061</v>
      </c>
      <c r="P53" s="109">
        <v>3080</v>
      </c>
      <c r="Q53" s="109">
        <v>3080</v>
      </c>
      <c r="R53" s="109">
        <v>3094</v>
      </c>
      <c r="S53" s="109">
        <v>3025</v>
      </c>
      <c r="T53" s="109">
        <v>3049</v>
      </c>
      <c r="U53" s="109">
        <v>3084</v>
      </c>
      <c r="V53" s="109">
        <v>3084</v>
      </c>
      <c r="W53" s="109">
        <v>3084</v>
      </c>
      <c r="X53" s="109">
        <v>3100</v>
      </c>
      <c r="Y53" s="109">
        <v>3071</v>
      </c>
      <c r="Z53" s="109">
        <v>3071</v>
      </c>
      <c r="AA53" s="109">
        <v>3071</v>
      </c>
      <c r="AB53" s="109">
        <v>3061</v>
      </c>
      <c r="AC53" s="109">
        <v>3061</v>
      </c>
      <c r="AD53" s="109">
        <v>3061</v>
      </c>
      <c r="AE53" s="109">
        <v>3061</v>
      </c>
      <c r="AF53" s="109">
        <v>3061</v>
      </c>
      <c r="AG53" s="109">
        <v>3061</v>
      </c>
      <c r="AH53" s="109">
        <v>3061</v>
      </c>
      <c r="AI53" s="109">
        <v>3061</v>
      </c>
      <c r="AJ53" s="109">
        <v>3061</v>
      </c>
      <c r="AK53" s="109">
        <v>3061</v>
      </c>
      <c r="AL53" s="109">
        <v>3061</v>
      </c>
      <c r="AM53" s="109">
        <v>3061</v>
      </c>
      <c r="AN53" s="109">
        <v>3061</v>
      </c>
      <c r="AO53" s="109">
        <v>3061</v>
      </c>
      <c r="AP53" s="109">
        <v>3061</v>
      </c>
      <c r="AQ53" s="109">
        <v>3061</v>
      </c>
      <c r="AR53" s="109">
        <v>3061</v>
      </c>
      <c r="AS53" s="109">
        <v>0</v>
      </c>
      <c r="AT53" s="109">
        <v>0</v>
      </c>
      <c r="AU53" s="109">
        <v>0</v>
      </c>
      <c r="AV53" s="109">
        <v>0</v>
      </c>
      <c r="AW53" s="109">
        <v>0</v>
      </c>
      <c r="AX53" s="109"/>
      <c r="AY53" s="109"/>
      <c r="AZ53" s="109">
        <f t="shared" si="48"/>
        <v>0</v>
      </c>
      <c r="BA53" s="109"/>
      <c r="BB53" s="109"/>
      <c r="BC53" s="109"/>
      <c r="BD53" s="109"/>
      <c r="BE53" s="109"/>
      <c r="BF53" s="109"/>
      <c r="BG53" s="109"/>
    </row>
    <row r="54" spans="1:63" x14ac:dyDescent="0.35">
      <c r="A54" s="53" t="s">
        <v>595</v>
      </c>
      <c r="B54" s="53" t="s">
        <v>635</v>
      </c>
      <c r="C54" s="109">
        <v>256546</v>
      </c>
      <c r="D54" s="109">
        <v>256846</v>
      </c>
      <c r="E54" s="109">
        <v>256846</v>
      </c>
      <c r="F54" s="109">
        <v>292407</v>
      </c>
      <c r="G54" s="109">
        <v>292407</v>
      </c>
      <c r="H54" s="109">
        <v>292407</v>
      </c>
      <c r="I54" s="109">
        <v>292407</v>
      </c>
      <c r="J54" s="109">
        <v>292407</v>
      </c>
      <c r="K54" s="109">
        <v>310193</v>
      </c>
      <c r="L54" s="109">
        <v>310193</v>
      </c>
      <c r="M54" s="109">
        <v>310193</v>
      </c>
      <c r="N54" s="109">
        <v>310193</v>
      </c>
      <c r="O54" s="109">
        <v>310193</v>
      </c>
      <c r="P54" s="109">
        <v>317286</v>
      </c>
      <c r="Q54" s="109">
        <v>317286</v>
      </c>
      <c r="R54" s="109">
        <v>404280</v>
      </c>
      <c r="S54" s="109">
        <v>252380</v>
      </c>
      <c r="T54" s="109">
        <v>217899</v>
      </c>
      <c r="U54" s="109">
        <v>393156</v>
      </c>
      <c r="V54" s="109">
        <v>393156</v>
      </c>
      <c r="W54" s="109">
        <v>393156</v>
      </c>
      <c r="X54" s="109">
        <v>393156</v>
      </c>
      <c r="Y54" s="109">
        <v>364959</v>
      </c>
      <c r="Z54" s="109">
        <v>606530</v>
      </c>
      <c r="AA54" s="109">
        <v>606530</v>
      </c>
      <c r="AB54" s="109">
        <v>606530</v>
      </c>
      <c r="AC54" s="109">
        <v>606530</v>
      </c>
      <c r="AD54" s="109">
        <v>606530</v>
      </c>
      <c r="AE54" s="109">
        <v>120921</v>
      </c>
      <c r="AF54" s="109">
        <v>120921</v>
      </c>
      <c r="AG54" s="109">
        <v>120921</v>
      </c>
      <c r="AH54" s="109">
        <v>120921</v>
      </c>
      <c r="AI54" s="109">
        <v>120921</v>
      </c>
      <c r="AJ54" s="109">
        <v>450209</v>
      </c>
      <c r="AK54" s="109">
        <v>450209</v>
      </c>
      <c r="AL54" s="109">
        <v>450209</v>
      </c>
      <c r="AM54" s="109">
        <v>414628</v>
      </c>
      <c r="AN54" s="109">
        <v>384583</v>
      </c>
      <c r="AO54" s="109">
        <v>623446</v>
      </c>
      <c r="AP54" s="109">
        <v>623446</v>
      </c>
      <c r="AQ54" s="109">
        <v>623446</v>
      </c>
      <c r="AR54" s="109">
        <v>623446</v>
      </c>
      <c r="AS54" s="109">
        <v>623446</v>
      </c>
      <c r="AT54" s="109">
        <v>645807.85</v>
      </c>
      <c r="AU54" s="109">
        <v>645807.85</v>
      </c>
      <c r="AV54" s="109">
        <v>645808</v>
      </c>
      <c r="AW54" s="109">
        <v>626617</v>
      </c>
      <c r="AX54" s="109">
        <v>568358</v>
      </c>
      <c r="AY54" s="109">
        <f>'BS - Consolidado'!J166</f>
        <v>807705</v>
      </c>
      <c r="AZ54" s="109">
        <f t="shared" si="48"/>
        <v>807705</v>
      </c>
      <c r="BA54" s="109">
        <f>'BS - Consolidado'!I166</f>
        <v>807705</v>
      </c>
      <c r="BB54" s="109">
        <f>'BS - Consolidado'!H166</f>
        <v>807705</v>
      </c>
      <c r="BC54" s="109">
        <f>'BS - Consolidado'!G166</f>
        <v>761705</v>
      </c>
      <c r="BD54" s="109">
        <f>'BS - Consolidado'!F166</f>
        <v>862297</v>
      </c>
      <c r="BE54" s="109">
        <f t="shared" ref="BE54:BE57" si="49">BD54</f>
        <v>862297</v>
      </c>
      <c r="BF54" s="109">
        <f>'BS - Consolidado'!E166</f>
        <v>862297</v>
      </c>
      <c r="BG54" s="109">
        <f>'BS - Consolidado'!D166</f>
        <v>862297</v>
      </c>
    </row>
    <row r="55" spans="1:63" x14ac:dyDescent="0.35">
      <c r="A55" s="53" t="s">
        <v>268</v>
      </c>
      <c r="B55" s="53" t="s">
        <v>636</v>
      </c>
      <c r="C55" s="109"/>
      <c r="D55" s="109"/>
      <c r="S55" s="109">
        <v>116298</v>
      </c>
      <c r="T55" s="109">
        <v>116298</v>
      </c>
      <c r="U55" s="109">
        <v>127006</v>
      </c>
      <c r="V55" s="109">
        <v>127006</v>
      </c>
      <c r="W55" s="109">
        <v>127006</v>
      </c>
      <c r="X55" s="109">
        <v>133113</v>
      </c>
      <c r="Y55" s="109">
        <v>139616</v>
      </c>
      <c r="Z55" s="109">
        <v>6000</v>
      </c>
      <c r="AA55" s="109">
        <v>6000</v>
      </c>
      <c r="AB55" s="109">
        <v>6000</v>
      </c>
      <c r="AC55" s="109">
        <v>6000</v>
      </c>
      <c r="AD55" s="109">
        <v>6000</v>
      </c>
      <c r="AE55" s="109">
        <v>12467</v>
      </c>
      <c r="AF55" s="109">
        <v>12467</v>
      </c>
      <c r="AG55" s="109">
        <v>12467</v>
      </c>
      <c r="AH55" s="109">
        <v>12467</v>
      </c>
      <c r="AI55" s="109">
        <v>12467</v>
      </c>
      <c r="AJ55" s="109">
        <v>21301</v>
      </c>
      <c r="AK55" s="109">
        <v>21301</v>
      </c>
      <c r="AL55" s="109">
        <v>21301</v>
      </c>
      <c r="AM55" s="109">
        <v>21301</v>
      </c>
      <c r="AN55" s="109">
        <v>34484</v>
      </c>
      <c r="AO55" s="109">
        <v>34484</v>
      </c>
      <c r="AP55" s="109">
        <v>34484</v>
      </c>
      <c r="AQ55" s="109">
        <v>34484</v>
      </c>
      <c r="AR55" s="109">
        <v>45214</v>
      </c>
      <c r="AS55" s="109">
        <v>48275</v>
      </c>
      <c r="AT55" s="109">
        <v>48275</v>
      </c>
      <c r="AU55" s="109">
        <v>48275</v>
      </c>
      <c r="AV55" s="109">
        <v>3061</v>
      </c>
      <c r="AW55" s="109">
        <v>3061</v>
      </c>
      <c r="AX55" s="109">
        <v>3061</v>
      </c>
      <c r="AY55" s="109">
        <f>'BS - Consolidado'!J164</f>
        <v>3061</v>
      </c>
      <c r="AZ55" s="109">
        <f t="shared" si="48"/>
        <v>3061</v>
      </c>
      <c r="BA55" s="109">
        <f>'BS - Consolidado'!I164</f>
        <v>3061</v>
      </c>
      <c r="BB55" s="109">
        <f>'BS - Consolidado'!H164</f>
        <v>3061</v>
      </c>
      <c r="BC55" s="109">
        <f>'BS - Consolidado'!G164</f>
        <v>3061</v>
      </c>
      <c r="BD55" s="109">
        <f>'BS - Consolidado'!F164</f>
        <v>3061</v>
      </c>
      <c r="BE55" s="109">
        <f t="shared" si="49"/>
        <v>3061</v>
      </c>
      <c r="BF55" s="109">
        <f>'BS - Consolidado'!E164</f>
        <v>3061</v>
      </c>
      <c r="BG55" s="109">
        <f>'BS - Consolidado'!D164</f>
        <v>3061</v>
      </c>
    </row>
    <row r="56" spans="1:63" x14ac:dyDescent="0.35">
      <c r="A56" s="53" t="s">
        <v>596</v>
      </c>
      <c r="B56" s="53" t="s">
        <v>637</v>
      </c>
      <c r="C56" s="117">
        <v>-6097</v>
      </c>
      <c r="D56" s="117">
        <v>-6079</v>
      </c>
      <c r="E56" s="117">
        <v>-6060</v>
      </c>
      <c r="F56" s="117">
        <v>-6042</v>
      </c>
      <c r="G56" s="117">
        <v>-6042</v>
      </c>
      <c r="H56" s="117">
        <v>-6023</v>
      </c>
      <c r="I56" s="117">
        <v>-6005</v>
      </c>
      <c r="J56" s="117">
        <v>-8142</v>
      </c>
      <c r="K56" s="117">
        <v>-8091</v>
      </c>
      <c r="L56" s="117">
        <v>-8091</v>
      </c>
      <c r="M56" s="117">
        <v>-8060</v>
      </c>
      <c r="N56" s="117">
        <v>-12939</v>
      </c>
      <c r="O56" s="117">
        <v>-12939</v>
      </c>
      <c r="P56" s="117">
        <v>-12880</v>
      </c>
      <c r="Q56" s="117">
        <v>-12880</v>
      </c>
      <c r="R56" s="117">
        <v>-26213</v>
      </c>
      <c r="S56" s="117">
        <v>-26046</v>
      </c>
      <c r="T56" s="117">
        <v>-26046</v>
      </c>
      <c r="U56" s="117">
        <v>-26022</v>
      </c>
      <c r="V56" s="117">
        <v>-26022</v>
      </c>
      <c r="W56" s="117">
        <v>-29009</v>
      </c>
      <c r="X56" s="117">
        <v>-28988</v>
      </c>
      <c r="Y56" s="117">
        <v>-28920</v>
      </c>
      <c r="Z56" s="117">
        <v>-28920</v>
      </c>
      <c r="AA56" s="117">
        <v>-28920</v>
      </c>
      <c r="AB56" s="117">
        <v>-28894</v>
      </c>
      <c r="AC56" s="117">
        <v>-28894</v>
      </c>
      <c r="AD56" s="117">
        <v>-28894</v>
      </c>
      <c r="AE56" s="117">
        <v>-28894</v>
      </c>
      <c r="AF56" s="117">
        <v>-28894</v>
      </c>
      <c r="AG56" s="117">
        <v>-28894</v>
      </c>
      <c r="AH56" s="117">
        <v>-28894</v>
      </c>
      <c r="AI56" s="117">
        <v>-28894</v>
      </c>
      <c r="AJ56" s="117">
        <v>-28894</v>
      </c>
      <c r="AK56" s="117">
        <v>-28894</v>
      </c>
      <c r="AL56" s="117">
        <v>-41448</v>
      </c>
      <c r="AM56" s="117">
        <v>-41448</v>
      </c>
      <c r="AN56" s="117">
        <v>-41448</v>
      </c>
      <c r="AO56" s="117">
        <v>-41448</v>
      </c>
      <c r="AP56" s="117">
        <v>-41448</v>
      </c>
      <c r="AQ56" s="117">
        <v>-48032</v>
      </c>
      <c r="AR56" s="117">
        <v>-55539</v>
      </c>
      <c r="AS56" s="117">
        <v>-55539</v>
      </c>
      <c r="AT56" s="117">
        <v>-55539</v>
      </c>
      <c r="AU56" s="117">
        <v>-55539</v>
      </c>
      <c r="AV56" s="117">
        <v>-62353</v>
      </c>
      <c r="AW56" s="117">
        <v>-62353</v>
      </c>
      <c r="AX56" s="117">
        <v>-62353</v>
      </c>
      <c r="AY56" s="117">
        <f>'BS - Consolidado'!J162</f>
        <v>-62353</v>
      </c>
      <c r="AZ56" s="117">
        <f t="shared" si="48"/>
        <v>-62353</v>
      </c>
      <c r="BA56" s="117">
        <f>'BS - Consolidado'!I162</f>
        <v>-62353</v>
      </c>
      <c r="BB56" s="117">
        <f>'BS - Consolidado'!H162</f>
        <v>-62353</v>
      </c>
      <c r="BC56" s="117">
        <f>'BS - Consolidado'!G162</f>
        <v>-62353</v>
      </c>
      <c r="BD56" s="117">
        <f>'BS - Consolidado'!F162</f>
        <v>-62353</v>
      </c>
      <c r="BE56" s="117">
        <f t="shared" si="49"/>
        <v>-62353</v>
      </c>
      <c r="BF56" s="117">
        <f>'BS - Consolidado'!E162</f>
        <v>-62353</v>
      </c>
      <c r="BG56" s="117">
        <f>'BS - Consolidado'!D162</f>
        <v>-62353</v>
      </c>
    </row>
    <row r="57" spans="1:63" x14ac:dyDescent="0.35">
      <c r="A57" s="53" t="s">
        <v>597</v>
      </c>
      <c r="B57" s="53" t="s">
        <v>638</v>
      </c>
      <c r="C57" s="109">
        <v>738175</v>
      </c>
      <c r="D57" s="109">
        <v>673793</v>
      </c>
      <c r="E57" s="109">
        <v>1219955</v>
      </c>
      <c r="F57" s="109">
        <v>1164299</v>
      </c>
      <c r="G57" s="109">
        <v>1164299</v>
      </c>
      <c r="H57" s="109">
        <v>981896</v>
      </c>
      <c r="I57" s="109">
        <v>800284</v>
      </c>
      <c r="J57" s="109">
        <v>828716</v>
      </c>
      <c r="K57" s="109">
        <v>779100</v>
      </c>
      <c r="L57" s="109">
        <v>779100</v>
      </c>
      <c r="M57" s="109">
        <v>748845</v>
      </c>
      <c r="N57" s="109">
        <v>793487</v>
      </c>
      <c r="O57" s="109">
        <v>744741</v>
      </c>
      <c r="P57" s="109">
        <v>838674</v>
      </c>
      <c r="Q57" s="109">
        <v>838674</v>
      </c>
      <c r="R57" s="109">
        <v>825242</v>
      </c>
      <c r="S57" s="109">
        <v>1028423</v>
      </c>
      <c r="T57" s="118">
        <v>1141632</v>
      </c>
      <c r="U57" s="109">
        <v>1059662</v>
      </c>
      <c r="V57" s="109">
        <v>1059662</v>
      </c>
      <c r="W57" s="109">
        <v>1050437</v>
      </c>
      <c r="X57" s="109">
        <v>1034227</v>
      </c>
      <c r="Y57" s="109">
        <v>1194021</v>
      </c>
      <c r="Z57" s="109">
        <v>1099760</v>
      </c>
      <c r="AA57" s="109">
        <v>1099760</v>
      </c>
      <c r="AB57" s="109">
        <v>1747513</v>
      </c>
      <c r="AC57" s="109">
        <v>1938867</v>
      </c>
      <c r="AD57" s="109">
        <f>2032791+4639</f>
        <v>2037430</v>
      </c>
      <c r="AE57" s="109">
        <v>1777776</v>
      </c>
      <c r="AF57" s="109">
        <v>1777776</v>
      </c>
      <c r="AG57" s="109">
        <v>2101020</v>
      </c>
      <c r="AH57" s="109">
        <v>1645421</v>
      </c>
      <c r="AI57" s="109">
        <f>1883549+58365</f>
        <v>1941914</v>
      </c>
      <c r="AJ57" s="109">
        <f>1912937+56867</f>
        <v>1969804</v>
      </c>
      <c r="AK57" s="109">
        <f>1912937+56867</f>
        <v>1969804</v>
      </c>
      <c r="AL57" s="109">
        <f>1321308+55419</f>
        <v>1376727</v>
      </c>
      <c r="AM57" s="109">
        <f>1607579+53957</f>
        <v>1661536</v>
      </c>
      <c r="AN57" s="109">
        <f>1606224+52503</f>
        <v>1658727</v>
      </c>
      <c r="AO57" s="109">
        <v>1723310</v>
      </c>
      <c r="AP57" s="109">
        <v>1723310</v>
      </c>
      <c r="AQ57" s="109">
        <v>1690301</v>
      </c>
      <c r="AR57" s="109">
        <v>1547434</v>
      </c>
      <c r="AS57" s="109">
        <v>1599199</v>
      </c>
      <c r="AT57" s="109">
        <v>1478128</v>
      </c>
      <c r="AU57" s="109">
        <v>1478128</v>
      </c>
      <c r="AV57" s="109">
        <v>1572594</v>
      </c>
      <c r="AW57" s="109">
        <v>1883169</v>
      </c>
      <c r="AX57" s="109">
        <v>1856271</v>
      </c>
      <c r="AY57" s="109">
        <f>'BS - Consolidado'!J178+'BS - Consolidado'!J181+'BS - Consolidado'!J183</f>
        <v>2232538</v>
      </c>
      <c r="AZ57" s="109">
        <f t="shared" si="48"/>
        <v>2232538</v>
      </c>
      <c r="BA57" s="109">
        <f>'BS - Consolidado'!I178+'BS - Consolidado'!I181+'BS - Consolidado'!I183</f>
        <v>1969861</v>
      </c>
      <c r="BB57" s="109">
        <f>'BS - Consolidado'!H178+'BS - Consolidado'!H181+'BS - Consolidado'!H183</f>
        <v>1893395</v>
      </c>
      <c r="BC57" s="109">
        <f>'BS - Consolidado'!G178+'BS - Consolidado'!G181+'BS - Consolidado'!G183</f>
        <v>1784690</v>
      </c>
      <c r="BD57" s="109">
        <f>'BS - Consolidado'!F178+'BS - Consolidado'!F181+'BS - Consolidado'!F183</f>
        <v>1941764</v>
      </c>
      <c r="BE57" s="109">
        <f t="shared" si="49"/>
        <v>1941764</v>
      </c>
      <c r="BF57" s="109">
        <f>'BS - Consolidado'!E178+'BS - Consolidado'!E181+'BS - Consolidado'!E183</f>
        <v>1713983</v>
      </c>
      <c r="BG57" s="109">
        <f>'BS - Consolidado'!D178+'BS - Consolidado'!D181+'BS - Consolidado'!D183</f>
        <v>1624446</v>
      </c>
    </row>
    <row r="58" spans="1:63" x14ac:dyDescent="0.35">
      <c r="A58" s="53" t="s">
        <v>667</v>
      </c>
      <c r="C58" s="109"/>
      <c r="D58" s="109"/>
      <c r="E58" s="109"/>
      <c r="F58" s="109"/>
      <c r="G58" s="109" t="s">
        <v>663</v>
      </c>
      <c r="H58" s="109"/>
      <c r="I58" s="109"/>
      <c r="J58" s="109"/>
      <c r="K58" s="109"/>
      <c r="L58" s="109" t="s">
        <v>663</v>
      </c>
      <c r="M58" s="109"/>
      <c r="N58" s="109"/>
      <c r="O58" s="109"/>
      <c r="P58" s="109">
        <v>-35705</v>
      </c>
      <c r="Q58" s="109">
        <v>-35705</v>
      </c>
      <c r="R58" s="109">
        <v>-7680</v>
      </c>
      <c r="S58" s="109"/>
      <c r="T58" s="117">
        <v>-46662</v>
      </c>
      <c r="U58" s="109">
        <v>-42472</v>
      </c>
      <c r="V58" s="109">
        <v>-42472</v>
      </c>
      <c r="W58" s="109" t="s">
        <v>663</v>
      </c>
      <c r="X58" s="109">
        <v>-42472</v>
      </c>
      <c r="Y58" s="109">
        <v>-42472</v>
      </c>
      <c r="Z58" s="109">
        <v>-34917</v>
      </c>
      <c r="AA58" s="109">
        <v>-34917</v>
      </c>
      <c r="AB58" s="109"/>
      <c r="AC58" s="109"/>
      <c r="AD58" s="109"/>
      <c r="AE58" s="109"/>
      <c r="AF58" s="109" t="s">
        <v>663</v>
      </c>
      <c r="AG58" s="109" t="s">
        <v>663</v>
      </c>
      <c r="AH58" s="109" t="s">
        <v>663</v>
      </c>
      <c r="AI58" s="109"/>
      <c r="AJ58" s="109">
        <v>49309</v>
      </c>
      <c r="AK58" s="109">
        <v>49309</v>
      </c>
      <c r="AL58" s="109">
        <v>49309</v>
      </c>
      <c r="AM58" s="109">
        <v>49309</v>
      </c>
      <c r="AN58" s="109">
        <v>49309</v>
      </c>
      <c r="AO58" s="109"/>
      <c r="AP58" s="109"/>
      <c r="AT58" s="109"/>
      <c r="AU58" s="109"/>
      <c r="AY58" s="109"/>
      <c r="AZ58" s="109">
        <f t="shared" si="48"/>
        <v>0</v>
      </c>
      <c r="BA58" s="109"/>
      <c r="BB58" s="109"/>
      <c r="BC58" s="109"/>
      <c r="BD58" s="109"/>
      <c r="BE58" s="109"/>
      <c r="BF58" s="109"/>
      <c r="BG58" s="109"/>
    </row>
    <row r="59" spans="1:63" x14ac:dyDescent="0.35">
      <c r="A59" s="111" t="s">
        <v>598</v>
      </c>
      <c r="B59" s="111" t="s">
        <v>639</v>
      </c>
      <c r="C59" s="112">
        <v>-4318</v>
      </c>
      <c r="D59" s="112">
        <v>68438</v>
      </c>
      <c r="E59" s="112">
        <v>73069</v>
      </c>
      <c r="F59" s="112" t="s">
        <v>663</v>
      </c>
      <c r="G59" s="119" t="s">
        <v>663</v>
      </c>
      <c r="H59" s="119">
        <v>8706</v>
      </c>
      <c r="I59" s="119">
        <v>3373</v>
      </c>
      <c r="J59" s="119">
        <v>9545</v>
      </c>
      <c r="K59" s="119" t="s">
        <v>663</v>
      </c>
      <c r="L59" s="119" t="s">
        <v>663</v>
      </c>
      <c r="M59" s="119">
        <v>527</v>
      </c>
      <c r="N59" s="119">
        <v>27166</v>
      </c>
      <c r="O59" s="119">
        <v>177</v>
      </c>
      <c r="P59" s="119" t="s">
        <v>663</v>
      </c>
      <c r="Q59" s="119" t="s">
        <v>663</v>
      </c>
      <c r="R59" s="119">
        <v>-6696</v>
      </c>
      <c r="S59" s="119">
        <v>39255</v>
      </c>
      <c r="T59" s="119">
        <f>124648+9846</f>
        <v>134494</v>
      </c>
      <c r="U59" s="119" t="s">
        <v>663</v>
      </c>
      <c r="V59" s="119" t="s">
        <v>663</v>
      </c>
      <c r="W59" s="119">
        <v>65004</v>
      </c>
      <c r="X59" s="119">
        <v>175221</v>
      </c>
      <c r="Y59" s="119">
        <v>301864</v>
      </c>
      <c r="Z59" s="119" t="s">
        <v>663</v>
      </c>
      <c r="AA59" s="119" t="s">
        <v>663</v>
      </c>
      <c r="AB59" s="119">
        <f>9150+1536</f>
        <v>10686</v>
      </c>
      <c r="AC59" s="119">
        <f>-343203+3088</f>
        <v>-340115</v>
      </c>
      <c r="AD59" s="119">
        <v>-362080</v>
      </c>
      <c r="AE59" s="119"/>
      <c r="AF59" s="119" t="s">
        <v>663</v>
      </c>
      <c r="AG59" s="119">
        <v>53010</v>
      </c>
      <c r="AH59" s="119">
        <v>269323</v>
      </c>
      <c r="AI59" s="119">
        <f>443305+4440</f>
        <v>447745</v>
      </c>
      <c r="AJ59" s="119"/>
      <c r="AK59" s="119"/>
      <c r="AL59" s="119">
        <f>160206+1355</f>
        <v>161561</v>
      </c>
      <c r="AM59" s="119">
        <f>350691+2724</f>
        <v>353415</v>
      </c>
      <c r="AN59" s="119">
        <f>420079+4085</f>
        <v>424164</v>
      </c>
      <c r="AO59" s="119"/>
      <c r="AP59" s="119"/>
      <c r="AQ59" s="119">
        <v>-15039</v>
      </c>
      <c r="AR59" s="119">
        <v>45580</v>
      </c>
      <c r="AS59" s="119">
        <v>41943</v>
      </c>
      <c r="AT59" s="119">
        <v>0</v>
      </c>
      <c r="AU59" s="119">
        <v>0</v>
      </c>
      <c r="AV59" s="119">
        <v>51139</v>
      </c>
      <c r="AW59" s="119">
        <v>88954</v>
      </c>
      <c r="AX59" s="119">
        <v>199153</v>
      </c>
      <c r="AY59" s="119">
        <f>'BS - Consolidado'!J177</f>
        <v>0</v>
      </c>
      <c r="AZ59" s="119">
        <f t="shared" si="48"/>
        <v>0</v>
      </c>
      <c r="BA59" s="112">
        <f>'BS - Consolidado'!I177</f>
        <v>11575</v>
      </c>
      <c r="BB59" s="112">
        <f>'BS - Consolidado'!H177</f>
        <v>99004</v>
      </c>
      <c r="BC59" s="112">
        <f>'BS - Consolidado'!G177</f>
        <v>134591</v>
      </c>
      <c r="BD59" s="112">
        <f>'BS - Consolidado'!F177</f>
        <v>0</v>
      </c>
      <c r="BE59" s="112">
        <f>BD59</f>
        <v>0</v>
      </c>
      <c r="BF59" s="112">
        <f>'BS - Consolidado'!E177</f>
        <v>4226</v>
      </c>
      <c r="BG59" s="112">
        <f>'BS - Consolidado'!D177</f>
        <v>91331</v>
      </c>
    </row>
    <row r="60" spans="1:63" x14ac:dyDescent="0.35">
      <c r="C60" s="109"/>
    </row>
    <row r="61" spans="1:63" ht="28" x14ac:dyDescent="0.35">
      <c r="A61" s="128" t="s">
        <v>599</v>
      </c>
      <c r="B61" s="128" t="s">
        <v>640</v>
      </c>
      <c r="C61" s="114">
        <f>SUM(C52:C59)</f>
        <v>1687389</v>
      </c>
      <c r="D61" s="114">
        <f>SUM(D52:D59)</f>
        <v>1695781</v>
      </c>
      <c r="E61" s="114">
        <f>SUM(E52:E59)</f>
        <v>2246593</v>
      </c>
      <c r="F61" s="114">
        <f t="shared" ref="F61:AZ61" si="50">SUM(F52:F59)</f>
        <v>2153447</v>
      </c>
      <c r="G61" s="114">
        <f t="shared" ref="G61" si="51">SUM(G52:G59)</f>
        <v>2153447</v>
      </c>
      <c r="H61" s="114">
        <f t="shared" si="50"/>
        <v>1979769</v>
      </c>
      <c r="I61" s="114">
        <f t="shared" si="50"/>
        <v>1792842</v>
      </c>
      <c r="J61" s="114">
        <f t="shared" si="50"/>
        <v>1825309</v>
      </c>
      <c r="K61" s="114">
        <f t="shared" si="50"/>
        <v>1783985</v>
      </c>
      <c r="L61" s="114">
        <f t="shared" ref="L61" si="52">SUM(L52:L59)</f>
        <v>1783985</v>
      </c>
      <c r="M61" s="114">
        <f t="shared" si="50"/>
        <v>2308611</v>
      </c>
      <c r="N61" s="114">
        <f t="shared" si="50"/>
        <v>2375348</v>
      </c>
      <c r="O61" s="114">
        <f t="shared" si="50"/>
        <v>2307886</v>
      </c>
      <c r="P61" s="114">
        <f t="shared" si="50"/>
        <v>2387853</v>
      </c>
      <c r="Q61" s="114">
        <f t="shared" ref="Q61" si="53">SUM(Q52:Q59)</f>
        <v>2387853</v>
      </c>
      <c r="R61" s="114">
        <f t="shared" si="50"/>
        <v>2599563</v>
      </c>
      <c r="S61" s="114">
        <f t="shared" si="50"/>
        <v>2820871</v>
      </c>
      <c r="T61" s="114">
        <f>SUM(T52:T59)</f>
        <v>2948200</v>
      </c>
      <c r="U61" s="114">
        <f t="shared" si="50"/>
        <v>2921950</v>
      </c>
      <c r="V61" s="114">
        <v>2921950</v>
      </c>
      <c r="W61" s="114">
        <f t="shared" si="50"/>
        <v>3017214</v>
      </c>
      <c r="X61" s="114">
        <f t="shared" si="50"/>
        <v>3114831</v>
      </c>
      <c r="Y61" s="114">
        <f t="shared" si="50"/>
        <v>3379613</v>
      </c>
      <c r="Z61" s="114">
        <f t="shared" si="50"/>
        <v>3228478</v>
      </c>
      <c r="AA61" s="114">
        <v>3228478</v>
      </c>
      <c r="AB61" s="114">
        <f t="shared" si="50"/>
        <v>3921850</v>
      </c>
      <c r="AC61" s="114">
        <f t="shared" si="50"/>
        <v>3762403</v>
      </c>
      <c r="AD61" s="114">
        <f t="shared" si="50"/>
        <v>3839001</v>
      </c>
      <c r="AE61" s="114">
        <f t="shared" si="50"/>
        <v>3462285</v>
      </c>
      <c r="AF61" s="114">
        <v>3462285</v>
      </c>
      <c r="AG61" s="114">
        <f>SUM(AG52:AG59)</f>
        <v>3838539</v>
      </c>
      <c r="AH61" s="114">
        <f t="shared" si="50"/>
        <v>3599253</v>
      </c>
      <c r="AI61" s="114">
        <f t="shared" si="50"/>
        <v>4074168</v>
      </c>
      <c r="AJ61" s="114">
        <f t="shared" si="50"/>
        <v>4041744</v>
      </c>
      <c r="AK61" s="114">
        <f t="shared" ref="AK61" si="54">SUM(AK52:AK59)</f>
        <v>4041744</v>
      </c>
      <c r="AL61" s="114">
        <f t="shared" si="50"/>
        <v>3597674</v>
      </c>
      <c r="AM61" s="114">
        <f t="shared" si="50"/>
        <v>4038756</v>
      </c>
      <c r="AN61" s="114">
        <f t="shared" si="50"/>
        <v>4089834</v>
      </c>
      <c r="AO61" s="114">
        <f t="shared" si="50"/>
        <v>3919807</v>
      </c>
      <c r="AP61" s="114">
        <v>3919807</v>
      </c>
      <c r="AQ61" s="114">
        <f>SUM(AQ52:AQ59)</f>
        <v>3865175</v>
      </c>
      <c r="AR61" s="114">
        <f>SUM(AR52:AR59)</f>
        <v>3786150</v>
      </c>
      <c r="AS61" s="114">
        <f>SUM(AS52:AS59)</f>
        <v>3834278</v>
      </c>
      <c r="AT61" s="114">
        <f t="shared" si="50"/>
        <v>3693625.85</v>
      </c>
      <c r="AU61" s="114">
        <f t="shared" ref="AU61" si="55">SUM(AU52:AU59)</f>
        <v>3693625.85</v>
      </c>
      <c r="AV61" s="114">
        <f>SUM(AV52:AV59)</f>
        <v>3787203</v>
      </c>
      <c r="AW61" s="114">
        <f>SUM(AW52:AW59)</f>
        <v>4116402</v>
      </c>
      <c r="AX61" s="114">
        <f>SUM(AX52:AX59)</f>
        <v>4141444</v>
      </c>
      <c r="AY61" s="114">
        <f t="shared" si="50"/>
        <v>4557905</v>
      </c>
      <c r="AZ61" s="114">
        <f t="shared" si="50"/>
        <v>4557905</v>
      </c>
      <c r="BA61" s="114">
        <f t="shared" ref="BA61:BB61" si="56">SUM(BA52:BA59)</f>
        <v>4306803</v>
      </c>
      <c r="BB61" s="114">
        <f t="shared" si="56"/>
        <v>4317766</v>
      </c>
      <c r="BC61" s="114">
        <f t="shared" ref="BC61:BD61" si="57">SUM(BC52:BC59)</f>
        <v>4198648</v>
      </c>
      <c r="BD61" s="114">
        <f t="shared" si="57"/>
        <v>4321723</v>
      </c>
      <c r="BE61" s="114">
        <f t="shared" ref="BE61" si="58">SUM(BE52:BE59)</f>
        <v>4321723</v>
      </c>
      <c r="BF61" s="114">
        <f t="shared" ref="BF61:BG61" si="59">SUM(BF52:BF59)</f>
        <v>4098168</v>
      </c>
      <c r="BG61" s="114">
        <f t="shared" si="59"/>
        <v>4095736</v>
      </c>
      <c r="BH61" s="114"/>
      <c r="BI61" s="114"/>
      <c r="BJ61" s="114"/>
      <c r="BK61" s="114"/>
    </row>
    <row r="62" spans="1:63" x14ac:dyDescent="0.35">
      <c r="C62" s="120"/>
    </row>
    <row r="63" spans="1:63" x14ac:dyDescent="0.35">
      <c r="A63" s="111" t="s">
        <v>600</v>
      </c>
      <c r="B63" s="111" t="s">
        <v>641</v>
      </c>
      <c r="C63" s="112">
        <v>198309</v>
      </c>
      <c r="D63" s="112">
        <v>211313</v>
      </c>
      <c r="E63" s="112">
        <v>281231</v>
      </c>
      <c r="F63" s="112">
        <v>303043</v>
      </c>
      <c r="G63" s="112">
        <v>303043</v>
      </c>
      <c r="H63" s="112">
        <v>216744</v>
      </c>
      <c r="I63" s="112">
        <v>208640</v>
      </c>
      <c r="J63" s="112">
        <v>228364</v>
      </c>
      <c r="K63" s="112">
        <v>233092</v>
      </c>
      <c r="L63" s="112">
        <v>233092</v>
      </c>
      <c r="M63" s="112">
        <v>181714</v>
      </c>
      <c r="N63" s="112">
        <v>216744</v>
      </c>
      <c r="O63" s="112">
        <v>207930</v>
      </c>
      <c r="P63" s="112">
        <v>242652</v>
      </c>
      <c r="Q63" s="112">
        <v>242652</v>
      </c>
      <c r="R63" s="112">
        <v>176710</v>
      </c>
      <c r="S63" s="112">
        <v>217404</v>
      </c>
      <c r="T63" s="112">
        <v>242045</v>
      </c>
      <c r="U63" s="113">
        <v>276577</v>
      </c>
      <c r="V63" s="112">
        <v>276577</v>
      </c>
      <c r="W63" s="112">
        <v>197020</v>
      </c>
      <c r="X63" s="112">
        <v>215233</v>
      </c>
      <c r="Y63" s="112">
        <v>246757</v>
      </c>
      <c r="Z63" s="112">
        <v>268498</v>
      </c>
      <c r="AA63" s="112">
        <v>268498</v>
      </c>
      <c r="AB63" s="112">
        <v>262518</v>
      </c>
      <c r="AC63" s="112">
        <v>282271</v>
      </c>
      <c r="AD63" s="112">
        <v>316749</v>
      </c>
      <c r="AE63" s="112">
        <v>340476</v>
      </c>
      <c r="AF63" s="112">
        <v>340476</v>
      </c>
      <c r="AG63" s="112">
        <v>310990</v>
      </c>
      <c r="AH63" s="112">
        <v>293940</v>
      </c>
      <c r="AI63" s="112">
        <v>340455</v>
      </c>
      <c r="AJ63" s="112">
        <v>356375</v>
      </c>
      <c r="AK63" s="112">
        <v>356375</v>
      </c>
      <c r="AL63" s="112">
        <v>285634</v>
      </c>
      <c r="AM63" s="112">
        <v>310936</v>
      </c>
      <c r="AN63" s="112">
        <v>321229</v>
      </c>
      <c r="AO63" s="112">
        <v>373000</v>
      </c>
      <c r="AP63" s="112">
        <v>373000</v>
      </c>
      <c r="AQ63" s="112">
        <v>351377</v>
      </c>
      <c r="AR63" s="112">
        <v>359318</v>
      </c>
      <c r="AS63" s="112">
        <v>371386</v>
      </c>
      <c r="AT63" s="112">
        <v>391403</v>
      </c>
      <c r="AU63" s="112">
        <v>391403</v>
      </c>
      <c r="AV63" s="112">
        <v>353851</v>
      </c>
      <c r="AW63" s="112">
        <v>427762</v>
      </c>
      <c r="AX63" s="112">
        <v>454207</v>
      </c>
      <c r="AY63" s="112">
        <f>'BS - Consolidado'!J186</f>
        <v>513077</v>
      </c>
      <c r="AZ63" s="112">
        <f>AY63</f>
        <v>513077</v>
      </c>
      <c r="BA63" s="112">
        <f>'BS - Consolidado'!I186</f>
        <v>471407</v>
      </c>
      <c r="BB63" s="112">
        <f>'BS - Consolidado'!H186</f>
        <v>443826</v>
      </c>
      <c r="BC63" s="112">
        <f>'BS - Consolidado'!G186</f>
        <v>470119</v>
      </c>
      <c r="BD63" s="112">
        <f>'BS - Consolidado'!F186</f>
        <v>530026</v>
      </c>
      <c r="BE63" s="112">
        <f>BD63</f>
        <v>530026</v>
      </c>
      <c r="BF63" s="112">
        <f>'BS - Consolidado'!E186</f>
        <v>472080</v>
      </c>
      <c r="BG63" s="112">
        <f>'BS - Consolidado'!D186</f>
        <v>589269</v>
      </c>
    </row>
    <row r="64" spans="1:63" x14ac:dyDescent="0.35">
      <c r="C64" s="114">
        <f>SUM(C61:C63)</f>
        <v>1885698</v>
      </c>
      <c r="D64" s="114">
        <f>SUM(D61:D63)</f>
        <v>1907094</v>
      </c>
      <c r="E64" s="114">
        <f t="shared" ref="E64:AY64" si="60">SUM(E61:E63)</f>
        <v>2527824</v>
      </c>
      <c r="F64" s="114">
        <f t="shared" si="60"/>
        <v>2456490</v>
      </c>
      <c r="G64" s="114">
        <f t="shared" si="60"/>
        <v>2456490</v>
      </c>
      <c r="H64" s="114">
        <f>SUM(H61:H63)</f>
        <v>2196513</v>
      </c>
      <c r="I64" s="114">
        <f t="shared" si="60"/>
        <v>2001482</v>
      </c>
      <c r="J64" s="114">
        <f t="shared" si="60"/>
        <v>2053673</v>
      </c>
      <c r="K64" s="114">
        <f t="shared" si="60"/>
        <v>2017077</v>
      </c>
      <c r="L64" s="114">
        <f t="shared" si="60"/>
        <v>2017077</v>
      </c>
      <c r="M64" s="114">
        <f t="shared" si="60"/>
        <v>2490325</v>
      </c>
      <c r="N64" s="114">
        <f t="shared" si="60"/>
        <v>2592092</v>
      </c>
      <c r="O64" s="114">
        <f t="shared" si="60"/>
        <v>2515816</v>
      </c>
      <c r="P64" s="114">
        <f t="shared" si="60"/>
        <v>2630505</v>
      </c>
      <c r="Q64" s="114">
        <f t="shared" si="60"/>
        <v>2630505</v>
      </c>
      <c r="R64" s="114">
        <f t="shared" si="60"/>
        <v>2776273</v>
      </c>
      <c r="S64" s="114">
        <f t="shared" si="60"/>
        <v>3038275</v>
      </c>
      <c r="T64" s="114">
        <f t="shared" si="60"/>
        <v>3190245</v>
      </c>
      <c r="U64" s="114">
        <f t="shared" si="60"/>
        <v>3198527</v>
      </c>
      <c r="V64" s="114">
        <v>3198527</v>
      </c>
      <c r="W64" s="114">
        <f t="shared" si="60"/>
        <v>3214234</v>
      </c>
      <c r="X64" s="114">
        <f t="shared" si="60"/>
        <v>3330064</v>
      </c>
      <c r="Y64" s="114">
        <f t="shared" si="60"/>
        <v>3626370</v>
      </c>
      <c r="Z64" s="114">
        <f t="shared" si="60"/>
        <v>3496976</v>
      </c>
      <c r="AA64" s="114">
        <v>3496976</v>
      </c>
      <c r="AB64" s="114">
        <f t="shared" si="60"/>
        <v>4184368</v>
      </c>
      <c r="AC64" s="114">
        <f t="shared" si="60"/>
        <v>4044674</v>
      </c>
      <c r="AD64" s="114">
        <f t="shared" si="60"/>
        <v>4155750</v>
      </c>
      <c r="AE64" s="114">
        <f t="shared" si="60"/>
        <v>3802761</v>
      </c>
      <c r="AF64" s="114">
        <v>3802761</v>
      </c>
      <c r="AG64" s="114">
        <f t="shared" si="60"/>
        <v>4149529</v>
      </c>
      <c r="AH64" s="114">
        <f t="shared" si="60"/>
        <v>3893193</v>
      </c>
      <c r="AI64" s="114">
        <f t="shared" si="60"/>
        <v>4414623</v>
      </c>
      <c r="AJ64" s="114">
        <f t="shared" si="60"/>
        <v>4398119</v>
      </c>
      <c r="AK64" s="114">
        <f t="shared" ref="AK64" si="61">SUM(AK61:AK63)</f>
        <v>4398119</v>
      </c>
      <c r="AL64" s="114">
        <f t="shared" si="60"/>
        <v>3883308</v>
      </c>
      <c r="AM64" s="114">
        <f t="shared" si="60"/>
        <v>4349692</v>
      </c>
      <c r="AN64" s="114">
        <f t="shared" si="60"/>
        <v>4411063</v>
      </c>
      <c r="AO64" s="114">
        <f t="shared" si="60"/>
        <v>4292807</v>
      </c>
      <c r="AP64" s="114">
        <v>4292807</v>
      </c>
      <c r="AQ64" s="114">
        <f t="shared" si="60"/>
        <v>4216552</v>
      </c>
      <c r="AR64" s="114">
        <f t="shared" si="60"/>
        <v>4145468</v>
      </c>
      <c r="AS64" s="114">
        <f t="shared" si="60"/>
        <v>4205664</v>
      </c>
      <c r="AT64" s="114">
        <f t="shared" si="60"/>
        <v>4085028.85</v>
      </c>
      <c r="AU64" s="114">
        <f t="shared" si="60"/>
        <v>4085028.85</v>
      </c>
      <c r="AV64" s="114">
        <f t="shared" si="60"/>
        <v>4141054</v>
      </c>
      <c r="AW64" s="114">
        <f t="shared" si="60"/>
        <v>4544164</v>
      </c>
      <c r="AX64" s="114">
        <f t="shared" si="60"/>
        <v>4595651</v>
      </c>
      <c r="AY64" s="114">
        <f t="shared" si="60"/>
        <v>5070982</v>
      </c>
      <c r="AZ64" s="114">
        <f t="shared" ref="AZ64" si="62">SUM(AZ61:AZ63)</f>
        <v>5070982</v>
      </c>
      <c r="BA64" s="114">
        <f t="shared" ref="BA64:BB64" si="63">SUM(BA61:BA63)</f>
        <v>4778210</v>
      </c>
      <c r="BB64" s="114">
        <f t="shared" si="63"/>
        <v>4761592</v>
      </c>
      <c r="BC64" s="114">
        <f t="shared" ref="BC64:BD64" si="64">SUM(BC61:BC63)</f>
        <v>4668767</v>
      </c>
      <c r="BD64" s="114">
        <f t="shared" si="64"/>
        <v>4851749</v>
      </c>
      <c r="BE64" s="114">
        <f t="shared" ref="BE64" si="65">SUM(BE61:BE63)</f>
        <v>4851749</v>
      </c>
      <c r="BF64" s="114">
        <f t="shared" ref="BF64:BG64" si="66">SUM(BF61:BF63)</f>
        <v>4570248</v>
      </c>
      <c r="BG64" s="114">
        <f t="shared" si="66"/>
        <v>4685005</v>
      </c>
      <c r="BH64" s="114"/>
      <c r="BI64" s="114"/>
      <c r="BJ64" s="114"/>
      <c r="BK64" s="114"/>
    </row>
    <row r="65" spans="1:63" s="50" customFormat="1" ht="14" x14ac:dyDescent="0.3">
      <c r="A65" s="15" t="s">
        <v>602</v>
      </c>
      <c r="B65" s="15" t="s">
        <v>642</v>
      </c>
      <c r="C65" s="31">
        <f>C64+C50+C40</f>
        <v>7057368</v>
      </c>
      <c r="D65" s="31">
        <f>D64+D50+D40</f>
        <v>6952245</v>
      </c>
      <c r="E65" s="31">
        <f t="shared" ref="E65:AY65" si="67">E64+E50+E40</f>
        <v>8288471</v>
      </c>
      <c r="F65" s="31">
        <f t="shared" si="67"/>
        <v>7990379</v>
      </c>
      <c r="G65" s="31">
        <f t="shared" si="67"/>
        <v>7990379</v>
      </c>
      <c r="H65" s="31">
        <f t="shared" si="67"/>
        <v>7558245</v>
      </c>
      <c r="I65" s="31">
        <f t="shared" si="67"/>
        <v>7050217</v>
      </c>
      <c r="J65" s="31">
        <f t="shared" si="67"/>
        <v>7018400</v>
      </c>
      <c r="K65" s="31">
        <f t="shared" si="67"/>
        <v>7057115</v>
      </c>
      <c r="L65" s="31">
        <f t="shared" si="67"/>
        <v>7057115</v>
      </c>
      <c r="M65" s="31">
        <f t="shared" si="67"/>
        <v>7424542</v>
      </c>
      <c r="N65" s="31">
        <f t="shared" si="67"/>
        <v>7892553</v>
      </c>
      <c r="O65" s="31">
        <f t="shared" si="67"/>
        <v>7671825</v>
      </c>
      <c r="P65" s="31">
        <f t="shared" si="67"/>
        <v>7922248</v>
      </c>
      <c r="Q65" s="31">
        <f t="shared" si="67"/>
        <v>7922248</v>
      </c>
      <c r="R65" s="31">
        <f t="shared" si="67"/>
        <v>8510350</v>
      </c>
      <c r="S65" s="31">
        <f t="shared" si="67"/>
        <v>8905486</v>
      </c>
      <c r="T65" s="31">
        <f t="shared" si="67"/>
        <v>9239909</v>
      </c>
      <c r="U65" s="31">
        <f t="shared" si="67"/>
        <v>9019190</v>
      </c>
      <c r="V65" s="31">
        <v>9019190</v>
      </c>
      <c r="W65" s="31">
        <f t="shared" si="67"/>
        <v>9440143</v>
      </c>
      <c r="X65" s="31">
        <f t="shared" si="67"/>
        <v>9236750</v>
      </c>
      <c r="Y65" s="31">
        <f t="shared" si="67"/>
        <v>10022525</v>
      </c>
      <c r="Z65" s="31">
        <f t="shared" si="67"/>
        <v>9375411</v>
      </c>
      <c r="AA65" s="31">
        <v>9375411</v>
      </c>
      <c r="AB65" s="31">
        <f t="shared" si="67"/>
        <v>11717177</v>
      </c>
      <c r="AC65" s="31">
        <f t="shared" si="67"/>
        <v>11892587</v>
      </c>
      <c r="AD65" s="31">
        <f t="shared" si="67"/>
        <v>13010400</v>
      </c>
      <c r="AE65" s="31">
        <f t="shared" si="67"/>
        <v>12411803</v>
      </c>
      <c r="AF65" s="31">
        <f t="shared" si="67"/>
        <v>12411803</v>
      </c>
      <c r="AG65" s="31">
        <f t="shared" si="67"/>
        <v>13652232</v>
      </c>
      <c r="AH65" s="31">
        <f t="shared" si="67"/>
        <v>13203278</v>
      </c>
      <c r="AI65" s="31">
        <f t="shared" si="67"/>
        <v>14431473</v>
      </c>
      <c r="AJ65" s="31">
        <f t="shared" si="67"/>
        <v>14519530</v>
      </c>
      <c r="AK65" s="31">
        <f t="shared" ref="AK65" si="68">AK64+AK50+AK40</f>
        <v>14519530</v>
      </c>
      <c r="AL65" s="31">
        <f t="shared" si="67"/>
        <v>13552849</v>
      </c>
      <c r="AM65" s="31">
        <f t="shared" si="67"/>
        <v>14914335</v>
      </c>
      <c r="AN65" s="31">
        <f t="shared" si="67"/>
        <v>15197696</v>
      </c>
      <c r="AO65" s="31">
        <f t="shared" si="67"/>
        <v>15195455</v>
      </c>
      <c r="AP65" s="31">
        <v>15195455</v>
      </c>
      <c r="AQ65" s="31">
        <f t="shared" si="67"/>
        <v>15467653</v>
      </c>
      <c r="AR65" s="31">
        <f t="shared" si="67"/>
        <v>14330225</v>
      </c>
      <c r="AS65" s="31">
        <f t="shared" si="67"/>
        <v>15080242</v>
      </c>
      <c r="AT65" s="31">
        <f t="shared" si="67"/>
        <v>14534115.85</v>
      </c>
      <c r="AU65" s="31">
        <f t="shared" si="67"/>
        <v>14534115.85</v>
      </c>
      <c r="AV65" s="31">
        <f t="shared" si="67"/>
        <v>14403303</v>
      </c>
      <c r="AW65" s="31">
        <f t="shared" si="67"/>
        <v>15293669</v>
      </c>
      <c r="AX65" s="31">
        <f t="shared" si="67"/>
        <v>15308507</v>
      </c>
      <c r="AY65" s="31">
        <f t="shared" si="67"/>
        <v>15961371</v>
      </c>
      <c r="AZ65" s="31">
        <f t="shared" ref="AZ65" si="69">AZ64+AZ50+AZ40</f>
        <v>15961371</v>
      </c>
      <c r="BA65" s="31">
        <f t="shared" ref="BA65:BB65" si="70">BA64+BA50+BA40</f>
        <v>15329139</v>
      </c>
      <c r="BB65" s="31">
        <f t="shared" si="70"/>
        <v>14920051</v>
      </c>
      <c r="BC65" s="31">
        <f t="shared" ref="BC65:BD65" si="71">BC64+BC50+BC40</f>
        <v>14452673</v>
      </c>
      <c r="BD65" s="31">
        <f t="shared" si="71"/>
        <v>14392484</v>
      </c>
      <c r="BE65" s="31">
        <f t="shared" ref="BE65" si="72">BE64+BE50+BE40</f>
        <v>14392484</v>
      </c>
      <c r="BF65" s="31">
        <f t="shared" ref="BF65:BG65" si="73">BF64+BF50+BF40</f>
        <v>14555533</v>
      </c>
      <c r="BG65" s="31">
        <f t="shared" si="73"/>
        <v>14927627</v>
      </c>
      <c r="BH65" s="108"/>
      <c r="BI65" s="108"/>
      <c r="BJ65" s="108"/>
      <c r="BK65" s="108"/>
    </row>
  </sheetData>
  <pageMargins left="0.7" right="0.7" top="0.75" bottom="0.75" header="0.3" footer="0.3"/>
  <customProperties>
    <customPr name="OrphanNamesChecked" r:id="rId1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230"/>
  <sheetViews>
    <sheetView showGridLines="0" zoomScale="76" zoomScaleNormal="76" workbookViewId="0">
      <selection activeCell="E9" sqref="E9"/>
    </sheetView>
  </sheetViews>
  <sheetFormatPr defaultColWidth="8.7265625" defaultRowHeight="16" outlineLevelCol="1" x14ac:dyDescent="0.35"/>
  <cols>
    <col min="1" max="1" width="16.1796875" style="130" bestFit="1" customWidth="1"/>
    <col min="2" max="2" width="102.7265625" style="130" bestFit="1" customWidth="1"/>
    <col min="3" max="3" width="113.26953125" style="130" hidden="1" customWidth="1" outlineLevel="1"/>
    <col min="4" max="4" width="15.6328125" style="130" customWidth="1" collapsed="1"/>
    <col min="5" max="6" width="15.6328125" style="130" customWidth="1"/>
    <col min="7" max="7" width="14.54296875" style="131" customWidth="1"/>
    <col min="8" max="8" width="14.54296875" style="130" customWidth="1"/>
    <col min="9" max="12" width="14.54296875" style="131" customWidth="1"/>
    <col min="13" max="13" width="14.54296875" style="134" customWidth="1"/>
    <col min="14" max="14" width="14.54296875" style="133" customWidth="1"/>
    <col min="15" max="15" width="14.54296875" style="130" customWidth="1"/>
    <col min="16" max="16" width="14.54296875" style="134" customWidth="1"/>
    <col min="17" max="17" width="14.54296875" style="130" customWidth="1"/>
    <col min="18" max="18" width="14.54296875" style="133" customWidth="1"/>
    <col min="19" max="19" width="14.54296875" style="134" customWidth="1"/>
    <col min="20" max="26" width="14.54296875" style="133" customWidth="1"/>
    <col min="27" max="29" width="14.54296875" style="130" customWidth="1"/>
    <col min="30" max="30" width="14.54296875" style="130" customWidth="1" collapsed="1"/>
    <col min="31" max="33" width="14.54296875" style="130" customWidth="1"/>
    <col min="34" max="34" width="14.54296875" style="130" customWidth="1" collapsed="1"/>
    <col min="35" max="38" width="14.54296875" style="133" customWidth="1"/>
    <col min="39" max="42" width="14.54296875" style="130" customWidth="1"/>
    <col min="43" max="16384" width="8.7265625" style="130"/>
  </cols>
  <sheetData>
    <row r="1" spans="1:42" ht="16.5" thickTop="1" x14ac:dyDescent="0.35">
      <c r="A1" s="135"/>
      <c r="B1" s="18"/>
      <c r="C1" s="18"/>
      <c r="D1" s="162" t="s">
        <v>691</v>
      </c>
      <c r="E1" s="162" t="s">
        <v>689</v>
      </c>
      <c r="F1" s="162" t="s">
        <v>675</v>
      </c>
      <c r="G1" s="162" t="s">
        <v>674</v>
      </c>
      <c r="H1" s="160" t="s">
        <v>673</v>
      </c>
      <c r="I1" s="160" t="s">
        <v>671</v>
      </c>
      <c r="J1" s="161" t="s">
        <v>491</v>
      </c>
      <c r="K1" s="162" t="s">
        <v>427</v>
      </c>
      <c r="L1" s="161" t="s">
        <v>429</v>
      </c>
      <c r="M1" s="161" t="s">
        <v>428</v>
      </c>
      <c r="N1" s="161" t="s">
        <v>476</v>
      </c>
      <c r="O1" s="161" t="s">
        <v>475</v>
      </c>
      <c r="P1" s="161" t="s">
        <v>474</v>
      </c>
      <c r="Q1" s="161" t="s">
        <v>473</v>
      </c>
      <c r="R1" s="161" t="s">
        <v>472</v>
      </c>
      <c r="S1" s="161" t="s">
        <v>471</v>
      </c>
      <c r="T1" s="161" t="s">
        <v>470</v>
      </c>
      <c r="U1" s="161" t="s">
        <v>469</v>
      </c>
      <c r="V1" s="161" t="s">
        <v>468</v>
      </c>
      <c r="W1" s="161" t="s">
        <v>467</v>
      </c>
      <c r="X1" s="161" t="s">
        <v>466</v>
      </c>
      <c r="Y1" s="161" t="s">
        <v>465</v>
      </c>
      <c r="Z1" s="161" t="s">
        <v>464</v>
      </c>
      <c r="AA1" s="161" t="s">
        <v>463</v>
      </c>
      <c r="AB1" s="161" t="s">
        <v>462</v>
      </c>
      <c r="AC1" s="161" t="s">
        <v>461</v>
      </c>
      <c r="AD1" s="161" t="s">
        <v>460</v>
      </c>
      <c r="AE1" s="161" t="s">
        <v>459</v>
      </c>
      <c r="AF1" s="161" t="s">
        <v>458</v>
      </c>
      <c r="AG1" s="161" t="s">
        <v>457</v>
      </c>
      <c r="AH1" s="161" t="s">
        <v>456</v>
      </c>
      <c r="AI1" s="161" t="s">
        <v>455</v>
      </c>
      <c r="AJ1" s="161" t="s">
        <v>454</v>
      </c>
      <c r="AK1" s="161" t="s">
        <v>453</v>
      </c>
      <c r="AL1" s="161" t="s">
        <v>452</v>
      </c>
      <c r="AM1" s="161" t="s">
        <v>451</v>
      </c>
      <c r="AN1" s="161" t="s">
        <v>450</v>
      </c>
      <c r="AO1" s="161" t="s">
        <v>449</v>
      </c>
      <c r="AP1" s="163" t="s">
        <v>448</v>
      </c>
    </row>
    <row r="2" spans="1:42" ht="16.5" thickBot="1" x14ac:dyDescent="0.4">
      <c r="A2" s="136" t="s">
        <v>0</v>
      </c>
      <c r="B2" s="18" t="s">
        <v>1</v>
      </c>
      <c r="C2" s="18"/>
      <c r="D2" s="165">
        <v>46203</v>
      </c>
      <c r="E2" s="165">
        <v>46112</v>
      </c>
      <c r="F2" s="165">
        <v>46022</v>
      </c>
      <c r="G2" s="165">
        <v>45930</v>
      </c>
      <c r="H2" s="164">
        <v>45838</v>
      </c>
      <c r="I2" s="164">
        <v>45747</v>
      </c>
      <c r="J2" s="165">
        <v>45657</v>
      </c>
      <c r="K2" s="165">
        <v>45565</v>
      </c>
      <c r="L2" s="165">
        <v>45473</v>
      </c>
      <c r="M2" s="165">
        <v>45382</v>
      </c>
      <c r="N2" s="165">
        <v>45291</v>
      </c>
      <c r="O2" s="165">
        <v>45199</v>
      </c>
      <c r="P2" s="165">
        <v>45107</v>
      </c>
      <c r="Q2" s="165">
        <v>45016</v>
      </c>
      <c r="R2" s="165">
        <v>44926</v>
      </c>
      <c r="S2" s="165">
        <v>44834</v>
      </c>
      <c r="T2" s="165">
        <v>44742</v>
      </c>
      <c r="U2" s="165">
        <v>44651</v>
      </c>
      <c r="V2" s="165">
        <v>44561</v>
      </c>
      <c r="W2" s="165">
        <v>44469</v>
      </c>
      <c r="X2" s="165">
        <v>44377</v>
      </c>
      <c r="Y2" s="165">
        <v>44286</v>
      </c>
      <c r="Z2" s="165">
        <v>44196</v>
      </c>
      <c r="AA2" s="166">
        <v>44104</v>
      </c>
      <c r="AB2" s="166">
        <v>44012</v>
      </c>
      <c r="AC2" s="166">
        <v>43921</v>
      </c>
      <c r="AD2" s="166">
        <v>43830</v>
      </c>
      <c r="AE2" s="166">
        <v>43738</v>
      </c>
      <c r="AF2" s="166">
        <v>43646</v>
      </c>
      <c r="AG2" s="166">
        <v>43555</v>
      </c>
      <c r="AH2" s="166">
        <v>43465</v>
      </c>
      <c r="AI2" s="166">
        <v>43373</v>
      </c>
      <c r="AJ2" s="166">
        <v>43281</v>
      </c>
      <c r="AK2" s="166">
        <v>43190</v>
      </c>
      <c r="AL2" s="166">
        <v>43100</v>
      </c>
      <c r="AM2" s="166">
        <v>43008</v>
      </c>
      <c r="AN2" s="166">
        <v>42916</v>
      </c>
      <c r="AO2" s="166">
        <v>42825</v>
      </c>
      <c r="AP2" s="167">
        <v>42735</v>
      </c>
    </row>
    <row r="3" spans="1:42" ht="16.5" thickTop="1" x14ac:dyDescent="0.35">
      <c r="A3" s="157" t="s">
        <v>2</v>
      </c>
      <c r="B3" s="157" t="s">
        <v>3</v>
      </c>
      <c r="C3" s="130" t="str">
        <f>CONCATENATE(A3,B3)</f>
        <v>1Ativo Total</v>
      </c>
      <c r="D3" s="168">
        <v>14927627</v>
      </c>
      <c r="E3" s="168">
        <v>14555533</v>
      </c>
      <c r="F3" s="168">
        <v>14392484</v>
      </c>
      <c r="G3" s="168">
        <v>14452673</v>
      </c>
      <c r="H3" s="221">
        <v>14920051</v>
      </c>
      <c r="I3" s="168">
        <v>15329139</v>
      </c>
      <c r="J3" s="168">
        <v>15961371</v>
      </c>
      <c r="K3" s="169">
        <v>15308507</v>
      </c>
      <c r="L3" s="168">
        <v>15293669</v>
      </c>
      <c r="M3" s="169">
        <v>14403303</v>
      </c>
      <c r="N3" s="169">
        <v>14534116</v>
      </c>
      <c r="O3" s="169">
        <v>15080242</v>
      </c>
      <c r="P3" s="169">
        <v>14330225</v>
      </c>
      <c r="Q3" s="169">
        <v>15467653</v>
      </c>
      <c r="R3" s="169">
        <v>15195455</v>
      </c>
      <c r="S3" s="169">
        <v>15197696</v>
      </c>
      <c r="T3" s="169">
        <v>14914335</v>
      </c>
      <c r="U3" s="169">
        <v>13552849</v>
      </c>
      <c r="V3" s="169">
        <v>14519530</v>
      </c>
      <c r="W3" s="169">
        <v>14431473</v>
      </c>
      <c r="X3" s="169">
        <v>13203278</v>
      </c>
      <c r="Y3" s="169">
        <v>13652232</v>
      </c>
      <c r="Z3" s="169">
        <v>12411803</v>
      </c>
      <c r="AA3" s="169">
        <v>13010400</v>
      </c>
      <c r="AB3" s="169">
        <v>11892587</v>
      </c>
      <c r="AC3" s="169">
        <v>11717177</v>
      </c>
      <c r="AD3" s="169">
        <v>9375411</v>
      </c>
      <c r="AE3" s="169">
        <v>10022525</v>
      </c>
      <c r="AF3" s="169">
        <v>9236750</v>
      </c>
      <c r="AG3" s="169">
        <v>9440143</v>
      </c>
      <c r="AH3" s="169">
        <v>9019190</v>
      </c>
      <c r="AI3" s="169">
        <v>9239909</v>
      </c>
      <c r="AJ3" s="169">
        <v>8905486</v>
      </c>
      <c r="AK3" s="169">
        <v>8510350</v>
      </c>
      <c r="AL3" s="169">
        <v>7922248</v>
      </c>
      <c r="AM3" s="169">
        <v>7671825</v>
      </c>
      <c r="AN3" s="169">
        <v>7892553</v>
      </c>
      <c r="AO3" s="169">
        <v>7424542</v>
      </c>
      <c r="AP3" s="170">
        <v>7057115</v>
      </c>
    </row>
    <row r="4" spans="1:42" x14ac:dyDescent="0.35">
      <c r="A4" s="158" t="s">
        <v>4</v>
      </c>
      <c r="B4" s="158" t="s">
        <v>5</v>
      </c>
      <c r="C4" s="130" t="str">
        <f t="shared" ref="C4:C67" si="0">CONCATENATE(A4,B4)</f>
        <v>1.01Ativo Circulante</v>
      </c>
      <c r="D4" s="168">
        <v>7132874</v>
      </c>
      <c r="E4" s="168">
        <v>6730056</v>
      </c>
      <c r="F4" s="168">
        <v>6217917</v>
      </c>
      <c r="G4" s="133">
        <v>6592673</v>
      </c>
      <c r="H4" s="222">
        <v>6926163</v>
      </c>
      <c r="I4" s="168">
        <v>7175221</v>
      </c>
      <c r="J4" s="168">
        <v>7390947</v>
      </c>
      <c r="K4" s="169">
        <v>7479973</v>
      </c>
      <c r="L4" s="168">
        <v>7499004</v>
      </c>
      <c r="M4" s="169">
        <v>7232297</v>
      </c>
      <c r="N4" s="169">
        <v>7514152</v>
      </c>
      <c r="O4" s="169">
        <v>8048781</v>
      </c>
      <c r="P4" s="169">
        <v>7448283</v>
      </c>
      <c r="Q4" s="169">
        <v>8349571</v>
      </c>
      <c r="R4" s="169">
        <v>7886325</v>
      </c>
      <c r="S4" s="169">
        <v>8021306</v>
      </c>
      <c r="T4" s="169">
        <v>7797654</v>
      </c>
      <c r="U4" s="169">
        <v>6961435</v>
      </c>
      <c r="V4" s="169">
        <v>6847514</v>
      </c>
      <c r="W4" s="169">
        <v>6953970</v>
      </c>
      <c r="X4" s="169">
        <v>6208374</v>
      </c>
      <c r="Y4" s="169">
        <v>6054354</v>
      </c>
      <c r="Z4" s="169">
        <v>5161926</v>
      </c>
      <c r="AA4" s="169">
        <v>5278408</v>
      </c>
      <c r="AB4" s="169">
        <v>4372292</v>
      </c>
      <c r="AC4" s="169">
        <v>4526247</v>
      </c>
      <c r="AD4" s="169">
        <v>3357621</v>
      </c>
      <c r="AE4" s="169">
        <v>3976211</v>
      </c>
      <c r="AF4" s="169">
        <v>3616236</v>
      </c>
      <c r="AG4" s="169">
        <v>3799311</v>
      </c>
      <c r="AH4" s="169">
        <v>3523802</v>
      </c>
      <c r="AI4" s="169">
        <v>3742941</v>
      </c>
      <c r="AJ4" s="169">
        <v>3562287</v>
      </c>
      <c r="AK4" s="169">
        <v>3640349</v>
      </c>
      <c r="AL4" s="169">
        <v>3048763</v>
      </c>
      <c r="AM4" s="169">
        <v>3014839</v>
      </c>
      <c r="AN4" s="169">
        <v>3119217</v>
      </c>
      <c r="AO4" s="169">
        <v>2829063</v>
      </c>
      <c r="AP4" s="170">
        <v>2364711</v>
      </c>
    </row>
    <row r="5" spans="1:42" x14ac:dyDescent="0.35">
      <c r="A5" s="158" t="s">
        <v>6</v>
      </c>
      <c r="B5" s="158" t="s">
        <v>7</v>
      </c>
      <c r="C5" s="130" t="str">
        <f t="shared" si="0"/>
        <v>1.01.01Caixa e Equivalentes de Caixa</v>
      </c>
      <c r="D5" s="168">
        <v>1868049</v>
      </c>
      <c r="E5" s="168">
        <v>1866118</v>
      </c>
      <c r="F5" s="168">
        <v>1599733</v>
      </c>
      <c r="G5" s="133">
        <v>1624952</v>
      </c>
      <c r="H5" s="222">
        <v>1678690</v>
      </c>
      <c r="I5" s="168">
        <v>1932732</v>
      </c>
      <c r="J5" s="168">
        <v>2463475</v>
      </c>
      <c r="K5" s="169">
        <v>2338050</v>
      </c>
      <c r="L5" s="168">
        <v>2255949</v>
      </c>
      <c r="M5" s="169">
        <v>2295227</v>
      </c>
      <c r="N5" s="169">
        <v>2962366</v>
      </c>
      <c r="O5" s="169">
        <v>3054672</v>
      </c>
      <c r="P5" s="169">
        <v>2458590</v>
      </c>
      <c r="Q5" s="169">
        <v>2604739</v>
      </c>
      <c r="R5" s="169">
        <v>2287054</v>
      </c>
      <c r="S5" s="169">
        <v>1604256</v>
      </c>
      <c r="T5" s="169">
        <v>1392893</v>
      </c>
      <c r="U5" s="169">
        <v>1385993</v>
      </c>
      <c r="V5" s="169">
        <v>1088114</v>
      </c>
      <c r="W5" s="169">
        <v>1006988</v>
      </c>
      <c r="X5" s="169">
        <v>1355258</v>
      </c>
      <c r="Y5" s="169">
        <v>1508930</v>
      </c>
      <c r="Z5" s="169">
        <v>1605439</v>
      </c>
      <c r="AA5" s="169">
        <v>1641643</v>
      </c>
      <c r="AB5" s="169">
        <v>1392574</v>
      </c>
      <c r="AC5" s="169">
        <v>1133921</v>
      </c>
      <c r="AD5" s="169">
        <v>646137</v>
      </c>
      <c r="AE5" s="169">
        <v>671381</v>
      </c>
      <c r="AF5" s="169">
        <v>353039</v>
      </c>
      <c r="AG5" s="169">
        <v>435074</v>
      </c>
      <c r="AH5" s="169">
        <v>486903</v>
      </c>
      <c r="AI5" s="169">
        <v>285356</v>
      </c>
      <c r="AJ5" s="169">
        <v>312904</v>
      </c>
      <c r="AK5" s="169">
        <v>820925</v>
      </c>
      <c r="AL5" s="169">
        <v>543331</v>
      </c>
      <c r="AM5" s="169">
        <v>502741</v>
      </c>
      <c r="AN5" s="169">
        <v>695515</v>
      </c>
      <c r="AO5" s="169">
        <v>690274</v>
      </c>
      <c r="AP5" s="170">
        <v>431599</v>
      </c>
    </row>
    <row r="6" spans="1:42" x14ac:dyDescent="0.35">
      <c r="A6" s="158" t="s">
        <v>8</v>
      </c>
      <c r="B6" s="158" t="s">
        <v>9</v>
      </c>
      <c r="C6" s="130" t="str">
        <f t="shared" si="0"/>
        <v>1.01.02Aplicações Financeiras</v>
      </c>
      <c r="D6" s="168">
        <v>0</v>
      </c>
      <c r="E6" s="168">
        <v>0</v>
      </c>
      <c r="F6" s="168">
        <v>0</v>
      </c>
      <c r="G6" s="168">
        <v>0</v>
      </c>
      <c r="H6" s="168">
        <v>0</v>
      </c>
      <c r="I6" s="168">
        <v>0</v>
      </c>
      <c r="J6" s="168">
        <v>0</v>
      </c>
      <c r="K6" s="169">
        <v>0</v>
      </c>
      <c r="L6" s="168">
        <v>0</v>
      </c>
      <c r="M6" s="169">
        <v>0</v>
      </c>
      <c r="N6" s="169">
        <v>0</v>
      </c>
      <c r="O6" s="169">
        <v>0</v>
      </c>
      <c r="P6" s="169">
        <v>0</v>
      </c>
      <c r="Q6" s="169">
        <v>0</v>
      </c>
      <c r="R6" s="169">
        <v>0</v>
      </c>
      <c r="S6" s="169">
        <v>0</v>
      </c>
      <c r="T6" s="169">
        <v>0</v>
      </c>
      <c r="U6" s="169">
        <v>0</v>
      </c>
      <c r="V6" s="169">
        <v>0</v>
      </c>
      <c r="W6" s="169">
        <v>0</v>
      </c>
      <c r="X6" s="169">
        <v>0</v>
      </c>
      <c r="Y6" s="169">
        <v>0</v>
      </c>
      <c r="Z6" s="169">
        <v>0</v>
      </c>
      <c r="AA6" s="169">
        <v>0</v>
      </c>
      <c r="AB6" s="169">
        <v>0</v>
      </c>
      <c r="AC6" s="169">
        <v>0</v>
      </c>
      <c r="AD6" s="169">
        <v>0</v>
      </c>
      <c r="AE6" s="169">
        <v>0</v>
      </c>
      <c r="AF6" s="169">
        <v>0</v>
      </c>
      <c r="AG6" s="169">
        <v>0</v>
      </c>
      <c r="AH6" s="169">
        <v>0</v>
      </c>
      <c r="AI6" s="169">
        <v>0</v>
      </c>
      <c r="AJ6" s="169">
        <v>0</v>
      </c>
      <c r="AK6" s="169">
        <v>0</v>
      </c>
      <c r="AL6" s="169">
        <v>0</v>
      </c>
      <c r="AM6" s="169">
        <v>0</v>
      </c>
      <c r="AN6" s="169">
        <v>0</v>
      </c>
      <c r="AO6" s="169">
        <v>0</v>
      </c>
      <c r="AP6" s="170">
        <v>0</v>
      </c>
    </row>
    <row r="7" spans="1:42" x14ac:dyDescent="0.35">
      <c r="A7" s="158" t="s">
        <v>10</v>
      </c>
      <c r="B7" s="158" t="s">
        <v>11</v>
      </c>
      <c r="C7" s="130" t="str">
        <f t="shared" si="0"/>
        <v>1.01.02.01Aplicações Financeiras Avaliadas a Valor Justo através do Resultado</v>
      </c>
      <c r="D7" s="168">
        <v>0</v>
      </c>
      <c r="E7" s="168">
        <v>0</v>
      </c>
      <c r="F7" s="168">
        <v>0</v>
      </c>
      <c r="G7" s="168">
        <v>0</v>
      </c>
      <c r="H7" s="168">
        <v>0</v>
      </c>
      <c r="I7" s="168">
        <v>0</v>
      </c>
      <c r="J7" s="168">
        <v>0</v>
      </c>
      <c r="K7" s="169">
        <v>0</v>
      </c>
      <c r="L7" s="168">
        <v>0</v>
      </c>
      <c r="M7" s="169">
        <v>0</v>
      </c>
      <c r="N7" s="169">
        <v>0</v>
      </c>
      <c r="O7" s="169">
        <v>0</v>
      </c>
      <c r="P7" s="169">
        <v>0</v>
      </c>
      <c r="Q7" s="169">
        <v>0</v>
      </c>
      <c r="R7" s="169">
        <v>0</v>
      </c>
      <c r="S7" s="169">
        <v>0</v>
      </c>
      <c r="T7" s="169">
        <v>0</v>
      </c>
      <c r="U7" s="169">
        <v>0</v>
      </c>
      <c r="V7" s="169">
        <v>0</v>
      </c>
      <c r="W7" s="169">
        <v>0</v>
      </c>
      <c r="X7" s="169">
        <v>0</v>
      </c>
      <c r="Y7" s="169">
        <v>0</v>
      </c>
      <c r="Z7" s="169">
        <v>0</v>
      </c>
      <c r="AA7" s="169">
        <v>0</v>
      </c>
      <c r="AB7" s="169">
        <v>0</v>
      </c>
      <c r="AC7" s="169">
        <v>0</v>
      </c>
      <c r="AD7" s="169">
        <v>0</v>
      </c>
      <c r="AE7" s="169">
        <v>0</v>
      </c>
      <c r="AF7" s="169">
        <v>0</v>
      </c>
      <c r="AG7" s="169">
        <v>0</v>
      </c>
      <c r="AH7" s="169">
        <v>0</v>
      </c>
      <c r="AI7" s="169">
        <v>0</v>
      </c>
      <c r="AJ7" s="169">
        <v>0</v>
      </c>
      <c r="AK7" s="169">
        <v>0</v>
      </c>
      <c r="AL7" s="169">
        <v>0</v>
      </c>
      <c r="AM7" s="169">
        <v>0</v>
      </c>
      <c r="AN7" s="169">
        <v>0</v>
      </c>
      <c r="AO7" s="169">
        <v>0</v>
      </c>
      <c r="AP7" s="170">
        <v>0</v>
      </c>
    </row>
    <row r="8" spans="1:42" x14ac:dyDescent="0.35">
      <c r="A8" s="158" t="s">
        <v>12</v>
      </c>
      <c r="B8" s="158" t="s">
        <v>13</v>
      </c>
      <c r="C8" s="130" t="str">
        <f t="shared" si="0"/>
        <v>1.01.02.01.01Títulos para Negociação</v>
      </c>
      <c r="D8" s="168">
        <v>0</v>
      </c>
      <c r="E8" s="168">
        <v>0</v>
      </c>
      <c r="F8" s="168">
        <v>0</v>
      </c>
      <c r="G8" s="168">
        <v>0</v>
      </c>
      <c r="H8" s="168">
        <v>0</v>
      </c>
      <c r="I8" s="168">
        <v>0</v>
      </c>
      <c r="J8" s="168">
        <v>0</v>
      </c>
      <c r="K8" s="169">
        <v>0</v>
      </c>
      <c r="L8" s="168">
        <v>0</v>
      </c>
      <c r="M8" s="169">
        <v>0</v>
      </c>
      <c r="N8" s="169">
        <v>0</v>
      </c>
      <c r="O8" s="169">
        <v>0</v>
      </c>
      <c r="P8" s="169">
        <v>0</v>
      </c>
      <c r="Q8" s="169">
        <v>0</v>
      </c>
      <c r="R8" s="169">
        <v>0</v>
      </c>
      <c r="S8" s="169">
        <v>0</v>
      </c>
      <c r="T8" s="169">
        <v>0</v>
      </c>
      <c r="U8" s="169">
        <v>0</v>
      </c>
      <c r="V8" s="169">
        <v>0</v>
      </c>
      <c r="W8" s="169">
        <v>0</v>
      </c>
      <c r="X8" s="169">
        <v>0</v>
      </c>
      <c r="Y8" s="169">
        <v>0</v>
      </c>
      <c r="Z8" s="169">
        <v>0</v>
      </c>
      <c r="AA8" s="169">
        <v>0</v>
      </c>
      <c r="AB8" s="169">
        <v>0</v>
      </c>
      <c r="AC8" s="169">
        <v>0</v>
      </c>
      <c r="AD8" s="169">
        <v>0</v>
      </c>
      <c r="AE8" s="169">
        <v>0</v>
      </c>
      <c r="AF8" s="169">
        <v>0</v>
      </c>
      <c r="AG8" s="169">
        <v>0</v>
      </c>
      <c r="AH8" s="169">
        <v>0</v>
      </c>
      <c r="AI8" s="169">
        <v>0</v>
      </c>
      <c r="AJ8" s="169">
        <v>0</v>
      </c>
      <c r="AK8" s="169">
        <v>0</v>
      </c>
      <c r="AL8" s="169">
        <v>0</v>
      </c>
      <c r="AM8" s="169">
        <v>0</v>
      </c>
      <c r="AN8" s="169">
        <v>0</v>
      </c>
      <c r="AO8" s="169">
        <v>0</v>
      </c>
      <c r="AP8" s="170">
        <v>0</v>
      </c>
    </row>
    <row r="9" spans="1:42" x14ac:dyDescent="0.35">
      <c r="A9" s="158" t="s">
        <v>14</v>
      </c>
      <c r="B9" s="158" t="s">
        <v>15</v>
      </c>
      <c r="C9" s="130" t="str">
        <f t="shared" si="0"/>
        <v>1.01.02.01.02Títulos Designados a Valor Justo</v>
      </c>
      <c r="D9" s="168">
        <v>0</v>
      </c>
      <c r="E9" s="168">
        <v>0</v>
      </c>
      <c r="F9" s="168">
        <v>0</v>
      </c>
      <c r="G9" s="168">
        <v>0</v>
      </c>
      <c r="H9" s="168">
        <v>0</v>
      </c>
      <c r="I9" s="168">
        <v>0</v>
      </c>
      <c r="J9" s="168">
        <v>0</v>
      </c>
      <c r="K9" s="169">
        <v>0</v>
      </c>
      <c r="L9" s="168">
        <v>0</v>
      </c>
      <c r="M9" s="169">
        <v>0</v>
      </c>
      <c r="N9" s="169">
        <v>0</v>
      </c>
      <c r="O9" s="169">
        <v>0</v>
      </c>
      <c r="P9" s="169">
        <v>0</v>
      </c>
      <c r="Q9" s="169">
        <v>0</v>
      </c>
      <c r="R9" s="169">
        <v>0</v>
      </c>
      <c r="S9" s="169">
        <v>0</v>
      </c>
      <c r="T9" s="169">
        <v>0</v>
      </c>
      <c r="U9" s="169">
        <v>0</v>
      </c>
      <c r="V9" s="169">
        <v>0</v>
      </c>
      <c r="W9" s="169">
        <v>0</v>
      </c>
      <c r="X9" s="169">
        <v>0</v>
      </c>
      <c r="Y9" s="169">
        <v>0</v>
      </c>
      <c r="Z9" s="169">
        <v>0</v>
      </c>
      <c r="AA9" s="169">
        <v>0</v>
      </c>
      <c r="AB9" s="169">
        <v>0</v>
      </c>
      <c r="AC9" s="169">
        <v>0</v>
      </c>
      <c r="AD9" s="169">
        <v>0</v>
      </c>
      <c r="AE9" s="169">
        <v>0</v>
      </c>
      <c r="AF9" s="169">
        <v>0</v>
      </c>
      <c r="AG9" s="169">
        <v>0</v>
      </c>
      <c r="AH9" s="169">
        <v>0</v>
      </c>
      <c r="AI9" s="169">
        <v>0</v>
      </c>
      <c r="AJ9" s="169">
        <v>0</v>
      </c>
      <c r="AK9" s="169">
        <v>0</v>
      </c>
      <c r="AL9" s="169">
        <v>0</v>
      </c>
      <c r="AM9" s="169">
        <v>0</v>
      </c>
      <c r="AN9" s="169">
        <v>0</v>
      </c>
      <c r="AO9" s="169">
        <v>0</v>
      </c>
      <c r="AP9" s="170">
        <v>0</v>
      </c>
    </row>
    <row r="10" spans="1:42" x14ac:dyDescent="0.35">
      <c r="A10" s="158" t="s">
        <v>16</v>
      </c>
      <c r="B10" s="158" t="s">
        <v>17</v>
      </c>
      <c r="C10" s="130" t="str">
        <f t="shared" si="0"/>
        <v>1.01.02.02Aplicações Financeiras Avaliadas a Valor Justo através de Outros Resultados Abrangentes</v>
      </c>
      <c r="D10" s="168">
        <v>0</v>
      </c>
      <c r="E10" s="168">
        <v>0</v>
      </c>
      <c r="F10" s="168">
        <v>0</v>
      </c>
      <c r="G10" s="168">
        <v>0</v>
      </c>
      <c r="H10" s="168">
        <v>0</v>
      </c>
      <c r="I10" s="168">
        <v>0</v>
      </c>
      <c r="J10" s="168">
        <v>0</v>
      </c>
      <c r="K10" s="169">
        <v>0</v>
      </c>
      <c r="L10" s="168">
        <v>0</v>
      </c>
      <c r="M10" s="169">
        <v>0</v>
      </c>
      <c r="N10" s="169">
        <v>0</v>
      </c>
      <c r="O10" s="169">
        <v>0</v>
      </c>
      <c r="P10" s="169">
        <v>0</v>
      </c>
      <c r="Q10" s="169">
        <v>0</v>
      </c>
      <c r="R10" s="169">
        <v>0</v>
      </c>
      <c r="S10" s="169">
        <v>0</v>
      </c>
      <c r="T10" s="169">
        <v>0</v>
      </c>
      <c r="U10" s="169">
        <v>0</v>
      </c>
      <c r="V10" s="169">
        <v>0</v>
      </c>
      <c r="W10" s="169">
        <v>0</v>
      </c>
      <c r="X10" s="169">
        <v>0</v>
      </c>
      <c r="Y10" s="169">
        <v>0</v>
      </c>
      <c r="Z10" s="169">
        <v>0</v>
      </c>
      <c r="AA10" s="169">
        <v>0</v>
      </c>
      <c r="AB10" s="169">
        <v>0</v>
      </c>
      <c r="AC10" s="169">
        <v>0</v>
      </c>
      <c r="AD10" s="169">
        <v>0</v>
      </c>
      <c r="AE10" s="169">
        <v>0</v>
      </c>
      <c r="AF10" s="169">
        <v>0</v>
      </c>
      <c r="AG10" s="169">
        <v>0</v>
      </c>
      <c r="AH10" s="169">
        <v>0</v>
      </c>
      <c r="AI10" s="169">
        <v>0</v>
      </c>
      <c r="AJ10" s="169">
        <v>0</v>
      </c>
      <c r="AK10" s="169">
        <v>0</v>
      </c>
      <c r="AL10" s="169">
        <v>0</v>
      </c>
      <c r="AM10" s="169">
        <v>0</v>
      </c>
      <c r="AN10" s="169">
        <v>0</v>
      </c>
      <c r="AO10" s="169">
        <v>0</v>
      </c>
      <c r="AP10" s="170">
        <v>0</v>
      </c>
    </row>
    <row r="11" spans="1:42" x14ac:dyDescent="0.35">
      <c r="A11" s="158" t="s">
        <v>18</v>
      </c>
      <c r="B11" s="158" t="s">
        <v>19</v>
      </c>
      <c r="C11" s="130" t="str">
        <f t="shared" si="0"/>
        <v>1.01.02.03Aplicações Financeiras Avaliadas ao Custo Amortizado</v>
      </c>
      <c r="D11" s="168">
        <v>0</v>
      </c>
      <c r="E11" s="168">
        <v>0</v>
      </c>
      <c r="F11" s="168">
        <v>0</v>
      </c>
      <c r="G11" s="168">
        <v>0</v>
      </c>
      <c r="H11" s="168">
        <v>0</v>
      </c>
      <c r="I11" s="168">
        <v>0</v>
      </c>
      <c r="J11" s="168">
        <v>0</v>
      </c>
      <c r="K11" s="169">
        <v>0</v>
      </c>
      <c r="L11" s="168">
        <v>0</v>
      </c>
      <c r="M11" s="169">
        <v>0</v>
      </c>
      <c r="N11" s="169">
        <v>0</v>
      </c>
      <c r="O11" s="169">
        <v>0</v>
      </c>
      <c r="P11" s="169">
        <v>0</v>
      </c>
      <c r="Q11" s="169">
        <v>0</v>
      </c>
      <c r="R11" s="169">
        <v>0</v>
      </c>
      <c r="S11" s="169">
        <v>0</v>
      </c>
      <c r="T11" s="169">
        <v>0</v>
      </c>
      <c r="U11" s="169">
        <v>0</v>
      </c>
      <c r="V11" s="169">
        <v>0</v>
      </c>
      <c r="W11" s="169">
        <v>0</v>
      </c>
      <c r="X11" s="169">
        <v>0</v>
      </c>
      <c r="Y11" s="169">
        <v>0</v>
      </c>
      <c r="Z11" s="169">
        <v>0</v>
      </c>
      <c r="AA11" s="169">
        <v>0</v>
      </c>
      <c r="AB11" s="169">
        <v>0</v>
      </c>
      <c r="AC11" s="169">
        <v>0</v>
      </c>
      <c r="AD11" s="169">
        <v>0</v>
      </c>
      <c r="AE11" s="169">
        <v>0</v>
      </c>
      <c r="AF11" s="169">
        <v>0</v>
      </c>
      <c r="AG11" s="169">
        <v>0</v>
      </c>
      <c r="AH11" s="169">
        <v>0</v>
      </c>
      <c r="AI11" s="169">
        <v>0</v>
      </c>
      <c r="AJ11" s="169">
        <v>0</v>
      </c>
      <c r="AK11" s="169">
        <v>0</v>
      </c>
      <c r="AL11" s="169">
        <v>0</v>
      </c>
      <c r="AM11" s="169">
        <v>0</v>
      </c>
      <c r="AN11" s="169">
        <v>0</v>
      </c>
      <c r="AO11" s="169">
        <v>0</v>
      </c>
      <c r="AP11" s="170">
        <v>0</v>
      </c>
    </row>
    <row r="12" spans="1:42" x14ac:dyDescent="0.35">
      <c r="A12" s="158" t="s">
        <v>20</v>
      </c>
      <c r="B12" s="158" t="s">
        <v>21</v>
      </c>
      <c r="C12" s="130" t="str">
        <f t="shared" si="0"/>
        <v>1.01.03Contas a Receber</v>
      </c>
      <c r="D12" s="168">
        <v>1850701</v>
      </c>
      <c r="E12" s="168">
        <v>1737718</v>
      </c>
      <c r="F12" s="168">
        <v>1333705</v>
      </c>
      <c r="G12" s="168">
        <v>1544030</v>
      </c>
      <c r="H12" s="222">
        <v>1699403</v>
      </c>
      <c r="I12" s="168">
        <v>1777578</v>
      </c>
      <c r="J12" s="168">
        <v>1449118</v>
      </c>
      <c r="K12" s="169">
        <v>1714233</v>
      </c>
      <c r="L12" s="168">
        <v>1780765</v>
      </c>
      <c r="M12" s="169">
        <v>1609129</v>
      </c>
      <c r="N12" s="169">
        <v>1261050</v>
      </c>
      <c r="O12" s="169">
        <v>1526405</v>
      </c>
      <c r="P12" s="169">
        <v>1589570</v>
      </c>
      <c r="Q12" s="169">
        <v>2267301</v>
      </c>
      <c r="R12" s="169">
        <v>2053692</v>
      </c>
      <c r="S12" s="169">
        <v>2406460</v>
      </c>
      <c r="T12" s="169">
        <v>2466700</v>
      </c>
      <c r="U12" s="169">
        <v>2027779</v>
      </c>
      <c r="V12" s="169">
        <v>1731914</v>
      </c>
      <c r="W12" s="169">
        <v>2040574</v>
      </c>
      <c r="X12" s="169">
        <v>1749006</v>
      </c>
      <c r="Y12" s="169">
        <v>1824896</v>
      </c>
      <c r="Z12" s="169">
        <v>1405954</v>
      </c>
      <c r="AA12" s="169">
        <v>1528126</v>
      </c>
      <c r="AB12" s="169">
        <v>966336</v>
      </c>
      <c r="AC12" s="169">
        <v>1323161</v>
      </c>
      <c r="AD12" s="169">
        <v>1029650</v>
      </c>
      <c r="AE12" s="169">
        <v>1440886</v>
      </c>
      <c r="AF12" s="169">
        <v>1479216</v>
      </c>
      <c r="AG12" s="169">
        <v>1502342</v>
      </c>
      <c r="AH12" s="169">
        <v>1253826</v>
      </c>
      <c r="AI12" s="169">
        <v>1555906</v>
      </c>
      <c r="AJ12" s="169">
        <v>1470644</v>
      </c>
      <c r="AK12" s="169">
        <v>1306513</v>
      </c>
      <c r="AL12" s="169">
        <v>1064916</v>
      </c>
      <c r="AM12" s="169">
        <v>1141765</v>
      </c>
      <c r="AN12" s="169">
        <v>1118783</v>
      </c>
      <c r="AO12" s="169">
        <v>978340</v>
      </c>
      <c r="AP12" s="170">
        <v>835158</v>
      </c>
    </row>
    <row r="13" spans="1:42" x14ac:dyDescent="0.35">
      <c r="A13" s="158" t="s">
        <v>22</v>
      </c>
      <c r="B13" s="158" t="s">
        <v>23</v>
      </c>
      <c r="C13" s="130" t="str">
        <f t="shared" si="0"/>
        <v>1.01.03.01Clientes</v>
      </c>
      <c r="D13" s="168">
        <v>1850701</v>
      </c>
      <c r="E13" s="168">
        <v>1737718</v>
      </c>
      <c r="F13" s="168">
        <v>1333705</v>
      </c>
      <c r="G13" s="168">
        <v>1544030</v>
      </c>
      <c r="H13" s="222">
        <v>1699403</v>
      </c>
      <c r="I13" s="168">
        <v>1777578</v>
      </c>
      <c r="J13" s="168">
        <v>1449118</v>
      </c>
      <c r="K13" s="169">
        <v>1714233</v>
      </c>
      <c r="L13" s="168">
        <v>1780765</v>
      </c>
      <c r="M13" s="169">
        <v>1609129</v>
      </c>
      <c r="N13" s="169">
        <v>1261050</v>
      </c>
      <c r="O13" s="169">
        <v>1526405</v>
      </c>
      <c r="P13" s="169">
        <v>1589570</v>
      </c>
      <c r="Q13" s="169">
        <v>2267301</v>
      </c>
      <c r="R13" s="169">
        <v>2053692</v>
      </c>
      <c r="S13" s="169">
        <v>2406460</v>
      </c>
      <c r="T13" s="169">
        <v>2466700</v>
      </c>
      <c r="U13" s="169">
        <v>2027779</v>
      </c>
      <c r="V13" s="169">
        <v>1731914</v>
      </c>
      <c r="W13" s="169">
        <v>2040574</v>
      </c>
      <c r="X13" s="169">
        <v>1749006</v>
      </c>
      <c r="Y13" s="169">
        <v>1824896</v>
      </c>
      <c r="Z13" s="169">
        <v>1405954</v>
      </c>
      <c r="AA13" s="169">
        <v>1528126</v>
      </c>
      <c r="AB13" s="169">
        <v>966336</v>
      </c>
      <c r="AC13" s="169">
        <v>1323161</v>
      </c>
      <c r="AD13" s="169">
        <v>1029650</v>
      </c>
      <c r="AE13" s="169">
        <v>1440886</v>
      </c>
      <c r="AF13" s="169">
        <v>1479216</v>
      </c>
      <c r="AG13" s="169">
        <v>1502342</v>
      </c>
      <c r="AH13" s="169">
        <v>1253826</v>
      </c>
      <c r="AI13" s="169">
        <v>1555906</v>
      </c>
      <c r="AJ13" s="169">
        <v>1470644</v>
      </c>
      <c r="AK13" s="169">
        <v>1306513</v>
      </c>
      <c r="AL13" s="169">
        <v>1064916</v>
      </c>
      <c r="AM13" s="169">
        <v>1141765</v>
      </c>
      <c r="AN13" s="169">
        <v>1118783</v>
      </c>
      <c r="AO13" s="169">
        <v>978340</v>
      </c>
      <c r="AP13" s="170">
        <v>835158</v>
      </c>
    </row>
    <row r="14" spans="1:42" x14ac:dyDescent="0.35">
      <c r="A14" s="158" t="s">
        <v>24</v>
      </c>
      <c r="B14" s="158" t="s">
        <v>25</v>
      </c>
      <c r="C14" s="130" t="str">
        <f t="shared" si="0"/>
        <v>1.01.03.02Outras Contas a Receber</v>
      </c>
      <c r="D14" s="168">
        <v>0</v>
      </c>
      <c r="E14" s="168">
        <v>0</v>
      </c>
      <c r="F14" s="168">
        <v>0</v>
      </c>
      <c r="G14" s="168">
        <v>0</v>
      </c>
      <c r="H14" s="168">
        <v>0</v>
      </c>
      <c r="I14" s="168">
        <v>0</v>
      </c>
      <c r="J14" s="168">
        <v>0</v>
      </c>
      <c r="K14" s="169">
        <v>0</v>
      </c>
      <c r="L14" s="168">
        <v>0</v>
      </c>
      <c r="M14" s="169">
        <v>0</v>
      </c>
      <c r="N14" s="169">
        <v>0</v>
      </c>
      <c r="O14" s="169">
        <v>0</v>
      </c>
      <c r="P14" s="169">
        <v>0</v>
      </c>
      <c r="Q14" s="169">
        <v>0</v>
      </c>
      <c r="R14" s="169">
        <v>0</v>
      </c>
      <c r="S14" s="169">
        <v>0</v>
      </c>
      <c r="T14" s="169">
        <v>0</v>
      </c>
      <c r="U14" s="169">
        <v>0</v>
      </c>
      <c r="V14" s="169">
        <v>0</v>
      </c>
      <c r="W14" s="169">
        <v>0</v>
      </c>
      <c r="X14" s="169">
        <v>0</v>
      </c>
      <c r="Y14" s="169">
        <v>0</v>
      </c>
      <c r="Z14" s="169">
        <v>0</v>
      </c>
      <c r="AA14" s="169">
        <v>0</v>
      </c>
      <c r="AB14" s="169">
        <v>0</v>
      </c>
      <c r="AC14" s="169">
        <v>0</v>
      </c>
      <c r="AD14" s="169">
        <v>0</v>
      </c>
      <c r="AE14" s="169">
        <v>0</v>
      </c>
      <c r="AF14" s="169">
        <v>0</v>
      </c>
      <c r="AG14" s="169">
        <v>0</v>
      </c>
      <c r="AH14" s="169">
        <v>0</v>
      </c>
      <c r="AI14" s="169">
        <v>0</v>
      </c>
      <c r="AJ14" s="169">
        <v>0</v>
      </c>
      <c r="AK14" s="169">
        <v>0</v>
      </c>
      <c r="AL14" s="169">
        <v>0</v>
      </c>
      <c r="AM14" s="169">
        <v>0</v>
      </c>
      <c r="AN14" s="169">
        <v>0</v>
      </c>
      <c r="AO14" s="169">
        <v>0</v>
      </c>
      <c r="AP14" s="170">
        <v>0</v>
      </c>
    </row>
    <row r="15" spans="1:42" x14ac:dyDescent="0.35">
      <c r="A15" s="158" t="s">
        <v>26</v>
      </c>
      <c r="B15" s="158" t="s">
        <v>27</v>
      </c>
      <c r="C15" s="130" t="str">
        <f t="shared" si="0"/>
        <v>1.01.04Estoques</v>
      </c>
      <c r="D15" s="168">
        <v>2546919</v>
      </c>
      <c r="E15" s="168">
        <v>2355533</v>
      </c>
      <c r="F15" s="168">
        <v>2465712</v>
      </c>
      <c r="G15" s="168">
        <v>2568157</v>
      </c>
      <c r="H15" s="222">
        <v>2647642</v>
      </c>
      <c r="I15" s="168">
        <v>2542395</v>
      </c>
      <c r="J15" s="168">
        <v>2458784</v>
      </c>
      <c r="K15" s="169">
        <v>2444430</v>
      </c>
      <c r="L15" s="168">
        <v>2461251</v>
      </c>
      <c r="M15" s="169">
        <v>2343032</v>
      </c>
      <c r="N15" s="169">
        <v>2320305</v>
      </c>
      <c r="O15" s="169">
        <v>2456263</v>
      </c>
      <c r="P15" s="169">
        <v>2444233</v>
      </c>
      <c r="Q15" s="169">
        <v>2563366</v>
      </c>
      <c r="R15" s="169">
        <v>2702075</v>
      </c>
      <c r="S15" s="169">
        <v>2965662</v>
      </c>
      <c r="T15" s="169">
        <v>3055324</v>
      </c>
      <c r="U15" s="169">
        <v>2807064</v>
      </c>
      <c r="V15" s="169">
        <v>3196694</v>
      </c>
      <c r="W15" s="169">
        <v>3081815</v>
      </c>
      <c r="X15" s="169">
        <v>2474865</v>
      </c>
      <c r="Y15" s="169">
        <v>2200098</v>
      </c>
      <c r="Z15" s="169">
        <v>1748497</v>
      </c>
      <c r="AA15" s="169">
        <v>1717282</v>
      </c>
      <c r="AB15" s="169">
        <v>1659113</v>
      </c>
      <c r="AC15" s="169">
        <v>1698388</v>
      </c>
      <c r="AD15" s="169">
        <v>1328470</v>
      </c>
      <c r="AE15" s="169">
        <v>1417784</v>
      </c>
      <c r="AF15" s="169">
        <v>1399921</v>
      </c>
      <c r="AG15" s="169">
        <v>1517728</v>
      </c>
      <c r="AH15" s="169">
        <v>1448021</v>
      </c>
      <c r="AI15" s="169">
        <v>1519877</v>
      </c>
      <c r="AJ15" s="169">
        <v>1441329</v>
      </c>
      <c r="AK15" s="169">
        <v>1260011</v>
      </c>
      <c r="AL15" s="169">
        <v>1191445</v>
      </c>
      <c r="AM15" s="169">
        <v>1110176</v>
      </c>
      <c r="AN15" s="169">
        <v>1056564</v>
      </c>
      <c r="AO15" s="169">
        <v>933278</v>
      </c>
      <c r="AP15" s="170">
        <v>865029</v>
      </c>
    </row>
    <row r="16" spans="1:42" x14ac:dyDescent="0.35">
      <c r="A16" s="158" t="s">
        <v>28</v>
      </c>
      <c r="B16" s="158" t="s">
        <v>29</v>
      </c>
      <c r="C16" s="130" t="str">
        <f t="shared" si="0"/>
        <v>1.01.05Ativos Biológicos</v>
      </c>
      <c r="D16" s="168">
        <v>0</v>
      </c>
      <c r="E16" s="168">
        <v>0</v>
      </c>
      <c r="F16" s="168">
        <v>0</v>
      </c>
      <c r="G16" s="168">
        <v>0</v>
      </c>
      <c r="H16" s="168">
        <v>0</v>
      </c>
      <c r="I16" s="168">
        <v>0</v>
      </c>
      <c r="J16" s="168">
        <v>0</v>
      </c>
      <c r="K16" s="169">
        <v>0</v>
      </c>
      <c r="L16" s="168">
        <v>0</v>
      </c>
      <c r="M16" s="169">
        <v>0</v>
      </c>
      <c r="N16" s="169">
        <v>0</v>
      </c>
      <c r="O16" s="169">
        <v>0</v>
      </c>
      <c r="P16" s="169">
        <v>0</v>
      </c>
      <c r="Q16" s="169">
        <v>0</v>
      </c>
      <c r="R16" s="169">
        <v>0</v>
      </c>
      <c r="S16" s="169">
        <v>0</v>
      </c>
      <c r="T16" s="169">
        <v>0</v>
      </c>
      <c r="U16" s="169">
        <v>0</v>
      </c>
      <c r="V16" s="169">
        <v>0</v>
      </c>
      <c r="W16" s="169">
        <v>0</v>
      </c>
      <c r="X16" s="169">
        <v>0</v>
      </c>
      <c r="Y16" s="169">
        <v>0</v>
      </c>
      <c r="Z16" s="169">
        <v>0</v>
      </c>
      <c r="AA16" s="169">
        <v>0</v>
      </c>
      <c r="AB16" s="169">
        <v>0</v>
      </c>
      <c r="AC16" s="169">
        <v>0</v>
      </c>
      <c r="AD16" s="169">
        <v>0</v>
      </c>
      <c r="AE16" s="169">
        <v>0</v>
      </c>
      <c r="AF16" s="169">
        <v>0</v>
      </c>
      <c r="AG16" s="169">
        <v>0</v>
      </c>
      <c r="AH16" s="169">
        <v>0</v>
      </c>
      <c r="AI16" s="169">
        <v>0</v>
      </c>
      <c r="AJ16" s="169">
        <v>0</v>
      </c>
      <c r="AK16" s="169">
        <v>0</v>
      </c>
      <c r="AL16" s="169">
        <v>0</v>
      </c>
      <c r="AM16" s="169">
        <v>0</v>
      </c>
      <c r="AN16" s="169">
        <v>0</v>
      </c>
      <c r="AO16" s="169">
        <v>0</v>
      </c>
      <c r="AP16" s="170">
        <v>0</v>
      </c>
    </row>
    <row r="17" spans="1:42" x14ac:dyDescent="0.35">
      <c r="A17" s="158" t="s">
        <v>30</v>
      </c>
      <c r="B17" s="158" t="s">
        <v>31</v>
      </c>
      <c r="C17" s="130" t="str">
        <f t="shared" si="0"/>
        <v>1.01.06Tributos a Recuperar</v>
      </c>
      <c r="D17" s="168">
        <v>499212</v>
      </c>
      <c r="E17" s="168">
        <v>449973</v>
      </c>
      <c r="F17" s="168">
        <v>498665</v>
      </c>
      <c r="G17" s="168">
        <v>521001</v>
      </c>
      <c r="H17" s="222">
        <v>577961</v>
      </c>
      <c r="I17" s="168">
        <v>607687</v>
      </c>
      <c r="J17" s="168">
        <v>687164</v>
      </c>
      <c r="K17" s="169">
        <v>659911</v>
      </c>
      <c r="L17" s="168">
        <v>669423</v>
      </c>
      <c r="M17" s="169">
        <v>706830</v>
      </c>
      <c r="N17" s="169">
        <v>717498</v>
      </c>
      <c r="O17" s="169">
        <v>707121</v>
      </c>
      <c r="P17" s="169">
        <v>669896</v>
      </c>
      <c r="Q17" s="169">
        <v>645572</v>
      </c>
      <c r="R17" s="169">
        <v>600748</v>
      </c>
      <c r="S17" s="169">
        <v>693491</v>
      </c>
      <c r="T17" s="169">
        <v>582900</v>
      </c>
      <c r="U17" s="169">
        <v>481564</v>
      </c>
      <c r="V17" s="169">
        <v>500695</v>
      </c>
      <c r="W17" s="169">
        <v>577775</v>
      </c>
      <c r="X17" s="169">
        <v>392709</v>
      </c>
      <c r="Y17" s="169">
        <v>314949</v>
      </c>
      <c r="Z17" s="169">
        <v>239884</v>
      </c>
      <c r="AA17" s="169">
        <v>216022</v>
      </c>
      <c r="AB17" s="169">
        <v>200080</v>
      </c>
      <c r="AC17" s="169">
        <v>213089</v>
      </c>
      <c r="AD17" s="169">
        <v>223589</v>
      </c>
      <c r="AE17" s="169">
        <v>308369</v>
      </c>
      <c r="AF17" s="169">
        <v>252380</v>
      </c>
      <c r="AG17" s="169">
        <v>228744</v>
      </c>
      <c r="AH17" s="169">
        <v>237675</v>
      </c>
      <c r="AI17" s="169">
        <v>260784</v>
      </c>
      <c r="AJ17" s="169">
        <v>207658</v>
      </c>
      <c r="AK17" s="169">
        <v>145162</v>
      </c>
      <c r="AL17" s="169">
        <v>159482</v>
      </c>
      <c r="AM17" s="169">
        <v>150232</v>
      </c>
      <c r="AN17" s="169">
        <v>144112</v>
      </c>
      <c r="AO17" s="169">
        <v>131950</v>
      </c>
      <c r="AP17" s="170">
        <v>125249</v>
      </c>
    </row>
    <row r="18" spans="1:42" x14ac:dyDescent="0.35">
      <c r="A18" s="158" t="s">
        <v>32</v>
      </c>
      <c r="B18" s="158" t="s">
        <v>33</v>
      </c>
      <c r="C18" s="130" t="str">
        <f t="shared" si="0"/>
        <v>1.01.06.01Tributos Correntes a Recuperar</v>
      </c>
      <c r="D18" s="168">
        <v>499212</v>
      </c>
      <c r="E18" s="168">
        <v>449973</v>
      </c>
      <c r="F18" s="168">
        <v>498665</v>
      </c>
      <c r="G18" s="168">
        <v>521001</v>
      </c>
      <c r="H18" s="222">
        <v>577961</v>
      </c>
      <c r="I18" s="168">
        <v>607687</v>
      </c>
      <c r="J18" s="168">
        <v>687164</v>
      </c>
      <c r="K18" s="169">
        <v>659911</v>
      </c>
      <c r="L18" s="168">
        <v>669423</v>
      </c>
      <c r="M18" s="169">
        <v>706830</v>
      </c>
      <c r="N18" s="169">
        <v>717498</v>
      </c>
      <c r="O18" s="169">
        <v>707121</v>
      </c>
      <c r="P18" s="169">
        <v>669896</v>
      </c>
      <c r="Q18" s="169">
        <v>645572</v>
      </c>
      <c r="R18" s="169">
        <v>600748</v>
      </c>
      <c r="S18" s="169">
        <v>693491</v>
      </c>
      <c r="T18" s="169">
        <v>582900</v>
      </c>
      <c r="U18" s="169">
        <v>481564</v>
      </c>
      <c r="V18" s="169">
        <v>500695</v>
      </c>
      <c r="W18" s="169">
        <v>577775</v>
      </c>
      <c r="X18" s="169">
        <v>392709</v>
      </c>
      <c r="Y18" s="169">
        <v>314949</v>
      </c>
      <c r="Z18" s="169">
        <v>239884</v>
      </c>
      <c r="AA18" s="169">
        <v>216022</v>
      </c>
      <c r="AB18" s="169">
        <v>200080</v>
      </c>
      <c r="AC18" s="169">
        <v>213089</v>
      </c>
      <c r="AD18" s="169">
        <v>223589</v>
      </c>
      <c r="AE18" s="169">
        <v>308369</v>
      </c>
      <c r="AF18" s="169">
        <v>252380</v>
      </c>
      <c r="AG18" s="169">
        <v>228744</v>
      </c>
      <c r="AH18" s="169">
        <v>237675</v>
      </c>
      <c r="AI18" s="169">
        <v>260784</v>
      </c>
      <c r="AJ18" s="169">
        <v>207658</v>
      </c>
      <c r="AK18" s="169">
        <v>145162</v>
      </c>
      <c r="AL18" s="169">
        <v>159482</v>
      </c>
      <c r="AM18" s="169">
        <v>150232</v>
      </c>
      <c r="AN18" s="169">
        <v>144112</v>
      </c>
      <c r="AO18" s="169">
        <v>131950</v>
      </c>
      <c r="AP18" s="170">
        <v>125249</v>
      </c>
    </row>
    <row r="19" spans="1:42" x14ac:dyDescent="0.35">
      <c r="A19" s="158" t="s">
        <v>34</v>
      </c>
      <c r="B19" s="158" t="s">
        <v>35</v>
      </c>
      <c r="C19" s="130" t="str">
        <f t="shared" si="0"/>
        <v>1.01.07Despesas Antecipadas</v>
      </c>
      <c r="D19" s="168">
        <v>106577</v>
      </c>
      <c r="E19" s="168">
        <v>100397</v>
      </c>
      <c r="F19" s="168">
        <v>92499</v>
      </c>
      <c r="G19" s="168">
        <v>94192</v>
      </c>
      <c r="H19" s="222">
        <v>114572</v>
      </c>
      <c r="I19" s="168">
        <v>127604</v>
      </c>
      <c r="J19" s="168">
        <v>122362</v>
      </c>
      <c r="K19" s="169">
        <v>88658</v>
      </c>
      <c r="L19" s="168">
        <v>113515</v>
      </c>
      <c r="M19" s="169">
        <v>92785</v>
      </c>
      <c r="N19" s="169">
        <v>80481</v>
      </c>
      <c r="O19" s="169">
        <v>69736</v>
      </c>
      <c r="P19" s="169">
        <v>77817</v>
      </c>
      <c r="Q19" s="169">
        <v>81893</v>
      </c>
      <c r="R19" s="169">
        <v>57725</v>
      </c>
      <c r="S19" s="169">
        <v>55625</v>
      </c>
      <c r="T19" s="169">
        <v>55869</v>
      </c>
      <c r="U19" s="169">
        <v>46157</v>
      </c>
      <c r="V19" s="169">
        <v>49093</v>
      </c>
      <c r="W19" s="169">
        <v>49293</v>
      </c>
      <c r="X19" s="169">
        <v>55849</v>
      </c>
      <c r="Y19" s="169">
        <v>55688</v>
      </c>
      <c r="Z19" s="169">
        <v>49145</v>
      </c>
      <c r="AA19" s="169">
        <v>50855</v>
      </c>
      <c r="AB19" s="169">
        <v>48608</v>
      </c>
      <c r="AC19" s="169">
        <v>46607</v>
      </c>
      <c r="AD19" s="169">
        <v>20210</v>
      </c>
      <c r="AE19" s="169">
        <v>23565</v>
      </c>
      <c r="AF19" s="169">
        <v>25991</v>
      </c>
      <c r="AG19" s="169">
        <v>27177</v>
      </c>
      <c r="AH19" s="169">
        <v>19641</v>
      </c>
      <c r="AI19" s="169">
        <v>26108</v>
      </c>
      <c r="AJ19" s="169">
        <v>25332</v>
      </c>
      <c r="AK19" s="169">
        <v>27384</v>
      </c>
      <c r="AL19" s="169">
        <v>19657</v>
      </c>
      <c r="AM19" s="169">
        <v>28265</v>
      </c>
      <c r="AN19" s="169">
        <v>30864</v>
      </c>
      <c r="AO19" s="169">
        <v>26989</v>
      </c>
      <c r="AP19" s="170">
        <v>23054</v>
      </c>
    </row>
    <row r="20" spans="1:42" x14ac:dyDescent="0.35">
      <c r="A20" s="158" t="s">
        <v>36</v>
      </c>
      <c r="B20" s="158" t="s">
        <v>37</v>
      </c>
      <c r="C20" s="130" t="str">
        <f t="shared" si="0"/>
        <v>1.01.08Outros Ativos Circulantes</v>
      </c>
      <c r="D20" s="168">
        <v>261416</v>
      </c>
      <c r="E20" s="168">
        <v>220317</v>
      </c>
      <c r="F20" s="168">
        <v>227603</v>
      </c>
      <c r="G20" s="168">
        <v>240341</v>
      </c>
      <c r="H20" s="222">
        <v>207895</v>
      </c>
      <c r="I20" s="168">
        <v>187225</v>
      </c>
      <c r="J20" s="168">
        <v>210044</v>
      </c>
      <c r="K20" s="169">
        <v>234691</v>
      </c>
      <c r="L20" s="168">
        <v>218101</v>
      </c>
      <c r="M20" s="169">
        <v>185294</v>
      </c>
      <c r="N20" s="169">
        <v>172452</v>
      </c>
      <c r="O20" s="169">
        <v>234584</v>
      </c>
      <c r="P20" s="169">
        <v>208177</v>
      </c>
      <c r="Q20" s="169">
        <v>186700</v>
      </c>
      <c r="R20" s="169">
        <v>185031</v>
      </c>
      <c r="S20" s="169">
        <v>295812</v>
      </c>
      <c r="T20" s="169">
        <v>243968</v>
      </c>
      <c r="U20" s="169">
        <v>212878</v>
      </c>
      <c r="V20" s="169">
        <v>281004</v>
      </c>
      <c r="W20" s="169">
        <v>197525</v>
      </c>
      <c r="X20" s="169">
        <v>180687</v>
      </c>
      <c r="Y20" s="169">
        <v>149793</v>
      </c>
      <c r="Z20" s="169">
        <v>113007</v>
      </c>
      <c r="AA20" s="169">
        <v>124480</v>
      </c>
      <c r="AB20" s="169">
        <v>105581</v>
      </c>
      <c r="AC20" s="169">
        <v>111081</v>
      </c>
      <c r="AD20" s="169">
        <v>109565</v>
      </c>
      <c r="AE20" s="169">
        <v>114226</v>
      </c>
      <c r="AF20" s="169">
        <v>105689</v>
      </c>
      <c r="AG20" s="169">
        <v>88246</v>
      </c>
      <c r="AH20" s="169">
        <v>77736</v>
      </c>
      <c r="AI20" s="169">
        <v>94910</v>
      </c>
      <c r="AJ20" s="169">
        <v>104420</v>
      </c>
      <c r="AK20" s="169">
        <v>80354</v>
      </c>
      <c r="AL20" s="169">
        <v>69932</v>
      </c>
      <c r="AM20" s="169">
        <v>81660</v>
      </c>
      <c r="AN20" s="169">
        <v>73379</v>
      </c>
      <c r="AO20" s="169">
        <v>68232</v>
      </c>
      <c r="AP20" s="170">
        <v>84622</v>
      </c>
    </row>
    <row r="21" spans="1:42" x14ac:dyDescent="0.35">
      <c r="A21" s="158" t="s">
        <v>38</v>
      </c>
      <c r="B21" s="158" t="s">
        <v>39</v>
      </c>
      <c r="C21" s="130" t="str">
        <f t="shared" si="0"/>
        <v>1.01.08.01Ativos Não-Correntes a Venda</v>
      </c>
      <c r="D21" s="168">
        <v>0</v>
      </c>
      <c r="E21" s="168">
        <v>0</v>
      </c>
      <c r="F21" s="168">
        <v>0</v>
      </c>
      <c r="G21" s="168">
        <v>0</v>
      </c>
      <c r="H21" s="168">
        <v>0</v>
      </c>
      <c r="I21" s="168">
        <v>0</v>
      </c>
      <c r="J21" s="168">
        <v>0</v>
      </c>
      <c r="K21" s="169">
        <v>0</v>
      </c>
      <c r="L21" s="168">
        <v>0</v>
      </c>
      <c r="M21" s="169">
        <v>0</v>
      </c>
      <c r="N21" s="169">
        <v>0</v>
      </c>
      <c r="O21" s="169">
        <v>0</v>
      </c>
      <c r="P21" s="169">
        <v>0</v>
      </c>
      <c r="Q21" s="169">
        <v>0</v>
      </c>
      <c r="R21" s="169">
        <v>0</v>
      </c>
      <c r="S21" s="169">
        <v>0</v>
      </c>
      <c r="T21" s="169">
        <v>0</v>
      </c>
      <c r="U21" s="169">
        <v>0</v>
      </c>
      <c r="V21" s="169">
        <v>0</v>
      </c>
      <c r="W21" s="169">
        <v>0</v>
      </c>
      <c r="X21" s="169">
        <v>0</v>
      </c>
      <c r="Y21" s="169">
        <v>0</v>
      </c>
      <c r="Z21" s="169">
        <v>0</v>
      </c>
      <c r="AA21" s="169">
        <v>0</v>
      </c>
      <c r="AB21" s="169">
        <v>0</v>
      </c>
      <c r="AC21" s="169">
        <v>0</v>
      </c>
      <c r="AD21" s="169">
        <v>0</v>
      </c>
      <c r="AE21" s="169">
        <v>0</v>
      </c>
      <c r="AF21" s="169">
        <v>0</v>
      </c>
      <c r="AG21" s="169">
        <v>0</v>
      </c>
      <c r="AH21" s="169">
        <v>0</v>
      </c>
      <c r="AI21" s="169">
        <v>0</v>
      </c>
      <c r="AJ21" s="169">
        <v>0</v>
      </c>
      <c r="AK21" s="169">
        <v>0</v>
      </c>
      <c r="AL21" s="169">
        <v>0</v>
      </c>
      <c r="AM21" s="169">
        <v>0</v>
      </c>
      <c r="AN21" s="169">
        <v>0</v>
      </c>
      <c r="AO21" s="169">
        <v>0</v>
      </c>
      <c r="AP21" s="170">
        <v>0</v>
      </c>
    </row>
    <row r="22" spans="1:42" x14ac:dyDescent="0.35">
      <c r="A22" s="158" t="s">
        <v>40</v>
      </c>
      <c r="B22" s="158" t="s">
        <v>41</v>
      </c>
      <c r="C22" s="130" t="str">
        <f t="shared" si="0"/>
        <v>1.01.08.02Ativos de Operações Descontinuadas</v>
      </c>
      <c r="D22" s="168">
        <v>0</v>
      </c>
      <c r="E22" s="168">
        <v>0</v>
      </c>
      <c r="F22" s="168">
        <v>0</v>
      </c>
      <c r="G22" s="168">
        <v>0</v>
      </c>
      <c r="H22" s="168">
        <v>0</v>
      </c>
      <c r="I22" s="168">
        <v>0</v>
      </c>
      <c r="J22" s="168">
        <v>0</v>
      </c>
      <c r="K22" s="169">
        <v>0</v>
      </c>
      <c r="L22" s="168">
        <v>0</v>
      </c>
      <c r="M22" s="169">
        <v>0</v>
      </c>
      <c r="N22" s="169">
        <v>0</v>
      </c>
      <c r="O22" s="169">
        <v>0</v>
      </c>
      <c r="P22" s="169">
        <v>0</v>
      </c>
      <c r="Q22" s="169">
        <v>0</v>
      </c>
      <c r="R22" s="169">
        <v>0</v>
      </c>
      <c r="S22" s="169">
        <v>0</v>
      </c>
      <c r="T22" s="169">
        <v>0</v>
      </c>
      <c r="U22" s="169">
        <v>0</v>
      </c>
      <c r="V22" s="169">
        <v>0</v>
      </c>
      <c r="W22" s="169">
        <v>0</v>
      </c>
      <c r="X22" s="169">
        <v>0</v>
      </c>
      <c r="Y22" s="169">
        <v>0</v>
      </c>
      <c r="Z22" s="169">
        <v>0</v>
      </c>
      <c r="AA22" s="169">
        <v>0</v>
      </c>
      <c r="AB22" s="169">
        <v>0</v>
      </c>
      <c r="AC22" s="169">
        <v>0</v>
      </c>
      <c r="AD22" s="169">
        <v>0</v>
      </c>
      <c r="AE22" s="169">
        <v>0</v>
      </c>
      <c r="AF22" s="169">
        <v>0</v>
      </c>
      <c r="AG22" s="169">
        <v>0</v>
      </c>
      <c r="AH22" s="169">
        <v>0</v>
      </c>
      <c r="AI22" s="169">
        <v>0</v>
      </c>
      <c r="AJ22" s="169">
        <v>0</v>
      </c>
      <c r="AK22" s="169">
        <v>0</v>
      </c>
      <c r="AL22" s="169">
        <v>0</v>
      </c>
      <c r="AM22" s="169">
        <v>0</v>
      </c>
      <c r="AN22" s="169">
        <v>0</v>
      </c>
      <c r="AO22" s="169">
        <v>0</v>
      </c>
      <c r="AP22" s="170">
        <v>0</v>
      </c>
    </row>
    <row r="23" spans="1:42" x14ac:dyDescent="0.35">
      <c r="A23" s="158" t="s">
        <v>42</v>
      </c>
      <c r="B23" s="158" t="s">
        <v>43</v>
      </c>
      <c r="C23" s="130" t="str">
        <f t="shared" si="0"/>
        <v>1.01.08.03Outros</v>
      </c>
      <c r="D23" s="168">
        <v>261416</v>
      </c>
      <c r="E23" s="168">
        <v>220317</v>
      </c>
      <c r="F23" s="168">
        <v>227603</v>
      </c>
      <c r="G23" s="168">
        <v>240341</v>
      </c>
      <c r="H23" s="222">
        <v>207895</v>
      </c>
      <c r="I23" s="168">
        <v>187225</v>
      </c>
      <c r="J23" s="168">
        <v>210044</v>
      </c>
      <c r="K23" s="169">
        <v>234691</v>
      </c>
      <c r="L23" s="168">
        <v>218101</v>
      </c>
      <c r="M23" s="169">
        <v>185294</v>
      </c>
      <c r="N23" s="169">
        <v>172452</v>
      </c>
      <c r="O23" s="169">
        <v>234584</v>
      </c>
      <c r="P23" s="169">
        <v>208177</v>
      </c>
      <c r="Q23" s="169">
        <v>186700</v>
      </c>
      <c r="R23" s="169">
        <v>185031</v>
      </c>
      <c r="S23" s="169">
        <v>295812</v>
      </c>
      <c r="T23" s="169">
        <v>243968</v>
      </c>
      <c r="U23" s="169">
        <v>212878</v>
      </c>
      <c r="V23" s="169">
        <v>281004</v>
      </c>
      <c r="W23" s="169">
        <v>197525</v>
      </c>
      <c r="X23" s="169">
        <v>180687</v>
      </c>
      <c r="Y23" s="169">
        <v>149793</v>
      </c>
      <c r="Z23" s="169">
        <v>113007</v>
      </c>
      <c r="AA23" s="169">
        <v>124480</v>
      </c>
      <c r="AB23" s="169">
        <v>105581</v>
      </c>
      <c r="AC23" s="169">
        <v>111081</v>
      </c>
      <c r="AD23" s="169">
        <v>109565</v>
      </c>
      <c r="AE23" s="169">
        <v>114226</v>
      </c>
      <c r="AF23" s="169">
        <v>105689</v>
      </c>
      <c r="AG23" s="169">
        <v>88246</v>
      </c>
      <c r="AH23" s="169">
        <v>77736</v>
      </c>
      <c r="AI23" s="169">
        <v>94910</v>
      </c>
      <c r="AJ23" s="169">
        <v>104420</v>
      </c>
      <c r="AK23" s="169">
        <v>80354</v>
      </c>
      <c r="AL23" s="169">
        <v>69932</v>
      </c>
      <c r="AM23" s="169">
        <v>81660</v>
      </c>
      <c r="AN23" s="169">
        <v>73379</v>
      </c>
      <c r="AO23" s="169">
        <v>68232</v>
      </c>
      <c r="AP23" s="170">
        <v>84622</v>
      </c>
    </row>
    <row r="24" spans="1:42" x14ac:dyDescent="0.35">
      <c r="A24" s="158" t="s">
        <v>44</v>
      </c>
      <c r="B24" s="158" t="s">
        <v>45</v>
      </c>
      <c r="C24" s="130" t="str">
        <f t="shared" si="0"/>
        <v>1.01.08.03.01Dividendos a Receber</v>
      </c>
      <c r="D24" s="168">
        <v>0</v>
      </c>
      <c r="E24" s="168">
        <v>0</v>
      </c>
      <c r="F24" s="168">
        <v>0</v>
      </c>
      <c r="G24" s="168">
        <v>0</v>
      </c>
      <c r="H24" s="168">
        <v>0</v>
      </c>
      <c r="I24" s="168">
        <v>0</v>
      </c>
      <c r="J24" s="168">
        <v>0</v>
      </c>
      <c r="K24" s="169">
        <v>0</v>
      </c>
      <c r="L24" s="168">
        <v>0</v>
      </c>
      <c r="M24" s="169">
        <v>0</v>
      </c>
      <c r="N24" s="169">
        <v>0</v>
      </c>
      <c r="O24" s="169">
        <v>0</v>
      </c>
      <c r="P24" s="169">
        <v>0</v>
      </c>
      <c r="Q24" s="169">
        <v>0</v>
      </c>
      <c r="R24" s="169">
        <v>0</v>
      </c>
      <c r="S24" s="171">
        <v>0</v>
      </c>
      <c r="T24" s="169">
        <v>0</v>
      </c>
      <c r="U24" s="169">
        <v>0</v>
      </c>
      <c r="V24" s="169">
        <v>0</v>
      </c>
      <c r="W24" s="169">
        <v>0</v>
      </c>
      <c r="X24" s="169">
        <v>0</v>
      </c>
      <c r="Y24" s="169">
        <v>0</v>
      </c>
      <c r="Z24" s="169">
        <v>0</v>
      </c>
      <c r="AA24" s="169">
        <v>0</v>
      </c>
      <c r="AB24" s="169">
        <v>0</v>
      </c>
      <c r="AC24" s="169">
        <v>0</v>
      </c>
      <c r="AD24" s="169">
        <v>0</v>
      </c>
      <c r="AE24" s="169">
        <v>0</v>
      </c>
      <c r="AF24" s="169">
        <v>0</v>
      </c>
      <c r="AG24" s="169">
        <v>0</v>
      </c>
      <c r="AH24" s="169">
        <v>0</v>
      </c>
      <c r="AI24" s="169">
        <v>0</v>
      </c>
      <c r="AJ24" s="169">
        <v>0</v>
      </c>
      <c r="AK24" s="169">
        <v>0</v>
      </c>
      <c r="AL24" s="169">
        <v>0</v>
      </c>
      <c r="AM24" s="169">
        <v>0</v>
      </c>
      <c r="AN24" s="169">
        <v>0</v>
      </c>
      <c r="AO24" s="169">
        <v>0</v>
      </c>
      <c r="AP24" s="170">
        <v>0</v>
      </c>
    </row>
    <row r="25" spans="1:42" x14ac:dyDescent="0.35">
      <c r="A25" s="158" t="s">
        <v>46</v>
      </c>
      <c r="B25" s="158" t="s">
        <v>47</v>
      </c>
      <c r="C25" s="130" t="str">
        <f t="shared" si="0"/>
        <v>1.01.08.03.02Outros Créditos</v>
      </c>
      <c r="D25" s="168">
        <v>228782</v>
      </c>
      <c r="E25" s="168">
        <v>186206</v>
      </c>
      <c r="F25" s="168">
        <v>198934</v>
      </c>
      <c r="G25" s="168">
        <v>212627</v>
      </c>
      <c r="H25" s="222">
        <v>180331</v>
      </c>
      <c r="I25" s="168">
        <v>151051</v>
      </c>
      <c r="J25" s="168">
        <v>166556</v>
      </c>
      <c r="K25" s="169">
        <v>203096</v>
      </c>
      <c r="L25" s="168">
        <v>182952</v>
      </c>
      <c r="M25" s="169">
        <v>151250</v>
      </c>
      <c r="N25" s="169">
        <v>144175</v>
      </c>
      <c r="O25" s="169">
        <v>189175</v>
      </c>
      <c r="P25" s="169">
        <v>171178</v>
      </c>
      <c r="Q25" s="169">
        <v>142880</v>
      </c>
      <c r="R25" s="171">
        <v>152952</v>
      </c>
      <c r="S25" s="171">
        <v>257298</v>
      </c>
      <c r="T25" s="169">
        <v>210749</v>
      </c>
      <c r="U25" s="169">
        <v>185048</v>
      </c>
      <c r="V25" s="169">
        <v>249055</v>
      </c>
      <c r="W25" s="169">
        <v>197525</v>
      </c>
      <c r="X25" s="169">
        <v>180687</v>
      </c>
      <c r="Y25" s="169">
        <v>149793</v>
      </c>
      <c r="Z25" s="169">
        <v>113007</v>
      </c>
      <c r="AA25" s="169">
        <v>124480</v>
      </c>
      <c r="AB25" s="169">
        <v>105581</v>
      </c>
      <c r="AC25" s="169">
        <v>111081</v>
      </c>
      <c r="AD25" s="169">
        <v>109565</v>
      </c>
      <c r="AE25" s="169">
        <v>114226</v>
      </c>
      <c r="AF25" s="169">
        <v>105689</v>
      </c>
      <c r="AG25" s="169">
        <v>88246</v>
      </c>
      <c r="AH25" s="169">
        <v>77736</v>
      </c>
      <c r="AI25" s="169">
        <v>94910</v>
      </c>
      <c r="AJ25" s="169">
        <v>104420</v>
      </c>
      <c r="AK25" s="169">
        <v>80354</v>
      </c>
      <c r="AL25" s="169">
        <v>69932</v>
      </c>
      <c r="AM25" s="169">
        <v>81660</v>
      </c>
      <c r="AN25" s="169">
        <v>73379</v>
      </c>
      <c r="AO25" s="169">
        <v>68232</v>
      </c>
      <c r="AP25" s="170">
        <v>84622</v>
      </c>
    </row>
    <row r="26" spans="1:42" x14ac:dyDescent="0.35">
      <c r="A26" s="158" t="s">
        <v>48</v>
      </c>
      <c r="B26" s="158" t="s">
        <v>49</v>
      </c>
      <c r="C26" s="130" t="str">
        <f t="shared" si="0"/>
        <v>1.01.08.03.03Instrumentos Financeiros Derivativos</v>
      </c>
      <c r="D26" s="168">
        <v>32634</v>
      </c>
      <c r="E26" s="168">
        <v>34111</v>
      </c>
      <c r="F26" s="168">
        <v>28669</v>
      </c>
      <c r="G26" s="168">
        <v>27714</v>
      </c>
      <c r="H26" s="222">
        <v>27564</v>
      </c>
      <c r="I26" s="168">
        <v>36174</v>
      </c>
      <c r="J26" s="168">
        <v>43488</v>
      </c>
      <c r="K26" s="169">
        <v>31595</v>
      </c>
      <c r="L26" s="168">
        <v>35149</v>
      </c>
      <c r="M26" s="169">
        <v>34044</v>
      </c>
      <c r="N26" s="169">
        <v>28277</v>
      </c>
      <c r="O26" s="169">
        <v>45409</v>
      </c>
      <c r="P26" s="169">
        <v>36999</v>
      </c>
      <c r="Q26" s="169">
        <v>43820</v>
      </c>
      <c r="R26" s="171">
        <v>32079</v>
      </c>
      <c r="S26" s="171">
        <v>38514</v>
      </c>
      <c r="T26" s="169">
        <v>33219</v>
      </c>
      <c r="U26" s="169">
        <v>27830</v>
      </c>
      <c r="V26" s="169">
        <v>31949</v>
      </c>
      <c r="W26" s="169">
        <v>0</v>
      </c>
      <c r="X26" s="169">
        <v>0</v>
      </c>
      <c r="Y26" s="169">
        <v>0</v>
      </c>
      <c r="Z26" s="169">
        <v>0</v>
      </c>
      <c r="AA26" s="169">
        <v>0</v>
      </c>
      <c r="AB26" s="169">
        <v>0</v>
      </c>
      <c r="AC26" s="169">
        <v>0</v>
      </c>
      <c r="AD26" s="169">
        <v>0</v>
      </c>
      <c r="AE26" s="169">
        <v>0</v>
      </c>
      <c r="AF26" s="169">
        <v>0</v>
      </c>
      <c r="AG26" s="169">
        <v>0</v>
      </c>
      <c r="AH26" s="169">
        <v>0</v>
      </c>
      <c r="AI26" s="169">
        <v>0</v>
      </c>
      <c r="AJ26" s="169">
        <v>0</v>
      </c>
      <c r="AK26" s="169">
        <v>0</v>
      </c>
      <c r="AL26" s="169">
        <v>0</v>
      </c>
      <c r="AM26" s="169">
        <v>0</v>
      </c>
      <c r="AN26" s="169">
        <v>0</v>
      </c>
      <c r="AO26" s="169">
        <v>0</v>
      </c>
      <c r="AP26" s="170">
        <v>0</v>
      </c>
    </row>
    <row r="27" spans="1:42" x14ac:dyDescent="0.35">
      <c r="A27" s="158" t="s">
        <v>50</v>
      </c>
      <c r="B27" s="158" t="s">
        <v>51</v>
      </c>
      <c r="C27" s="130" t="str">
        <f t="shared" si="0"/>
        <v>1.02Ativo Não Circulante</v>
      </c>
      <c r="D27" s="168">
        <v>7794753</v>
      </c>
      <c r="E27" s="168">
        <v>7825477</v>
      </c>
      <c r="F27" s="168">
        <v>8174567</v>
      </c>
      <c r="G27" s="168">
        <v>7860000</v>
      </c>
      <c r="H27" s="222">
        <v>7993888</v>
      </c>
      <c r="I27" s="168">
        <v>8153918</v>
      </c>
      <c r="J27" s="168">
        <v>8570424</v>
      </c>
      <c r="K27" s="169">
        <v>7828534</v>
      </c>
      <c r="L27" s="168">
        <v>7794665</v>
      </c>
      <c r="M27" s="169">
        <v>7171006</v>
      </c>
      <c r="N27" s="169">
        <v>7019964</v>
      </c>
      <c r="O27" s="169">
        <v>7031461</v>
      </c>
      <c r="P27" s="169">
        <v>6881942</v>
      </c>
      <c r="Q27" s="169">
        <v>7118082</v>
      </c>
      <c r="R27" s="169">
        <v>7309130</v>
      </c>
      <c r="S27" s="169">
        <v>7176390</v>
      </c>
      <c r="T27" s="169">
        <v>7116681</v>
      </c>
      <c r="U27" s="169">
        <v>6591414</v>
      </c>
      <c r="V27" s="169">
        <v>7672016</v>
      </c>
      <c r="W27" s="169">
        <v>7477503</v>
      </c>
      <c r="X27" s="169">
        <v>6994904</v>
      </c>
      <c r="Y27" s="169">
        <v>7597878</v>
      </c>
      <c r="Z27" s="169">
        <v>7249877</v>
      </c>
      <c r="AA27" s="169">
        <v>7731992</v>
      </c>
      <c r="AB27" s="169">
        <v>7520295</v>
      </c>
      <c r="AC27" s="169">
        <v>7190930</v>
      </c>
      <c r="AD27" s="169">
        <v>6017790</v>
      </c>
      <c r="AE27" s="169">
        <v>6046314</v>
      </c>
      <c r="AF27" s="169">
        <v>5620514</v>
      </c>
      <c r="AG27" s="169">
        <v>5640832</v>
      </c>
      <c r="AH27" s="169">
        <v>5495388</v>
      </c>
      <c r="AI27" s="169">
        <v>5496968</v>
      </c>
      <c r="AJ27" s="169">
        <v>5343199</v>
      </c>
      <c r="AK27" s="169">
        <v>4870001</v>
      </c>
      <c r="AL27" s="169">
        <v>4873485</v>
      </c>
      <c r="AM27" s="169">
        <v>4656986</v>
      </c>
      <c r="AN27" s="169">
        <v>4773336</v>
      </c>
      <c r="AO27" s="169">
        <v>4595479</v>
      </c>
      <c r="AP27" s="170">
        <v>4692404</v>
      </c>
    </row>
    <row r="28" spans="1:42" x14ac:dyDescent="0.35">
      <c r="A28" s="158" t="s">
        <v>52</v>
      </c>
      <c r="B28" s="158" t="s">
        <v>53</v>
      </c>
      <c r="C28" s="130" t="str">
        <f t="shared" si="0"/>
        <v>1.02.01Ativo Realizável a Longo Prazo</v>
      </c>
      <c r="D28" s="168">
        <v>726916</v>
      </c>
      <c r="E28" s="168">
        <v>704425</v>
      </c>
      <c r="F28" s="168">
        <v>669500</v>
      </c>
      <c r="G28" s="168">
        <v>685933</v>
      </c>
      <c r="H28" s="222">
        <v>668511</v>
      </c>
      <c r="I28" s="168">
        <v>844871</v>
      </c>
      <c r="J28" s="168">
        <v>918749</v>
      </c>
      <c r="K28" s="169">
        <v>828623</v>
      </c>
      <c r="L28" s="168">
        <v>912178</v>
      </c>
      <c r="M28" s="169">
        <v>848255</v>
      </c>
      <c r="N28" s="169">
        <v>772634</v>
      </c>
      <c r="O28" s="169">
        <v>902091</v>
      </c>
      <c r="P28" s="169">
        <v>872099</v>
      </c>
      <c r="Q28" s="169">
        <v>902041</v>
      </c>
      <c r="R28" s="169">
        <v>1003304</v>
      </c>
      <c r="S28" s="169">
        <v>1069870</v>
      </c>
      <c r="T28" s="169">
        <v>949088</v>
      </c>
      <c r="U28" s="169">
        <v>729025</v>
      </c>
      <c r="V28" s="169">
        <v>878615</v>
      </c>
      <c r="W28" s="169">
        <v>855707</v>
      </c>
      <c r="X28" s="169">
        <v>765840</v>
      </c>
      <c r="Y28" s="169">
        <v>621429</v>
      </c>
      <c r="Z28" s="169">
        <v>629630</v>
      </c>
      <c r="AA28" s="169">
        <v>676259</v>
      </c>
      <c r="AB28" s="169">
        <v>656068</v>
      </c>
      <c r="AC28" s="169">
        <v>575854</v>
      </c>
      <c r="AD28" s="169">
        <v>538299</v>
      </c>
      <c r="AE28" s="169">
        <v>541286</v>
      </c>
      <c r="AF28" s="169">
        <v>454774</v>
      </c>
      <c r="AG28" s="169">
        <v>440158</v>
      </c>
      <c r="AH28" s="169">
        <v>383180</v>
      </c>
      <c r="AI28" s="169">
        <v>370289</v>
      </c>
      <c r="AJ28" s="169">
        <v>357370</v>
      </c>
      <c r="AK28" s="169">
        <v>352235</v>
      </c>
      <c r="AL28" s="169">
        <v>382631</v>
      </c>
      <c r="AM28" s="169">
        <v>357254</v>
      </c>
      <c r="AN28" s="169">
        <v>331402</v>
      </c>
      <c r="AO28" s="169">
        <v>289387</v>
      </c>
      <c r="AP28" s="170">
        <v>289053</v>
      </c>
    </row>
    <row r="29" spans="1:42" x14ac:dyDescent="0.35">
      <c r="A29" s="158" t="s">
        <v>54</v>
      </c>
      <c r="B29" s="158" t="s">
        <v>11</v>
      </c>
      <c r="C29" s="130" t="str">
        <f t="shared" si="0"/>
        <v>1.02.01.01Aplicações Financeiras Avaliadas a Valor Justo através do Resultado</v>
      </c>
      <c r="D29" s="168">
        <v>0</v>
      </c>
      <c r="E29" s="168">
        <v>0</v>
      </c>
      <c r="F29" s="168">
        <v>0</v>
      </c>
      <c r="G29" s="168">
        <v>0</v>
      </c>
      <c r="H29" s="168">
        <v>0</v>
      </c>
      <c r="I29" s="168">
        <v>0</v>
      </c>
      <c r="J29" s="168">
        <v>0</v>
      </c>
      <c r="K29" s="169">
        <v>0</v>
      </c>
      <c r="L29" s="168">
        <v>0</v>
      </c>
      <c r="M29" s="169">
        <v>0</v>
      </c>
      <c r="N29" s="169">
        <v>0</v>
      </c>
      <c r="O29" s="169">
        <v>0</v>
      </c>
      <c r="P29" s="169">
        <v>0</v>
      </c>
      <c r="Q29" s="169">
        <v>0</v>
      </c>
      <c r="R29" s="169">
        <v>0</v>
      </c>
      <c r="S29" s="169">
        <v>0</v>
      </c>
      <c r="T29" s="169">
        <v>0</v>
      </c>
      <c r="U29" s="169">
        <v>0</v>
      </c>
      <c r="V29" s="169">
        <v>0</v>
      </c>
      <c r="W29" s="169">
        <v>0</v>
      </c>
      <c r="X29" s="169">
        <v>0</v>
      </c>
      <c r="Y29" s="169">
        <v>0</v>
      </c>
      <c r="Z29" s="169">
        <v>0</v>
      </c>
      <c r="AA29" s="169">
        <v>0</v>
      </c>
      <c r="AB29" s="169">
        <v>0</v>
      </c>
      <c r="AC29" s="169">
        <v>0</v>
      </c>
      <c r="AD29" s="169">
        <v>0</v>
      </c>
      <c r="AE29" s="169">
        <v>0</v>
      </c>
      <c r="AF29" s="169">
        <v>0</v>
      </c>
      <c r="AG29" s="169">
        <v>0</v>
      </c>
      <c r="AH29" s="169">
        <v>0</v>
      </c>
      <c r="AI29" s="169">
        <v>0</v>
      </c>
      <c r="AJ29" s="169">
        <v>0</v>
      </c>
      <c r="AK29" s="169">
        <v>0</v>
      </c>
      <c r="AL29" s="169">
        <v>0</v>
      </c>
      <c r="AM29" s="169">
        <v>0</v>
      </c>
      <c r="AN29" s="169">
        <v>0</v>
      </c>
      <c r="AO29" s="169">
        <v>0</v>
      </c>
      <c r="AP29" s="170">
        <v>0</v>
      </c>
    </row>
    <row r="30" spans="1:42" x14ac:dyDescent="0.35">
      <c r="A30" s="158" t="s">
        <v>55</v>
      </c>
      <c r="B30" s="158" t="s">
        <v>15</v>
      </c>
      <c r="C30" s="130" t="str">
        <f t="shared" si="0"/>
        <v>1.02.01.01.01Títulos Designados a Valor Justo</v>
      </c>
      <c r="D30" s="168">
        <v>0</v>
      </c>
      <c r="E30" s="168">
        <v>0</v>
      </c>
      <c r="F30" s="168">
        <v>0</v>
      </c>
      <c r="G30" s="168">
        <v>0</v>
      </c>
      <c r="H30" s="168">
        <v>0</v>
      </c>
      <c r="I30" s="168">
        <v>0</v>
      </c>
      <c r="J30" s="168">
        <v>0</v>
      </c>
      <c r="K30" s="169">
        <v>0</v>
      </c>
      <c r="L30" s="168">
        <v>0</v>
      </c>
      <c r="M30" s="169">
        <v>0</v>
      </c>
      <c r="N30" s="169">
        <v>0</v>
      </c>
      <c r="O30" s="169">
        <v>0</v>
      </c>
      <c r="P30" s="169">
        <v>0</v>
      </c>
      <c r="Q30" s="169">
        <v>0</v>
      </c>
      <c r="R30" s="169">
        <v>0</v>
      </c>
      <c r="S30" s="169">
        <v>0</v>
      </c>
      <c r="T30" s="169">
        <v>0</v>
      </c>
      <c r="U30" s="169">
        <v>0</v>
      </c>
      <c r="V30" s="169">
        <v>0</v>
      </c>
      <c r="W30" s="169">
        <v>0</v>
      </c>
      <c r="X30" s="169">
        <v>0</v>
      </c>
      <c r="Y30" s="169">
        <v>0</v>
      </c>
      <c r="Z30" s="169">
        <v>0</v>
      </c>
      <c r="AA30" s="169">
        <v>0</v>
      </c>
      <c r="AB30" s="169">
        <v>0</v>
      </c>
      <c r="AC30" s="169">
        <v>0</v>
      </c>
      <c r="AD30" s="169">
        <v>0</v>
      </c>
      <c r="AE30" s="169">
        <v>0</v>
      </c>
      <c r="AF30" s="169">
        <v>0</v>
      </c>
      <c r="AG30" s="169">
        <v>0</v>
      </c>
      <c r="AH30" s="169">
        <v>0</v>
      </c>
      <c r="AI30" s="169">
        <v>0</v>
      </c>
      <c r="AJ30" s="169">
        <v>0</v>
      </c>
      <c r="AK30" s="169">
        <v>0</v>
      </c>
      <c r="AL30" s="169">
        <v>0</v>
      </c>
      <c r="AM30" s="169">
        <v>0</v>
      </c>
      <c r="AN30" s="169">
        <v>0</v>
      </c>
      <c r="AO30" s="169">
        <v>0</v>
      </c>
      <c r="AP30" s="170">
        <v>0</v>
      </c>
    </row>
    <row r="31" spans="1:42" x14ac:dyDescent="0.35">
      <c r="A31" s="158" t="s">
        <v>56</v>
      </c>
      <c r="B31" s="158" t="s">
        <v>17</v>
      </c>
      <c r="C31" s="130" t="str">
        <f t="shared" si="0"/>
        <v>1.02.01.02Aplicações Financeiras Avaliadas a Valor Justo através de Outros Resultados Abrangentes</v>
      </c>
      <c r="D31" s="168">
        <v>0</v>
      </c>
      <c r="E31" s="168">
        <v>0</v>
      </c>
      <c r="F31" s="168">
        <v>0</v>
      </c>
      <c r="G31" s="168">
        <v>0</v>
      </c>
      <c r="H31" s="168">
        <v>0</v>
      </c>
      <c r="I31" s="168">
        <v>0</v>
      </c>
      <c r="J31" s="168">
        <v>0</v>
      </c>
      <c r="K31" s="169">
        <v>0</v>
      </c>
      <c r="L31" s="168">
        <v>0</v>
      </c>
      <c r="M31" s="169">
        <v>0</v>
      </c>
      <c r="N31" s="169">
        <v>0</v>
      </c>
      <c r="O31" s="169">
        <v>0</v>
      </c>
      <c r="P31" s="169">
        <v>0</v>
      </c>
      <c r="Q31" s="169">
        <v>0</v>
      </c>
      <c r="R31" s="169">
        <v>0</v>
      </c>
      <c r="S31" s="169">
        <v>0</v>
      </c>
      <c r="T31" s="169">
        <v>0</v>
      </c>
      <c r="U31" s="169">
        <v>0</v>
      </c>
      <c r="V31" s="169">
        <v>0</v>
      </c>
      <c r="W31" s="169">
        <v>0</v>
      </c>
      <c r="X31" s="169">
        <v>0</v>
      </c>
      <c r="Y31" s="169">
        <v>0</v>
      </c>
      <c r="Z31" s="169">
        <v>0</v>
      </c>
      <c r="AA31" s="169">
        <v>0</v>
      </c>
      <c r="AB31" s="169">
        <v>0</v>
      </c>
      <c r="AC31" s="169">
        <v>0</v>
      </c>
      <c r="AD31" s="169">
        <v>0</v>
      </c>
      <c r="AE31" s="169">
        <v>0</v>
      </c>
      <c r="AF31" s="169">
        <v>0</v>
      </c>
      <c r="AG31" s="169">
        <v>0</v>
      </c>
      <c r="AH31" s="169">
        <v>0</v>
      </c>
      <c r="AI31" s="169">
        <v>0</v>
      </c>
      <c r="AJ31" s="169">
        <v>0</v>
      </c>
      <c r="AK31" s="169">
        <v>0</v>
      </c>
      <c r="AL31" s="169">
        <v>0</v>
      </c>
      <c r="AM31" s="169">
        <v>0</v>
      </c>
      <c r="AN31" s="169">
        <v>0</v>
      </c>
      <c r="AO31" s="169">
        <v>0</v>
      </c>
      <c r="AP31" s="170">
        <v>0</v>
      </c>
    </row>
    <row r="32" spans="1:42" x14ac:dyDescent="0.35">
      <c r="A32" s="158" t="s">
        <v>57</v>
      </c>
      <c r="B32" s="158" t="s">
        <v>19</v>
      </c>
      <c r="C32" s="130" t="str">
        <f t="shared" si="0"/>
        <v>1.02.01.03Aplicações Financeiras Avaliadas ao Custo Amortizado</v>
      </c>
      <c r="D32" s="168">
        <v>0</v>
      </c>
      <c r="E32" s="168">
        <v>0</v>
      </c>
      <c r="F32" s="168">
        <v>0</v>
      </c>
      <c r="G32" s="168">
        <v>0</v>
      </c>
      <c r="H32" s="168">
        <v>0</v>
      </c>
      <c r="I32" s="168">
        <v>0</v>
      </c>
      <c r="J32" s="168">
        <v>0</v>
      </c>
      <c r="K32" s="169">
        <v>0</v>
      </c>
      <c r="L32" s="168">
        <v>0</v>
      </c>
      <c r="M32" s="169">
        <v>0</v>
      </c>
      <c r="N32" s="169">
        <v>0</v>
      </c>
      <c r="O32" s="169">
        <v>0</v>
      </c>
      <c r="P32" s="169">
        <v>0</v>
      </c>
      <c r="Q32" s="169">
        <v>0</v>
      </c>
      <c r="R32" s="169">
        <v>0</v>
      </c>
      <c r="S32" s="169">
        <v>0</v>
      </c>
      <c r="T32" s="169">
        <v>0</v>
      </c>
      <c r="U32" s="169">
        <v>0</v>
      </c>
      <c r="V32" s="169">
        <v>0</v>
      </c>
      <c r="W32" s="169">
        <v>0</v>
      </c>
      <c r="X32" s="169">
        <v>0</v>
      </c>
      <c r="Y32" s="169">
        <v>0</v>
      </c>
      <c r="Z32" s="169">
        <v>0</v>
      </c>
      <c r="AA32" s="169">
        <v>0</v>
      </c>
      <c r="AB32" s="169">
        <v>0</v>
      </c>
      <c r="AC32" s="169">
        <v>0</v>
      </c>
      <c r="AD32" s="169">
        <v>0</v>
      </c>
      <c r="AE32" s="169">
        <v>0</v>
      </c>
      <c r="AF32" s="169">
        <v>0</v>
      </c>
      <c r="AG32" s="169">
        <v>0</v>
      </c>
      <c r="AH32" s="169">
        <v>0</v>
      </c>
      <c r="AI32" s="169">
        <v>0</v>
      </c>
      <c r="AJ32" s="169">
        <v>0</v>
      </c>
      <c r="AK32" s="169">
        <v>0</v>
      </c>
      <c r="AL32" s="169">
        <v>0</v>
      </c>
      <c r="AM32" s="169">
        <v>0</v>
      </c>
      <c r="AN32" s="169">
        <v>0</v>
      </c>
      <c r="AO32" s="169">
        <v>0</v>
      </c>
      <c r="AP32" s="170">
        <v>0</v>
      </c>
    </row>
    <row r="33" spans="1:42" x14ac:dyDescent="0.35">
      <c r="A33" s="158" t="s">
        <v>58</v>
      </c>
      <c r="B33" s="158" t="s">
        <v>21</v>
      </c>
      <c r="C33" s="130" t="str">
        <f t="shared" si="0"/>
        <v>1.02.01.04Contas a Receber</v>
      </c>
      <c r="D33" s="168">
        <v>0</v>
      </c>
      <c r="E33" s="168">
        <v>0</v>
      </c>
      <c r="F33" s="168">
        <v>0</v>
      </c>
      <c r="G33" s="168">
        <v>0</v>
      </c>
      <c r="H33" s="168">
        <v>0</v>
      </c>
      <c r="I33" s="168">
        <v>0</v>
      </c>
      <c r="J33" s="168">
        <v>0</v>
      </c>
      <c r="K33" s="169">
        <v>0</v>
      </c>
      <c r="L33" s="168">
        <v>0</v>
      </c>
      <c r="M33" s="169">
        <v>0</v>
      </c>
      <c r="N33" s="169">
        <v>0</v>
      </c>
      <c r="O33" s="169">
        <v>0</v>
      </c>
      <c r="P33" s="169">
        <v>0</v>
      </c>
      <c r="Q33" s="169">
        <v>0</v>
      </c>
      <c r="R33" s="169">
        <v>0</v>
      </c>
      <c r="S33" s="169">
        <v>0</v>
      </c>
      <c r="T33" s="169">
        <v>0</v>
      </c>
      <c r="U33" s="169">
        <v>0</v>
      </c>
      <c r="V33" s="169">
        <v>0</v>
      </c>
      <c r="W33" s="169">
        <v>0</v>
      </c>
      <c r="X33" s="169">
        <v>0</v>
      </c>
      <c r="Y33" s="169">
        <v>0</v>
      </c>
      <c r="Z33" s="169">
        <v>0</v>
      </c>
      <c r="AA33" s="169">
        <v>0</v>
      </c>
      <c r="AB33" s="169">
        <v>0</v>
      </c>
      <c r="AC33" s="169">
        <v>0</v>
      </c>
      <c r="AD33" s="169">
        <v>0</v>
      </c>
      <c r="AE33" s="169">
        <v>0</v>
      </c>
      <c r="AF33" s="169">
        <v>0</v>
      </c>
      <c r="AG33" s="169">
        <v>0</v>
      </c>
      <c r="AH33" s="169">
        <v>0</v>
      </c>
      <c r="AI33" s="169">
        <v>0</v>
      </c>
      <c r="AJ33" s="169">
        <v>0</v>
      </c>
      <c r="AK33" s="169">
        <v>0</v>
      </c>
      <c r="AL33" s="169">
        <v>0</v>
      </c>
      <c r="AM33" s="169">
        <v>0</v>
      </c>
      <c r="AN33" s="169">
        <v>0</v>
      </c>
      <c r="AO33" s="169">
        <v>0</v>
      </c>
      <c r="AP33" s="170">
        <v>0</v>
      </c>
    </row>
    <row r="34" spans="1:42" x14ac:dyDescent="0.35">
      <c r="A34" s="158" t="s">
        <v>59</v>
      </c>
      <c r="B34" s="158" t="s">
        <v>23</v>
      </c>
      <c r="C34" s="130" t="str">
        <f t="shared" si="0"/>
        <v>1.02.01.04.01Clientes</v>
      </c>
      <c r="D34" s="168">
        <v>0</v>
      </c>
      <c r="E34" s="168">
        <v>0</v>
      </c>
      <c r="F34" s="168">
        <v>0</v>
      </c>
      <c r="G34" s="168">
        <v>0</v>
      </c>
      <c r="H34" s="168">
        <v>0</v>
      </c>
      <c r="I34" s="168">
        <v>0</v>
      </c>
      <c r="J34" s="168">
        <v>0</v>
      </c>
      <c r="K34" s="169">
        <v>0</v>
      </c>
      <c r="L34" s="168">
        <v>0</v>
      </c>
      <c r="M34" s="169">
        <v>0</v>
      </c>
      <c r="N34" s="169">
        <v>0</v>
      </c>
      <c r="O34" s="169">
        <v>0</v>
      </c>
      <c r="P34" s="169">
        <v>0</v>
      </c>
      <c r="Q34" s="169">
        <v>0</v>
      </c>
      <c r="R34" s="169">
        <v>0</v>
      </c>
      <c r="S34" s="169">
        <v>0</v>
      </c>
      <c r="T34" s="169">
        <v>0</v>
      </c>
      <c r="U34" s="169">
        <v>0</v>
      </c>
      <c r="V34" s="169">
        <v>0</v>
      </c>
      <c r="W34" s="169">
        <v>0</v>
      </c>
      <c r="X34" s="169">
        <v>0</v>
      </c>
      <c r="Y34" s="169">
        <v>0</v>
      </c>
      <c r="Z34" s="169">
        <v>0</v>
      </c>
      <c r="AA34" s="169">
        <v>0</v>
      </c>
      <c r="AB34" s="169">
        <v>0</v>
      </c>
      <c r="AC34" s="169">
        <v>0</v>
      </c>
      <c r="AD34" s="169">
        <v>0</v>
      </c>
      <c r="AE34" s="169">
        <v>0</v>
      </c>
      <c r="AF34" s="169">
        <v>0</v>
      </c>
      <c r="AG34" s="169">
        <v>0</v>
      </c>
      <c r="AH34" s="169">
        <v>0</v>
      </c>
      <c r="AI34" s="169">
        <v>0</v>
      </c>
      <c r="AJ34" s="169">
        <v>0</v>
      </c>
      <c r="AK34" s="169">
        <v>0</v>
      </c>
      <c r="AL34" s="169">
        <v>0</v>
      </c>
      <c r="AM34" s="169">
        <v>0</v>
      </c>
      <c r="AN34" s="169">
        <v>0</v>
      </c>
      <c r="AO34" s="169">
        <v>0</v>
      </c>
      <c r="AP34" s="170">
        <v>0</v>
      </c>
    </row>
    <row r="35" spans="1:42" x14ac:dyDescent="0.35">
      <c r="A35" s="158" t="s">
        <v>60</v>
      </c>
      <c r="B35" s="158" t="s">
        <v>25</v>
      </c>
      <c r="C35" s="130" t="str">
        <f t="shared" si="0"/>
        <v>1.02.01.04.02Outras Contas a Receber</v>
      </c>
      <c r="D35" s="168">
        <v>0</v>
      </c>
      <c r="E35" s="168">
        <v>0</v>
      </c>
      <c r="F35" s="168">
        <v>0</v>
      </c>
      <c r="G35" s="168">
        <v>0</v>
      </c>
      <c r="H35" s="168">
        <v>0</v>
      </c>
      <c r="I35" s="168">
        <v>0</v>
      </c>
      <c r="J35" s="168">
        <v>0</v>
      </c>
      <c r="K35" s="169">
        <v>0</v>
      </c>
      <c r="L35" s="168">
        <v>0</v>
      </c>
      <c r="M35" s="169">
        <v>0</v>
      </c>
      <c r="N35" s="169">
        <v>0</v>
      </c>
      <c r="O35" s="169">
        <v>0</v>
      </c>
      <c r="P35" s="169">
        <v>0</v>
      </c>
      <c r="Q35" s="169">
        <v>0</v>
      </c>
      <c r="R35" s="169">
        <v>0</v>
      </c>
      <c r="S35" s="169">
        <v>0</v>
      </c>
      <c r="T35" s="169">
        <v>0</v>
      </c>
      <c r="U35" s="169">
        <v>0</v>
      </c>
      <c r="V35" s="169">
        <v>0</v>
      </c>
      <c r="W35" s="169">
        <v>0</v>
      </c>
      <c r="X35" s="169">
        <v>0</v>
      </c>
      <c r="Y35" s="169">
        <v>0</v>
      </c>
      <c r="Z35" s="169">
        <v>0</v>
      </c>
      <c r="AA35" s="169">
        <v>0</v>
      </c>
      <c r="AB35" s="169">
        <v>0</v>
      </c>
      <c r="AC35" s="169">
        <v>0</v>
      </c>
      <c r="AD35" s="169">
        <v>0</v>
      </c>
      <c r="AE35" s="169">
        <v>0</v>
      </c>
      <c r="AF35" s="169">
        <v>0</v>
      </c>
      <c r="AG35" s="169">
        <v>0</v>
      </c>
      <c r="AH35" s="169">
        <v>0</v>
      </c>
      <c r="AI35" s="169">
        <v>0</v>
      </c>
      <c r="AJ35" s="169">
        <v>0</v>
      </c>
      <c r="AK35" s="169">
        <v>0</v>
      </c>
      <c r="AL35" s="169">
        <v>0</v>
      </c>
      <c r="AM35" s="169">
        <v>0</v>
      </c>
      <c r="AN35" s="169">
        <v>0</v>
      </c>
      <c r="AO35" s="169">
        <v>0</v>
      </c>
      <c r="AP35" s="170">
        <v>0</v>
      </c>
    </row>
    <row r="36" spans="1:42" x14ac:dyDescent="0.35">
      <c r="A36" s="158" t="s">
        <v>61</v>
      </c>
      <c r="B36" s="158" t="s">
        <v>27</v>
      </c>
      <c r="C36" s="130" t="str">
        <f t="shared" si="0"/>
        <v>1.02.01.05Estoques</v>
      </c>
      <c r="D36" s="168">
        <v>0</v>
      </c>
      <c r="E36" s="168">
        <v>0</v>
      </c>
      <c r="F36" s="168">
        <v>0</v>
      </c>
      <c r="G36" s="168">
        <v>0</v>
      </c>
      <c r="H36" s="168">
        <v>0</v>
      </c>
      <c r="I36" s="168">
        <v>0</v>
      </c>
      <c r="J36" s="168">
        <v>0</v>
      </c>
      <c r="K36" s="169">
        <v>0</v>
      </c>
      <c r="L36" s="168">
        <v>0</v>
      </c>
      <c r="M36" s="169">
        <v>0</v>
      </c>
      <c r="N36" s="169">
        <v>0</v>
      </c>
      <c r="O36" s="169">
        <v>0</v>
      </c>
      <c r="P36" s="169">
        <v>0</v>
      </c>
      <c r="Q36" s="169">
        <v>0</v>
      </c>
      <c r="R36" s="169">
        <v>0</v>
      </c>
      <c r="S36" s="169">
        <v>0</v>
      </c>
      <c r="T36" s="169">
        <v>0</v>
      </c>
      <c r="U36" s="169">
        <v>0</v>
      </c>
      <c r="V36" s="169">
        <v>0</v>
      </c>
      <c r="W36" s="169">
        <v>0</v>
      </c>
      <c r="X36" s="169">
        <v>0</v>
      </c>
      <c r="Y36" s="169">
        <v>0</v>
      </c>
      <c r="Z36" s="169">
        <v>0</v>
      </c>
      <c r="AA36" s="169">
        <v>0</v>
      </c>
      <c r="AB36" s="169">
        <v>0</v>
      </c>
      <c r="AC36" s="169">
        <v>0</v>
      </c>
      <c r="AD36" s="169">
        <v>0</v>
      </c>
      <c r="AE36" s="169">
        <v>0</v>
      </c>
      <c r="AF36" s="169">
        <v>0</v>
      </c>
      <c r="AG36" s="169">
        <v>0</v>
      </c>
      <c r="AH36" s="169">
        <v>0</v>
      </c>
      <c r="AI36" s="169">
        <v>0</v>
      </c>
      <c r="AJ36" s="169">
        <v>0</v>
      </c>
      <c r="AK36" s="169">
        <v>0</v>
      </c>
      <c r="AL36" s="169">
        <v>0</v>
      </c>
      <c r="AM36" s="169">
        <v>0</v>
      </c>
      <c r="AN36" s="169">
        <v>0</v>
      </c>
      <c r="AO36" s="169">
        <v>0</v>
      </c>
      <c r="AP36" s="170">
        <v>0</v>
      </c>
    </row>
    <row r="37" spans="1:42" x14ac:dyDescent="0.35">
      <c r="A37" s="158" t="s">
        <v>62</v>
      </c>
      <c r="B37" s="158" t="s">
        <v>29</v>
      </c>
      <c r="C37" s="130" t="str">
        <f t="shared" si="0"/>
        <v>1.02.01.06Ativos Biológicos</v>
      </c>
      <c r="D37" s="168">
        <v>0</v>
      </c>
      <c r="E37" s="168">
        <v>0</v>
      </c>
      <c r="F37" s="168">
        <v>0</v>
      </c>
      <c r="G37" s="168">
        <v>0</v>
      </c>
      <c r="H37" s="168">
        <v>0</v>
      </c>
      <c r="I37" s="168">
        <v>0</v>
      </c>
      <c r="J37" s="168">
        <v>0</v>
      </c>
      <c r="K37" s="169">
        <v>0</v>
      </c>
      <c r="L37" s="168">
        <v>0</v>
      </c>
      <c r="M37" s="169">
        <v>0</v>
      </c>
      <c r="N37" s="169">
        <v>0</v>
      </c>
      <c r="O37" s="169">
        <v>0</v>
      </c>
      <c r="P37" s="169">
        <v>0</v>
      </c>
      <c r="Q37" s="169">
        <v>0</v>
      </c>
      <c r="R37" s="169">
        <v>0</v>
      </c>
      <c r="S37" s="169">
        <v>0</v>
      </c>
      <c r="T37" s="169">
        <v>0</v>
      </c>
      <c r="U37" s="169">
        <v>0</v>
      </c>
      <c r="V37" s="169">
        <v>0</v>
      </c>
      <c r="W37" s="169">
        <v>0</v>
      </c>
      <c r="X37" s="169">
        <v>0</v>
      </c>
      <c r="Y37" s="169">
        <v>0</v>
      </c>
      <c r="Z37" s="169">
        <v>0</v>
      </c>
      <c r="AA37" s="169">
        <v>0</v>
      </c>
      <c r="AB37" s="169">
        <v>0</v>
      </c>
      <c r="AC37" s="169">
        <v>0</v>
      </c>
      <c r="AD37" s="169">
        <v>0</v>
      </c>
      <c r="AE37" s="169">
        <v>0</v>
      </c>
      <c r="AF37" s="169">
        <v>0</v>
      </c>
      <c r="AG37" s="169">
        <v>0</v>
      </c>
      <c r="AH37" s="169">
        <v>0</v>
      </c>
      <c r="AI37" s="169">
        <v>0</v>
      </c>
      <c r="AJ37" s="169">
        <v>0</v>
      </c>
      <c r="AK37" s="169">
        <v>0</v>
      </c>
      <c r="AL37" s="169">
        <v>0</v>
      </c>
      <c r="AM37" s="169">
        <v>0</v>
      </c>
      <c r="AN37" s="169">
        <v>0</v>
      </c>
      <c r="AO37" s="169">
        <v>0</v>
      </c>
      <c r="AP37" s="170">
        <v>0</v>
      </c>
    </row>
    <row r="38" spans="1:42" x14ac:dyDescent="0.35">
      <c r="A38" s="158" t="s">
        <v>63</v>
      </c>
      <c r="B38" s="158" t="s">
        <v>64</v>
      </c>
      <c r="C38" s="130" t="str">
        <f t="shared" si="0"/>
        <v>1.02.01.07Tributos Diferidos</v>
      </c>
      <c r="D38" s="168">
        <v>302988</v>
      </c>
      <c r="E38" s="168">
        <v>282901</v>
      </c>
      <c r="F38" s="168">
        <v>284018</v>
      </c>
      <c r="G38" s="168">
        <v>290500</v>
      </c>
      <c r="H38" s="222">
        <v>293892</v>
      </c>
      <c r="I38" s="168">
        <v>309625</v>
      </c>
      <c r="J38" s="168">
        <v>334035</v>
      </c>
      <c r="K38" s="169">
        <v>277657</v>
      </c>
      <c r="L38" s="168">
        <v>292059</v>
      </c>
      <c r="M38" s="169">
        <v>278269</v>
      </c>
      <c r="N38" s="169">
        <v>255413</v>
      </c>
      <c r="O38" s="169">
        <v>256235</v>
      </c>
      <c r="P38" s="169">
        <v>252275</v>
      </c>
      <c r="Q38" s="169">
        <v>255658</v>
      </c>
      <c r="R38" s="169">
        <v>269034</v>
      </c>
      <c r="S38" s="169">
        <v>247107</v>
      </c>
      <c r="T38" s="169">
        <v>243601</v>
      </c>
      <c r="U38" s="169">
        <v>256697</v>
      </c>
      <c r="V38" s="169">
        <v>323117</v>
      </c>
      <c r="W38" s="169">
        <v>365634</v>
      </c>
      <c r="X38" s="169">
        <v>355525</v>
      </c>
      <c r="Y38" s="169">
        <v>410705</v>
      </c>
      <c r="Z38" s="169">
        <v>419156</v>
      </c>
      <c r="AA38" s="169">
        <v>465290</v>
      </c>
      <c r="AB38" s="169">
        <v>444780</v>
      </c>
      <c r="AC38" s="169">
        <v>360681</v>
      </c>
      <c r="AD38" s="169">
        <v>306628</v>
      </c>
      <c r="AE38" s="169">
        <v>324220</v>
      </c>
      <c r="AF38" s="169">
        <v>328681</v>
      </c>
      <c r="AG38" s="169">
        <v>312586</v>
      </c>
      <c r="AH38" s="169">
        <v>257517</v>
      </c>
      <c r="AI38" s="169">
        <v>246395</v>
      </c>
      <c r="AJ38" s="169">
        <v>236634</v>
      </c>
      <c r="AK38" s="169">
        <v>232465</v>
      </c>
      <c r="AL38" s="169">
        <v>257236</v>
      </c>
      <c r="AM38" s="169">
        <v>238282</v>
      </c>
      <c r="AN38" s="169">
        <v>209404</v>
      </c>
      <c r="AO38" s="169">
        <v>199984</v>
      </c>
      <c r="AP38" s="170">
        <v>188481</v>
      </c>
    </row>
    <row r="39" spans="1:42" x14ac:dyDescent="0.35">
      <c r="A39" s="158" t="s">
        <v>65</v>
      </c>
      <c r="B39" s="158" t="s">
        <v>66</v>
      </c>
      <c r="C39" s="130" t="str">
        <f t="shared" si="0"/>
        <v>1.02.01.07.01Imposto de Renda e Contribuição Social Diferidos</v>
      </c>
      <c r="D39" s="168">
        <v>302988</v>
      </c>
      <c r="E39" s="168">
        <v>282901</v>
      </c>
      <c r="F39" s="168">
        <v>284018</v>
      </c>
      <c r="G39" s="168">
        <v>290500</v>
      </c>
      <c r="H39" s="222">
        <v>293892</v>
      </c>
      <c r="I39" s="168">
        <v>309625</v>
      </c>
      <c r="J39" s="168">
        <v>334035</v>
      </c>
      <c r="K39" s="169">
        <v>277657</v>
      </c>
      <c r="L39" s="168">
        <v>292059</v>
      </c>
      <c r="M39" s="169">
        <v>278269</v>
      </c>
      <c r="N39" s="169">
        <v>255413</v>
      </c>
      <c r="O39" s="169">
        <v>256235</v>
      </c>
      <c r="P39" s="169">
        <v>252275</v>
      </c>
      <c r="Q39" s="169">
        <v>255658</v>
      </c>
      <c r="R39" s="169">
        <v>269034</v>
      </c>
      <c r="S39" s="169">
        <v>247107</v>
      </c>
      <c r="T39" s="169">
        <v>243601</v>
      </c>
      <c r="U39" s="169">
        <v>256697</v>
      </c>
      <c r="V39" s="169">
        <v>323117</v>
      </c>
      <c r="W39" s="169">
        <v>365634</v>
      </c>
      <c r="X39" s="169">
        <v>355525</v>
      </c>
      <c r="Y39" s="169">
        <v>410705</v>
      </c>
      <c r="Z39" s="169">
        <v>419156</v>
      </c>
      <c r="AA39" s="169">
        <v>465290</v>
      </c>
      <c r="AB39" s="169">
        <v>444780</v>
      </c>
      <c r="AC39" s="169">
        <v>360681</v>
      </c>
      <c r="AD39" s="169">
        <v>306628</v>
      </c>
      <c r="AE39" s="169">
        <v>324220</v>
      </c>
      <c r="AF39" s="169">
        <v>328681</v>
      </c>
      <c r="AG39" s="169">
        <v>312586</v>
      </c>
      <c r="AH39" s="169">
        <v>257517</v>
      </c>
      <c r="AI39" s="169">
        <v>246395</v>
      </c>
      <c r="AJ39" s="169">
        <v>236634</v>
      </c>
      <c r="AK39" s="169">
        <v>232465</v>
      </c>
      <c r="AL39" s="169">
        <v>257236</v>
      </c>
      <c r="AM39" s="169">
        <v>238282</v>
      </c>
      <c r="AN39" s="169">
        <v>209404</v>
      </c>
      <c r="AO39" s="169">
        <v>199984</v>
      </c>
      <c r="AP39" s="170">
        <v>188481</v>
      </c>
    </row>
    <row r="40" spans="1:42" x14ac:dyDescent="0.35">
      <c r="A40" s="158" t="s">
        <v>67</v>
      </c>
      <c r="B40" s="158" t="s">
        <v>35</v>
      </c>
      <c r="C40" s="130" t="str">
        <f t="shared" si="0"/>
        <v>1.02.01.08Despesas Antecipadas</v>
      </c>
      <c r="D40" s="168">
        <v>0</v>
      </c>
      <c r="E40" s="168">
        <v>0</v>
      </c>
      <c r="F40" s="168">
        <v>0</v>
      </c>
      <c r="G40" s="168">
        <v>0</v>
      </c>
      <c r="H40" s="168">
        <v>0</v>
      </c>
      <c r="I40" s="168">
        <v>0</v>
      </c>
      <c r="J40" s="168">
        <v>0</v>
      </c>
      <c r="K40" s="169">
        <v>0</v>
      </c>
      <c r="L40" s="168">
        <v>0</v>
      </c>
      <c r="M40" s="169">
        <v>0</v>
      </c>
      <c r="N40" s="169">
        <v>0</v>
      </c>
      <c r="O40" s="169">
        <v>0</v>
      </c>
      <c r="P40" s="169">
        <v>0</v>
      </c>
      <c r="Q40" s="169">
        <v>0</v>
      </c>
      <c r="R40" s="169">
        <v>0</v>
      </c>
      <c r="S40" s="169">
        <v>0</v>
      </c>
      <c r="T40" s="169">
        <v>0</v>
      </c>
      <c r="U40" s="169">
        <v>0</v>
      </c>
      <c r="V40" s="169">
        <v>0</v>
      </c>
      <c r="W40" s="169">
        <v>0</v>
      </c>
      <c r="X40" s="169">
        <v>0</v>
      </c>
      <c r="Y40" s="169">
        <v>0</v>
      </c>
      <c r="Z40" s="169">
        <v>0</v>
      </c>
      <c r="AA40" s="169">
        <v>0</v>
      </c>
      <c r="AB40" s="169">
        <v>0</v>
      </c>
      <c r="AC40" s="169">
        <v>0</v>
      </c>
      <c r="AD40" s="169">
        <v>0</v>
      </c>
      <c r="AE40" s="169">
        <v>0</v>
      </c>
      <c r="AF40" s="169">
        <v>0</v>
      </c>
      <c r="AG40" s="169">
        <v>0</v>
      </c>
      <c r="AH40" s="169">
        <v>0</v>
      </c>
      <c r="AI40" s="169">
        <v>0</v>
      </c>
      <c r="AJ40" s="169">
        <v>0</v>
      </c>
      <c r="AK40" s="169">
        <v>0</v>
      </c>
      <c r="AL40" s="169">
        <v>0</v>
      </c>
      <c r="AM40" s="169">
        <v>0</v>
      </c>
      <c r="AN40" s="169">
        <v>0</v>
      </c>
      <c r="AO40" s="169">
        <v>0</v>
      </c>
      <c r="AP40" s="170">
        <v>0</v>
      </c>
    </row>
    <row r="41" spans="1:42" x14ac:dyDescent="0.35">
      <c r="A41" s="158" t="s">
        <v>68</v>
      </c>
      <c r="B41" s="158" t="s">
        <v>69</v>
      </c>
      <c r="C41" s="130" t="str">
        <f t="shared" si="0"/>
        <v>1.02.01.09Créditos com Partes Relacionadas</v>
      </c>
      <c r="D41" s="168">
        <v>0</v>
      </c>
      <c r="E41" s="168">
        <v>0</v>
      </c>
      <c r="F41" s="168">
        <v>0</v>
      </c>
      <c r="G41" s="168">
        <v>0</v>
      </c>
      <c r="H41" s="168">
        <v>0</v>
      </c>
      <c r="I41" s="168">
        <v>0</v>
      </c>
      <c r="J41" s="168">
        <v>0</v>
      </c>
      <c r="K41" s="169">
        <v>0</v>
      </c>
      <c r="L41" s="168">
        <v>0</v>
      </c>
      <c r="M41" s="169">
        <v>0</v>
      </c>
      <c r="N41" s="169">
        <v>0</v>
      </c>
      <c r="O41" s="169">
        <v>0</v>
      </c>
      <c r="P41" s="169">
        <v>0</v>
      </c>
      <c r="Q41" s="169">
        <v>0</v>
      </c>
      <c r="R41" s="169">
        <v>0</v>
      </c>
      <c r="S41" s="169">
        <v>0</v>
      </c>
      <c r="T41" s="169">
        <v>0</v>
      </c>
      <c r="U41" s="169">
        <v>0</v>
      </c>
      <c r="V41" s="169">
        <v>0</v>
      </c>
      <c r="W41" s="169">
        <v>0</v>
      </c>
      <c r="X41" s="169">
        <v>0</v>
      </c>
      <c r="Y41" s="169">
        <v>0</v>
      </c>
      <c r="Z41" s="169">
        <v>0</v>
      </c>
      <c r="AA41" s="169">
        <v>0</v>
      </c>
      <c r="AB41" s="169">
        <v>0</v>
      </c>
      <c r="AC41" s="169">
        <v>5288</v>
      </c>
      <c r="AD41" s="169">
        <v>4897</v>
      </c>
      <c r="AE41" s="169">
        <v>32571</v>
      </c>
      <c r="AF41" s="169">
        <v>32571</v>
      </c>
      <c r="AG41" s="169">
        <v>32571</v>
      </c>
      <c r="AH41" s="169">
        <v>32612</v>
      </c>
      <c r="AI41" s="169">
        <v>32612</v>
      </c>
      <c r="AJ41" s="169">
        <v>33304</v>
      </c>
      <c r="AK41" s="169">
        <v>32625</v>
      </c>
      <c r="AL41" s="169">
        <v>31961</v>
      </c>
      <c r="AM41" s="169">
        <v>32987</v>
      </c>
      <c r="AN41" s="169">
        <v>32138</v>
      </c>
      <c r="AO41" s="169">
        <v>0</v>
      </c>
      <c r="AP41" s="170">
        <v>0</v>
      </c>
    </row>
    <row r="42" spans="1:42" x14ac:dyDescent="0.35">
      <c r="A42" s="158" t="s">
        <v>70</v>
      </c>
      <c r="B42" s="158" t="s">
        <v>71</v>
      </c>
      <c r="C42" s="130" t="str">
        <f t="shared" si="0"/>
        <v>1.02.01.09.01Créditos com Coligadas</v>
      </c>
      <c r="D42" s="168">
        <v>0</v>
      </c>
      <c r="E42" s="168">
        <v>0</v>
      </c>
      <c r="F42" s="168">
        <v>0</v>
      </c>
      <c r="G42" s="168">
        <v>0</v>
      </c>
      <c r="H42" s="168">
        <v>0</v>
      </c>
      <c r="I42" s="168">
        <v>0</v>
      </c>
      <c r="J42" s="168">
        <v>0</v>
      </c>
      <c r="K42" s="169">
        <v>0</v>
      </c>
      <c r="L42" s="168">
        <v>0</v>
      </c>
      <c r="M42" s="169">
        <v>0</v>
      </c>
      <c r="N42" s="169">
        <v>0</v>
      </c>
      <c r="O42" s="169">
        <v>0</v>
      </c>
      <c r="P42" s="169">
        <v>0</v>
      </c>
      <c r="Q42" s="169">
        <v>0</v>
      </c>
      <c r="R42" s="169">
        <v>0</v>
      </c>
      <c r="S42" s="169">
        <v>0</v>
      </c>
      <c r="T42" s="169">
        <v>0</v>
      </c>
      <c r="U42" s="169">
        <v>0</v>
      </c>
      <c r="V42" s="169">
        <v>0</v>
      </c>
      <c r="W42" s="169">
        <v>0</v>
      </c>
      <c r="X42" s="169">
        <v>0</v>
      </c>
      <c r="Y42" s="169">
        <v>0</v>
      </c>
      <c r="Z42" s="169">
        <v>0</v>
      </c>
      <c r="AA42" s="169">
        <v>0</v>
      </c>
      <c r="AB42" s="169">
        <v>0</v>
      </c>
      <c r="AC42" s="169">
        <v>5288</v>
      </c>
      <c r="AD42" s="169">
        <v>4897</v>
      </c>
      <c r="AE42" s="169">
        <v>32571</v>
      </c>
      <c r="AF42" s="169">
        <v>32571</v>
      </c>
      <c r="AG42" s="169">
        <v>32571</v>
      </c>
      <c r="AH42" s="169">
        <v>32612</v>
      </c>
      <c r="AI42" s="169">
        <v>32612</v>
      </c>
      <c r="AJ42" s="169">
        <v>33304</v>
      </c>
      <c r="AK42" s="169">
        <v>32625</v>
      </c>
      <c r="AL42" s="169">
        <v>31961</v>
      </c>
      <c r="AM42" s="169">
        <v>32987</v>
      </c>
      <c r="AN42" s="169">
        <v>32138</v>
      </c>
      <c r="AO42" s="169">
        <v>0</v>
      </c>
      <c r="AP42" s="170">
        <v>0</v>
      </c>
    </row>
    <row r="43" spans="1:42" x14ac:dyDescent="0.35">
      <c r="A43" s="158" t="s">
        <v>72</v>
      </c>
      <c r="B43" s="158" t="s">
        <v>73</v>
      </c>
      <c r="C43" s="130" t="str">
        <f t="shared" si="0"/>
        <v>1.02.01.09.03Créditos com Controladores</v>
      </c>
      <c r="D43" s="168">
        <v>0</v>
      </c>
      <c r="E43" s="168">
        <v>0</v>
      </c>
      <c r="F43" s="168">
        <v>0</v>
      </c>
      <c r="G43" s="168">
        <v>0</v>
      </c>
      <c r="H43" s="168">
        <v>0</v>
      </c>
      <c r="I43" s="168">
        <v>0</v>
      </c>
      <c r="J43" s="168">
        <v>0</v>
      </c>
      <c r="K43" s="169">
        <v>0</v>
      </c>
      <c r="L43" s="168">
        <v>0</v>
      </c>
      <c r="M43" s="169">
        <v>0</v>
      </c>
      <c r="N43" s="169">
        <v>0</v>
      </c>
      <c r="O43" s="169">
        <v>0</v>
      </c>
      <c r="P43" s="169">
        <v>0</v>
      </c>
      <c r="Q43" s="169">
        <v>0</v>
      </c>
      <c r="R43" s="169">
        <v>0</v>
      </c>
      <c r="S43" s="169">
        <v>0</v>
      </c>
      <c r="T43" s="169">
        <v>0</v>
      </c>
      <c r="U43" s="169">
        <v>0</v>
      </c>
      <c r="V43" s="169">
        <v>0</v>
      </c>
      <c r="W43" s="169">
        <v>0</v>
      </c>
      <c r="X43" s="169">
        <v>0</v>
      </c>
      <c r="Y43" s="169">
        <v>0</v>
      </c>
      <c r="Z43" s="169">
        <v>0</v>
      </c>
      <c r="AA43" s="169">
        <v>0</v>
      </c>
      <c r="AB43" s="169">
        <v>0</v>
      </c>
      <c r="AC43" s="169">
        <v>0</v>
      </c>
      <c r="AD43" s="169">
        <v>0</v>
      </c>
      <c r="AE43" s="169">
        <v>0</v>
      </c>
      <c r="AF43" s="169">
        <v>0</v>
      </c>
      <c r="AG43" s="169">
        <v>0</v>
      </c>
      <c r="AH43" s="169">
        <v>0</v>
      </c>
      <c r="AI43" s="169">
        <v>0</v>
      </c>
      <c r="AJ43" s="169">
        <v>0</v>
      </c>
      <c r="AK43" s="169">
        <v>0</v>
      </c>
      <c r="AL43" s="169">
        <v>0</v>
      </c>
      <c r="AM43" s="169">
        <v>0</v>
      </c>
      <c r="AN43" s="169">
        <v>0</v>
      </c>
      <c r="AO43" s="169">
        <v>0</v>
      </c>
      <c r="AP43" s="170">
        <v>0</v>
      </c>
    </row>
    <row r="44" spans="1:42" x14ac:dyDescent="0.35">
      <c r="A44" s="158" t="s">
        <v>74</v>
      </c>
      <c r="B44" s="158" t="s">
        <v>75</v>
      </c>
      <c r="C44" s="130" t="str">
        <f t="shared" si="0"/>
        <v>1.02.01.09.04Créditos com Outras Partes Relacionadas</v>
      </c>
      <c r="D44" s="168">
        <v>0</v>
      </c>
      <c r="E44" s="168">
        <v>0</v>
      </c>
      <c r="F44" s="168">
        <v>0</v>
      </c>
      <c r="G44" s="168">
        <v>0</v>
      </c>
      <c r="H44" s="168">
        <v>0</v>
      </c>
      <c r="I44" s="168">
        <v>0</v>
      </c>
      <c r="J44" s="168">
        <v>0</v>
      </c>
      <c r="K44" s="169">
        <v>0</v>
      </c>
      <c r="L44" s="168">
        <v>0</v>
      </c>
      <c r="M44" s="169">
        <v>0</v>
      </c>
      <c r="N44" s="169">
        <v>0</v>
      </c>
      <c r="O44" s="169">
        <v>0</v>
      </c>
      <c r="P44" s="169">
        <v>0</v>
      </c>
      <c r="Q44" s="169">
        <v>0</v>
      </c>
      <c r="R44" s="169">
        <v>0</v>
      </c>
      <c r="S44" s="169">
        <v>0</v>
      </c>
      <c r="T44" s="169">
        <v>0</v>
      </c>
      <c r="U44" s="169">
        <v>0</v>
      </c>
      <c r="V44" s="169">
        <v>0</v>
      </c>
      <c r="W44" s="169">
        <v>0</v>
      </c>
      <c r="X44" s="169">
        <v>0</v>
      </c>
      <c r="Y44" s="169">
        <v>0</v>
      </c>
      <c r="Z44" s="169">
        <v>0</v>
      </c>
      <c r="AA44" s="169">
        <v>0</v>
      </c>
      <c r="AB44" s="169">
        <v>0</v>
      </c>
      <c r="AC44" s="169">
        <v>0</v>
      </c>
      <c r="AD44" s="169">
        <v>0</v>
      </c>
      <c r="AE44" s="169">
        <v>0</v>
      </c>
      <c r="AF44" s="169">
        <v>0</v>
      </c>
      <c r="AG44" s="169">
        <v>0</v>
      </c>
      <c r="AH44" s="169">
        <v>0</v>
      </c>
      <c r="AI44" s="169">
        <v>0</v>
      </c>
      <c r="AJ44" s="169">
        <v>0</v>
      </c>
      <c r="AK44" s="169">
        <v>0</v>
      </c>
      <c r="AL44" s="169">
        <v>0</v>
      </c>
      <c r="AM44" s="169">
        <v>0</v>
      </c>
      <c r="AN44" s="169">
        <v>0</v>
      </c>
      <c r="AO44" s="169">
        <v>0</v>
      </c>
      <c r="AP44" s="170">
        <v>0</v>
      </c>
    </row>
    <row r="45" spans="1:42" x14ac:dyDescent="0.35">
      <c r="A45" s="158" t="s">
        <v>76</v>
      </c>
      <c r="B45" s="158" t="s">
        <v>77</v>
      </c>
      <c r="C45" s="130" t="str">
        <f t="shared" si="0"/>
        <v>1.02.01.10Outros Ativos Não Circulantes</v>
      </c>
      <c r="D45" s="168">
        <v>423928</v>
      </c>
      <c r="E45" s="168">
        <v>421524</v>
      </c>
      <c r="F45" s="168">
        <v>385482</v>
      </c>
      <c r="G45" s="168">
        <v>395433</v>
      </c>
      <c r="H45" s="222">
        <v>374619</v>
      </c>
      <c r="I45" s="168">
        <v>535246</v>
      </c>
      <c r="J45" s="168">
        <v>584714</v>
      </c>
      <c r="K45" s="169">
        <v>550966</v>
      </c>
      <c r="L45" s="168">
        <v>620119</v>
      </c>
      <c r="M45" s="169">
        <v>569986</v>
      </c>
      <c r="N45" s="169">
        <v>517221</v>
      </c>
      <c r="O45" s="169">
        <v>645856</v>
      </c>
      <c r="P45" s="169">
        <v>619824</v>
      </c>
      <c r="Q45" s="169">
        <v>646383</v>
      </c>
      <c r="R45" s="169">
        <v>734270</v>
      </c>
      <c r="S45" s="169">
        <v>822763</v>
      </c>
      <c r="T45" s="169">
        <v>705487</v>
      </c>
      <c r="U45" s="171">
        <v>472328</v>
      </c>
      <c r="V45" s="171">
        <v>555498</v>
      </c>
      <c r="W45" s="171">
        <v>490073</v>
      </c>
      <c r="X45" s="171">
        <v>410315</v>
      </c>
      <c r="Y45" s="171">
        <v>210724</v>
      </c>
      <c r="Z45" s="171">
        <v>210474</v>
      </c>
      <c r="AA45" s="171">
        <v>210969</v>
      </c>
      <c r="AB45" s="171">
        <v>211288</v>
      </c>
      <c r="AC45" s="171">
        <v>209885</v>
      </c>
      <c r="AD45" s="171">
        <v>226774</v>
      </c>
      <c r="AE45" s="171">
        <v>184495</v>
      </c>
      <c r="AF45" s="171">
        <v>93522</v>
      </c>
      <c r="AG45" s="171">
        <v>95001</v>
      </c>
      <c r="AH45" s="171">
        <v>93051</v>
      </c>
      <c r="AI45" s="171">
        <v>91282</v>
      </c>
      <c r="AJ45" s="171">
        <v>87432</v>
      </c>
      <c r="AK45" s="171">
        <v>87145</v>
      </c>
      <c r="AL45" s="171">
        <v>93434</v>
      </c>
      <c r="AM45" s="171">
        <v>85985</v>
      </c>
      <c r="AN45" s="171">
        <v>89860</v>
      </c>
      <c r="AO45" s="171">
        <v>89403</v>
      </c>
      <c r="AP45" s="172">
        <v>100572</v>
      </c>
    </row>
    <row r="46" spans="1:42" x14ac:dyDescent="0.35">
      <c r="A46" s="158" t="s">
        <v>78</v>
      </c>
      <c r="B46" s="158" t="s">
        <v>39</v>
      </c>
      <c r="C46" s="130" t="str">
        <f t="shared" si="0"/>
        <v>1.02.01.10.01Ativos Não-Correntes a Venda</v>
      </c>
      <c r="D46" s="168">
        <v>0</v>
      </c>
      <c r="E46" s="168">
        <v>0</v>
      </c>
      <c r="F46" s="168">
        <v>0</v>
      </c>
      <c r="G46" s="168">
        <v>0</v>
      </c>
      <c r="H46" s="168">
        <v>0</v>
      </c>
      <c r="I46" s="168">
        <v>0</v>
      </c>
      <c r="J46" s="168">
        <v>0</v>
      </c>
      <c r="K46" s="169">
        <v>0</v>
      </c>
      <c r="L46" s="168">
        <v>0</v>
      </c>
      <c r="M46" s="169">
        <v>0</v>
      </c>
      <c r="N46" s="169">
        <v>0</v>
      </c>
      <c r="O46" s="169">
        <v>0</v>
      </c>
      <c r="P46" s="169">
        <v>0</v>
      </c>
      <c r="Q46" s="169">
        <v>0</v>
      </c>
      <c r="R46" s="169">
        <v>0</v>
      </c>
      <c r="S46" s="169">
        <v>0</v>
      </c>
      <c r="T46" s="169">
        <v>0</v>
      </c>
      <c r="U46" s="169">
        <v>0</v>
      </c>
      <c r="V46" s="169">
        <v>0</v>
      </c>
      <c r="W46" s="169">
        <v>0</v>
      </c>
      <c r="X46" s="169">
        <v>0</v>
      </c>
      <c r="Y46" s="169">
        <v>0</v>
      </c>
      <c r="Z46" s="169">
        <v>0</v>
      </c>
      <c r="AA46" s="169">
        <v>0</v>
      </c>
      <c r="AB46" s="169">
        <v>0</v>
      </c>
      <c r="AC46" s="169">
        <v>0</v>
      </c>
      <c r="AD46" s="169">
        <v>0</v>
      </c>
      <c r="AE46" s="169">
        <v>0</v>
      </c>
      <c r="AF46" s="169">
        <v>0</v>
      </c>
      <c r="AG46" s="169">
        <v>0</v>
      </c>
      <c r="AH46" s="169">
        <v>0</v>
      </c>
      <c r="AI46" s="169">
        <v>0</v>
      </c>
      <c r="AJ46" s="169">
        <v>0</v>
      </c>
      <c r="AK46" s="169">
        <v>0</v>
      </c>
      <c r="AL46" s="169">
        <v>0</v>
      </c>
      <c r="AM46" s="169">
        <v>0</v>
      </c>
      <c r="AN46" s="169">
        <v>0</v>
      </c>
      <c r="AO46" s="169">
        <v>0</v>
      </c>
      <c r="AP46" s="170">
        <v>0</v>
      </c>
    </row>
    <row r="47" spans="1:42" x14ac:dyDescent="0.35">
      <c r="A47" s="158" t="s">
        <v>79</v>
      </c>
      <c r="B47" s="158" t="s">
        <v>41</v>
      </c>
      <c r="C47" s="130" t="str">
        <f t="shared" si="0"/>
        <v>1.02.01.10.02Ativos de Operações Descontinuadas</v>
      </c>
      <c r="D47" s="168">
        <v>0</v>
      </c>
      <c r="E47" s="168">
        <v>0</v>
      </c>
      <c r="F47" s="168">
        <v>0</v>
      </c>
      <c r="G47" s="168">
        <v>0</v>
      </c>
      <c r="H47" s="168">
        <v>0</v>
      </c>
      <c r="I47" s="168">
        <v>0</v>
      </c>
      <c r="J47" s="168">
        <v>0</v>
      </c>
      <c r="K47" s="169">
        <v>0</v>
      </c>
      <c r="L47" s="168">
        <v>0</v>
      </c>
      <c r="M47" s="169">
        <v>0</v>
      </c>
      <c r="N47" s="169">
        <v>0</v>
      </c>
      <c r="O47" s="169">
        <v>0</v>
      </c>
      <c r="P47" s="169">
        <v>0</v>
      </c>
      <c r="Q47" s="169">
        <v>0</v>
      </c>
      <c r="R47" s="169">
        <v>0</v>
      </c>
      <c r="S47" s="169">
        <v>0</v>
      </c>
      <c r="T47" s="169">
        <v>0</v>
      </c>
      <c r="U47" s="169">
        <v>0</v>
      </c>
      <c r="V47" s="169">
        <v>0</v>
      </c>
      <c r="W47" s="169">
        <v>0</v>
      </c>
      <c r="X47" s="169">
        <v>0</v>
      </c>
      <c r="Y47" s="169">
        <v>0</v>
      </c>
      <c r="Z47" s="169">
        <v>0</v>
      </c>
      <c r="AA47" s="169">
        <v>0</v>
      </c>
      <c r="AB47" s="169">
        <v>0</v>
      </c>
      <c r="AC47" s="169">
        <v>0</v>
      </c>
      <c r="AD47" s="169">
        <v>0</v>
      </c>
      <c r="AE47" s="169">
        <v>0</v>
      </c>
      <c r="AF47" s="169">
        <v>0</v>
      </c>
      <c r="AG47" s="169">
        <v>0</v>
      </c>
      <c r="AH47" s="169">
        <v>0</v>
      </c>
      <c r="AI47" s="169">
        <v>0</v>
      </c>
      <c r="AJ47" s="169">
        <v>0</v>
      </c>
      <c r="AK47" s="169">
        <v>0</v>
      </c>
      <c r="AL47" s="169">
        <v>0</v>
      </c>
      <c r="AM47" s="169">
        <v>0</v>
      </c>
      <c r="AN47" s="169">
        <v>0</v>
      </c>
      <c r="AO47" s="169">
        <v>0</v>
      </c>
      <c r="AP47" s="170">
        <v>0</v>
      </c>
    </row>
    <row r="48" spans="1:42" x14ac:dyDescent="0.35">
      <c r="A48" s="158" t="s">
        <v>80</v>
      </c>
      <c r="B48" s="158" t="s">
        <v>81</v>
      </c>
      <c r="C48" s="130" t="str">
        <f t="shared" si="0"/>
        <v>1.02.01.10.03Impostos a Recuperar</v>
      </c>
      <c r="D48" s="168">
        <v>105970</v>
      </c>
      <c r="E48" s="168">
        <v>134130</v>
      </c>
      <c r="F48" s="168">
        <v>132726</v>
      </c>
      <c r="G48" s="168">
        <v>135868</v>
      </c>
      <c r="H48" s="222">
        <v>133577</v>
      </c>
      <c r="I48" s="168">
        <v>131897</v>
      </c>
      <c r="J48" s="168">
        <v>133072</v>
      </c>
      <c r="K48" s="169">
        <v>218371</v>
      </c>
      <c r="L48" s="168">
        <v>243968</v>
      </c>
      <c r="M48" s="169">
        <v>239921</v>
      </c>
      <c r="N48" s="169">
        <v>234431</v>
      </c>
      <c r="O48" s="169">
        <v>262981</v>
      </c>
      <c r="P48" s="169">
        <v>277106</v>
      </c>
      <c r="Q48" s="169">
        <v>283507</v>
      </c>
      <c r="R48" s="169">
        <v>338745</v>
      </c>
      <c r="S48" s="169">
        <v>278300</v>
      </c>
      <c r="T48" s="169">
        <v>285275</v>
      </c>
      <c r="U48" s="169">
        <v>269596</v>
      </c>
      <c r="V48" s="169">
        <v>370063</v>
      </c>
      <c r="W48" s="169">
        <v>368922</v>
      </c>
      <c r="X48" s="169">
        <v>343024</v>
      </c>
      <c r="Y48" s="169">
        <v>152278</v>
      </c>
      <c r="Z48" s="169">
        <v>151962</v>
      </c>
      <c r="AA48" s="169">
        <v>155498</v>
      </c>
      <c r="AB48" s="169">
        <v>150092</v>
      </c>
      <c r="AC48" s="169">
        <v>147838</v>
      </c>
      <c r="AD48" s="169">
        <v>166759</v>
      </c>
      <c r="AE48" s="169">
        <v>124320</v>
      </c>
      <c r="AF48" s="169">
        <v>34388</v>
      </c>
      <c r="AG48" s="169">
        <v>35699</v>
      </c>
      <c r="AH48" s="169">
        <v>29189</v>
      </c>
      <c r="AI48" s="169">
        <v>21346</v>
      </c>
      <c r="AJ48" s="169">
        <v>18384</v>
      </c>
      <c r="AK48" s="169">
        <v>15997</v>
      </c>
      <c r="AL48" s="169">
        <v>19435</v>
      </c>
      <c r="AM48" s="169">
        <v>20953</v>
      </c>
      <c r="AN48" s="169">
        <v>20427</v>
      </c>
      <c r="AO48" s="169">
        <v>23236</v>
      </c>
      <c r="AP48" s="170">
        <v>34002</v>
      </c>
    </row>
    <row r="49" spans="1:42" x14ac:dyDescent="0.35">
      <c r="A49" s="158" t="s">
        <v>82</v>
      </c>
      <c r="B49" s="158" t="s">
        <v>83</v>
      </c>
      <c r="C49" s="130" t="str">
        <f t="shared" si="0"/>
        <v>1.02.01.10.04Depósitos Judiciais</v>
      </c>
      <c r="D49" s="168">
        <v>80500</v>
      </c>
      <c r="E49" s="168">
        <v>60070</v>
      </c>
      <c r="F49" s="168">
        <v>56891</v>
      </c>
      <c r="G49" s="168">
        <v>76270</v>
      </c>
      <c r="H49" s="222">
        <v>78764</v>
      </c>
      <c r="I49" s="168">
        <v>77644</v>
      </c>
      <c r="J49" s="168">
        <v>76742</v>
      </c>
      <c r="K49" s="169">
        <v>77377</v>
      </c>
      <c r="L49" s="168">
        <v>77578</v>
      </c>
      <c r="M49" s="169">
        <v>72589</v>
      </c>
      <c r="N49" s="169">
        <v>69889</v>
      </c>
      <c r="O49" s="169">
        <v>68735</v>
      </c>
      <c r="P49" s="169">
        <v>67355</v>
      </c>
      <c r="Q49" s="169">
        <v>65235</v>
      </c>
      <c r="R49" s="169">
        <v>62618</v>
      </c>
      <c r="S49" s="169">
        <v>61325</v>
      </c>
      <c r="T49" s="169">
        <v>59472</v>
      </c>
      <c r="U49" s="169">
        <v>58212</v>
      </c>
      <c r="V49" s="169">
        <v>56649</v>
      </c>
      <c r="W49" s="169">
        <v>55352</v>
      </c>
      <c r="X49" s="169">
        <v>55601</v>
      </c>
      <c r="Y49" s="169">
        <v>56339</v>
      </c>
      <c r="Z49" s="169">
        <v>56466</v>
      </c>
      <c r="AA49" s="169">
        <v>54254</v>
      </c>
      <c r="AB49" s="169">
        <v>59979</v>
      </c>
      <c r="AC49" s="169">
        <v>60673</v>
      </c>
      <c r="AD49" s="169">
        <v>58495</v>
      </c>
      <c r="AE49" s="169">
        <v>56554</v>
      </c>
      <c r="AF49" s="169">
        <v>55398</v>
      </c>
      <c r="AG49" s="169">
        <v>54421</v>
      </c>
      <c r="AH49" s="169">
        <v>59468</v>
      </c>
      <c r="AI49" s="169">
        <v>65117</v>
      </c>
      <c r="AJ49" s="169">
        <v>63910</v>
      </c>
      <c r="AK49" s="169">
        <v>63661</v>
      </c>
      <c r="AL49" s="169">
        <v>61548</v>
      </c>
      <c r="AM49" s="169">
        <v>59010</v>
      </c>
      <c r="AN49" s="169">
        <v>58015</v>
      </c>
      <c r="AO49" s="169">
        <v>54593</v>
      </c>
      <c r="AP49" s="170">
        <v>55066</v>
      </c>
    </row>
    <row r="50" spans="1:42" x14ac:dyDescent="0.35">
      <c r="A50" s="158" t="s">
        <v>84</v>
      </c>
      <c r="B50" s="158" t="s">
        <v>25</v>
      </c>
      <c r="C50" s="130" t="str">
        <f t="shared" si="0"/>
        <v>1.02.01.10.05Outras Contas a Receber</v>
      </c>
      <c r="D50" s="168">
        <v>159992</v>
      </c>
      <c r="E50" s="168">
        <v>139546</v>
      </c>
      <c r="F50" s="168">
        <v>150209</v>
      </c>
      <c r="G50" s="168">
        <v>133919</v>
      </c>
      <c r="H50" s="222">
        <v>129776</v>
      </c>
      <c r="I50" s="168">
        <v>131332</v>
      </c>
      <c r="J50" s="168">
        <v>130095</v>
      </c>
      <c r="K50" s="169">
        <v>113659</v>
      </c>
      <c r="L50" s="168">
        <v>115914</v>
      </c>
      <c r="M50" s="169">
        <v>104285</v>
      </c>
      <c r="N50" s="169">
        <v>93672</v>
      </c>
      <c r="O50" s="169">
        <v>111706</v>
      </c>
      <c r="P50" s="169">
        <v>104684</v>
      </c>
      <c r="Q50" s="169">
        <v>73893</v>
      </c>
      <c r="R50" s="169">
        <v>74127</v>
      </c>
      <c r="S50" s="169">
        <v>84233</v>
      </c>
      <c r="T50" s="169">
        <v>81452</v>
      </c>
      <c r="U50" s="169">
        <v>13102</v>
      </c>
      <c r="V50" s="169">
        <v>16056</v>
      </c>
      <c r="W50" s="169">
        <v>662</v>
      </c>
      <c r="X50" s="169">
        <v>972</v>
      </c>
      <c r="Y50" s="169">
        <v>2107</v>
      </c>
      <c r="Z50" s="169">
        <v>2046</v>
      </c>
      <c r="AA50" s="169">
        <v>1217</v>
      </c>
      <c r="AB50" s="169">
        <v>1217</v>
      </c>
      <c r="AC50" s="169">
        <v>1374</v>
      </c>
      <c r="AD50" s="169">
        <v>1520</v>
      </c>
      <c r="AE50" s="169">
        <v>3621</v>
      </c>
      <c r="AF50" s="169">
        <v>3736</v>
      </c>
      <c r="AG50" s="169">
        <v>4881</v>
      </c>
      <c r="AH50" s="169">
        <v>4394</v>
      </c>
      <c r="AI50" s="169">
        <v>4819</v>
      </c>
      <c r="AJ50" s="169">
        <v>5138</v>
      </c>
      <c r="AK50" s="169">
        <v>7487</v>
      </c>
      <c r="AL50" s="169">
        <v>12451</v>
      </c>
      <c r="AM50" s="169">
        <v>6022</v>
      </c>
      <c r="AN50" s="169">
        <v>11418</v>
      </c>
      <c r="AO50" s="169">
        <v>11574</v>
      </c>
      <c r="AP50" s="170">
        <v>11504</v>
      </c>
    </row>
    <row r="51" spans="1:42" x14ac:dyDescent="0.35">
      <c r="A51" s="158" t="s">
        <v>85</v>
      </c>
      <c r="B51" s="158" t="s">
        <v>86</v>
      </c>
      <c r="C51" s="130" t="str">
        <f t="shared" si="0"/>
        <v>1.02.01.10.06Instrumento financeiro derivativo</v>
      </c>
      <c r="D51" s="168">
        <v>77466</v>
      </c>
      <c r="E51" s="168">
        <v>87778</v>
      </c>
      <c r="F51" s="168">
        <v>45656</v>
      </c>
      <c r="G51" s="168">
        <v>49376</v>
      </c>
      <c r="H51" s="222">
        <v>32502</v>
      </c>
      <c r="I51" s="168">
        <v>194373</v>
      </c>
      <c r="J51" s="168">
        <v>244805</v>
      </c>
      <c r="K51" s="169">
        <v>141559</v>
      </c>
      <c r="L51" s="168">
        <v>182659</v>
      </c>
      <c r="M51" s="169">
        <v>153191</v>
      </c>
      <c r="N51" s="169">
        <v>119229</v>
      </c>
      <c r="O51" s="169">
        <v>202434</v>
      </c>
      <c r="P51" s="169">
        <v>170679</v>
      </c>
      <c r="Q51" s="169">
        <v>223748</v>
      </c>
      <c r="R51" s="169">
        <v>258780</v>
      </c>
      <c r="S51" s="169">
        <v>398905</v>
      </c>
      <c r="T51" s="169">
        <v>279288</v>
      </c>
      <c r="U51" s="169">
        <v>131418</v>
      </c>
      <c r="V51" s="169">
        <v>112730</v>
      </c>
      <c r="W51" s="169">
        <v>65137</v>
      </c>
      <c r="X51" s="169">
        <v>10718</v>
      </c>
      <c r="Y51" s="169">
        <v>0</v>
      </c>
      <c r="Z51" s="169">
        <v>0</v>
      </c>
      <c r="AA51" s="169">
        <v>0</v>
      </c>
      <c r="AB51" s="169">
        <v>0</v>
      </c>
      <c r="AC51" s="169">
        <v>0</v>
      </c>
      <c r="AD51" s="169">
        <v>0</v>
      </c>
      <c r="AE51" s="169">
        <v>0</v>
      </c>
      <c r="AF51" s="169">
        <v>0</v>
      </c>
      <c r="AG51" s="169">
        <v>0</v>
      </c>
      <c r="AH51" s="169">
        <v>0</v>
      </c>
      <c r="AI51" s="169">
        <v>0</v>
      </c>
      <c r="AJ51" s="169">
        <v>0</v>
      </c>
      <c r="AK51" s="169">
        <v>0</v>
      </c>
      <c r="AL51" s="169">
        <v>0</v>
      </c>
      <c r="AM51" s="169">
        <v>0</v>
      </c>
      <c r="AN51" s="169">
        <v>0</v>
      </c>
      <c r="AO51" s="169">
        <v>0</v>
      </c>
      <c r="AP51" s="170">
        <v>0</v>
      </c>
    </row>
    <row r="52" spans="1:42" x14ac:dyDescent="0.35">
      <c r="A52" s="158" t="s">
        <v>87</v>
      </c>
      <c r="B52" s="158" t="s">
        <v>88</v>
      </c>
      <c r="C52" s="130" t="str">
        <f t="shared" si="0"/>
        <v>1.02.02Investimentos</v>
      </c>
      <c r="D52" s="168">
        <v>189146</v>
      </c>
      <c r="E52" s="168">
        <v>295222</v>
      </c>
      <c r="F52" s="168">
        <v>295306</v>
      </c>
      <c r="G52" s="168">
        <v>213400</v>
      </c>
      <c r="H52" s="222">
        <v>222967</v>
      </c>
      <c r="I52" s="168">
        <v>222190</v>
      </c>
      <c r="J52" s="168">
        <v>230043</v>
      </c>
      <c r="K52" s="169">
        <v>187943</v>
      </c>
      <c r="L52" s="168">
        <v>170435</v>
      </c>
      <c r="M52" s="169">
        <v>155270</v>
      </c>
      <c r="N52" s="169">
        <v>159767</v>
      </c>
      <c r="O52" s="169">
        <v>141801</v>
      </c>
      <c r="P52" s="169">
        <v>148090</v>
      </c>
      <c r="Q52" s="169">
        <v>127862</v>
      </c>
      <c r="R52" s="169">
        <v>129203</v>
      </c>
      <c r="S52" s="169">
        <v>133444</v>
      </c>
      <c r="T52" s="169">
        <v>132510</v>
      </c>
      <c r="U52" s="169">
        <v>128601</v>
      </c>
      <c r="V52" s="169">
        <v>138834</v>
      </c>
      <c r="W52" s="169">
        <v>114411</v>
      </c>
      <c r="X52" s="169">
        <v>101125</v>
      </c>
      <c r="Y52" s="169">
        <v>102535</v>
      </c>
      <c r="Z52" s="169">
        <v>95283</v>
      </c>
      <c r="AA52" s="169">
        <v>97383</v>
      </c>
      <c r="AB52" s="169">
        <v>93706</v>
      </c>
      <c r="AC52" s="169">
        <v>91571</v>
      </c>
      <c r="AD52" s="169">
        <v>74612</v>
      </c>
      <c r="AE52" s="169">
        <v>67979</v>
      </c>
      <c r="AF52" s="169">
        <v>37768</v>
      </c>
      <c r="AG52" s="169">
        <v>39655</v>
      </c>
      <c r="AH52" s="169">
        <v>46803</v>
      </c>
      <c r="AI52" s="169">
        <v>40726</v>
      </c>
      <c r="AJ52" s="169">
        <v>43090</v>
      </c>
      <c r="AK52" s="169">
        <v>50052</v>
      </c>
      <c r="AL52" s="169">
        <v>47339</v>
      </c>
      <c r="AM52" s="169">
        <v>59652</v>
      </c>
      <c r="AN52" s="169">
        <v>62593</v>
      </c>
      <c r="AO52" s="169">
        <v>86604</v>
      </c>
      <c r="AP52" s="170">
        <v>81425</v>
      </c>
    </row>
    <row r="53" spans="1:42" x14ac:dyDescent="0.35">
      <c r="A53" s="158" t="s">
        <v>89</v>
      </c>
      <c r="B53" s="158" t="s">
        <v>90</v>
      </c>
      <c r="C53" s="130" t="str">
        <f t="shared" si="0"/>
        <v>1.02.02.01Participações Societárias</v>
      </c>
      <c r="D53" s="168">
        <v>189146</v>
      </c>
      <c r="E53" s="168">
        <v>295222</v>
      </c>
      <c r="F53" s="168">
        <v>295306</v>
      </c>
      <c r="G53" s="168">
        <v>213400</v>
      </c>
      <c r="H53" s="222">
        <v>222967</v>
      </c>
      <c r="I53" s="168">
        <v>222190</v>
      </c>
      <c r="J53" s="168">
        <v>230043</v>
      </c>
      <c r="K53" s="169">
        <v>187943</v>
      </c>
      <c r="L53" s="168">
        <v>170435</v>
      </c>
      <c r="M53" s="169">
        <v>155270</v>
      </c>
      <c r="N53" s="169">
        <v>159767</v>
      </c>
      <c r="O53" s="169">
        <v>141801</v>
      </c>
      <c r="P53" s="169">
        <v>148090</v>
      </c>
      <c r="Q53" s="169">
        <v>127862</v>
      </c>
      <c r="R53" s="169">
        <v>129203</v>
      </c>
      <c r="S53" s="169">
        <v>133444</v>
      </c>
      <c r="T53" s="169">
        <v>132510</v>
      </c>
      <c r="U53" s="169">
        <v>128601</v>
      </c>
      <c r="V53" s="169">
        <v>138834</v>
      </c>
      <c r="W53" s="169">
        <v>114411</v>
      </c>
      <c r="X53" s="169">
        <v>101125</v>
      </c>
      <c r="Y53" s="169">
        <v>102535</v>
      </c>
      <c r="Z53" s="169">
        <v>95283</v>
      </c>
      <c r="AA53" s="169">
        <v>97383</v>
      </c>
      <c r="AB53" s="169">
        <v>93706</v>
      </c>
      <c r="AC53" s="169">
        <v>91571</v>
      </c>
      <c r="AD53" s="169">
        <v>74612</v>
      </c>
      <c r="AE53" s="169">
        <v>67979</v>
      </c>
      <c r="AF53" s="169">
        <v>37768</v>
      </c>
      <c r="AG53" s="169">
        <v>39655</v>
      </c>
      <c r="AH53" s="169">
        <v>46803</v>
      </c>
      <c r="AI53" s="169">
        <v>40726</v>
      </c>
      <c r="AJ53" s="169">
        <v>43090</v>
      </c>
      <c r="AK53" s="169">
        <v>50052</v>
      </c>
      <c r="AL53" s="169">
        <v>47339</v>
      </c>
      <c r="AM53" s="169">
        <v>59652</v>
      </c>
      <c r="AN53" s="169">
        <v>62593</v>
      </c>
      <c r="AO53" s="169">
        <v>86604</v>
      </c>
      <c r="AP53" s="170">
        <v>81425</v>
      </c>
    </row>
    <row r="54" spans="1:42" x14ac:dyDescent="0.35">
      <c r="A54" s="158" t="s">
        <v>91</v>
      </c>
      <c r="B54" s="158" t="s">
        <v>92</v>
      </c>
      <c r="C54" s="130" t="str">
        <f t="shared" si="0"/>
        <v>1.02.02.01.01Participações em Coligadas</v>
      </c>
      <c r="D54" s="168">
        <v>74082</v>
      </c>
      <c r="E54" s="168">
        <v>92104</v>
      </c>
      <c r="F54" s="168">
        <v>93538</v>
      </c>
      <c r="G54" s="168">
        <v>103875</v>
      </c>
      <c r="H54" s="222">
        <v>111445</v>
      </c>
      <c r="I54" s="168">
        <v>112687</v>
      </c>
      <c r="J54" s="168">
        <v>114891</v>
      </c>
      <c r="K54" s="169">
        <v>108250</v>
      </c>
      <c r="L54" s="168">
        <v>86867</v>
      </c>
      <c r="M54" s="169">
        <v>84614</v>
      </c>
      <c r="N54" s="169">
        <v>84651</v>
      </c>
      <c r="O54" s="169">
        <v>64088</v>
      </c>
      <c r="P54" s="169">
        <v>65361</v>
      </c>
      <c r="Q54" s="169">
        <v>71161</v>
      </c>
      <c r="R54" s="169">
        <v>73690</v>
      </c>
      <c r="S54" s="169">
        <v>75671</v>
      </c>
      <c r="T54" s="169">
        <v>80191</v>
      </c>
      <c r="U54" s="169">
        <v>79575</v>
      </c>
      <c r="V54" s="169">
        <v>85738</v>
      </c>
      <c r="W54" s="169">
        <v>81375</v>
      </c>
      <c r="X54" s="169">
        <v>77359</v>
      </c>
      <c r="Y54" s="169">
        <v>0</v>
      </c>
      <c r="Z54" s="169">
        <v>78647</v>
      </c>
      <c r="AA54" s="169">
        <v>0</v>
      </c>
      <c r="AB54" s="169">
        <v>0</v>
      </c>
      <c r="AC54" s="169">
        <v>0</v>
      </c>
      <c r="AD54" s="169">
        <v>0</v>
      </c>
      <c r="AE54" s="169">
        <v>0</v>
      </c>
      <c r="AF54" s="169">
        <v>0</v>
      </c>
      <c r="AG54" s="169">
        <v>0</v>
      </c>
      <c r="AH54" s="169">
        <v>0</v>
      </c>
      <c r="AI54" s="169">
        <v>0</v>
      </c>
      <c r="AJ54" s="169">
        <v>0</v>
      </c>
      <c r="AK54" s="169">
        <v>0</v>
      </c>
      <c r="AL54" s="169">
        <v>0</v>
      </c>
      <c r="AM54" s="169">
        <v>0</v>
      </c>
      <c r="AN54" s="169">
        <v>0</v>
      </c>
      <c r="AO54" s="169">
        <v>0</v>
      </c>
      <c r="AP54" s="170">
        <v>0</v>
      </c>
    </row>
    <row r="55" spans="1:42" x14ac:dyDescent="0.35">
      <c r="A55" s="158" t="s">
        <v>94</v>
      </c>
      <c r="B55" s="158" t="s">
        <v>93</v>
      </c>
      <c r="C55" s="130" t="str">
        <f t="shared" si="0"/>
        <v>1.02.02.01.04Participações em Controladas em Conjunto</v>
      </c>
      <c r="D55" s="168">
        <v>114896</v>
      </c>
      <c r="E55" s="168">
        <v>202950</v>
      </c>
      <c r="F55" s="168">
        <v>201600</v>
      </c>
      <c r="G55" s="168">
        <v>109357</v>
      </c>
      <c r="H55" s="222">
        <v>111354</v>
      </c>
      <c r="I55" s="168">
        <v>109334</v>
      </c>
      <c r="J55" s="168">
        <v>114984</v>
      </c>
      <c r="K55" s="169">
        <v>79525</v>
      </c>
      <c r="L55" s="168">
        <v>83400</v>
      </c>
      <c r="M55" s="169">
        <v>70487</v>
      </c>
      <c r="N55" s="169">
        <v>74948</v>
      </c>
      <c r="O55" s="169">
        <v>77545</v>
      </c>
      <c r="P55" s="169">
        <v>82561</v>
      </c>
      <c r="Q55" s="169">
        <v>56533</v>
      </c>
      <c r="R55" s="169">
        <v>55344</v>
      </c>
      <c r="S55" s="169">
        <v>57604</v>
      </c>
      <c r="T55" s="169">
        <v>52150</v>
      </c>
      <c r="U55" s="169">
        <v>48858</v>
      </c>
      <c r="V55" s="169">
        <v>52928</v>
      </c>
      <c r="W55" s="169">
        <v>32868</v>
      </c>
      <c r="X55" s="169">
        <v>23593</v>
      </c>
      <c r="Y55" s="169">
        <v>102535</v>
      </c>
      <c r="Z55" s="169">
        <v>16463</v>
      </c>
      <c r="AA55" s="169">
        <v>97383</v>
      </c>
      <c r="AB55" s="169">
        <v>93706</v>
      </c>
      <c r="AC55" s="169">
        <v>91571</v>
      </c>
      <c r="AD55" s="169">
        <v>74612</v>
      </c>
      <c r="AE55" s="169">
        <v>67979</v>
      </c>
      <c r="AF55" s="169">
        <v>37768</v>
      </c>
      <c r="AG55" s="169">
        <v>39655</v>
      </c>
      <c r="AH55" s="169">
        <v>46803</v>
      </c>
      <c r="AI55" s="169">
        <v>40726</v>
      </c>
      <c r="AJ55" s="169">
        <v>42928</v>
      </c>
      <c r="AK55" s="169">
        <v>50052</v>
      </c>
      <c r="AL55" s="169">
        <v>47339</v>
      </c>
      <c r="AM55" s="169">
        <v>59652</v>
      </c>
      <c r="AN55" s="169">
        <v>62593</v>
      </c>
      <c r="AO55" s="169">
        <v>86604</v>
      </c>
      <c r="AP55" s="170">
        <v>81425</v>
      </c>
    </row>
    <row r="56" spans="1:42" x14ac:dyDescent="0.35">
      <c r="A56" s="158" t="s">
        <v>369</v>
      </c>
      <c r="B56" s="158" t="s">
        <v>95</v>
      </c>
      <c r="C56" s="130" t="str">
        <f t="shared" si="0"/>
        <v>1.02.02.01.05Outros Investimentos</v>
      </c>
      <c r="D56" s="168">
        <v>168</v>
      </c>
      <c r="E56" s="168">
        <v>168</v>
      </c>
      <c r="F56" s="168">
        <v>168</v>
      </c>
      <c r="G56" s="168">
        <v>168</v>
      </c>
      <c r="H56" s="130">
        <v>168</v>
      </c>
      <c r="I56" s="168">
        <v>169</v>
      </c>
      <c r="J56" s="168">
        <v>168</v>
      </c>
      <c r="K56" s="169">
        <v>168</v>
      </c>
      <c r="L56" s="168">
        <v>168</v>
      </c>
      <c r="M56" s="169">
        <v>169</v>
      </c>
      <c r="N56" s="169">
        <v>168</v>
      </c>
      <c r="O56" s="169">
        <v>168</v>
      </c>
      <c r="P56" s="169">
        <v>168</v>
      </c>
      <c r="Q56" s="169">
        <v>168</v>
      </c>
      <c r="R56" s="169">
        <v>169</v>
      </c>
      <c r="S56" s="169">
        <v>169</v>
      </c>
      <c r="T56" s="169">
        <v>169</v>
      </c>
      <c r="U56" s="169">
        <v>168</v>
      </c>
      <c r="V56" s="169">
        <v>168</v>
      </c>
      <c r="W56" s="169">
        <v>168</v>
      </c>
      <c r="X56" s="169">
        <v>173</v>
      </c>
      <c r="Y56" s="169">
        <v>0</v>
      </c>
      <c r="Z56" s="169">
        <v>173</v>
      </c>
      <c r="AA56" s="169">
        <v>0</v>
      </c>
      <c r="AB56" s="169">
        <v>0</v>
      </c>
      <c r="AC56" s="169">
        <v>0</v>
      </c>
      <c r="AD56" s="169">
        <v>0</v>
      </c>
      <c r="AE56" s="169">
        <v>0</v>
      </c>
      <c r="AF56" s="169">
        <v>0</v>
      </c>
      <c r="AG56" s="169">
        <v>0</v>
      </c>
      <c r="AH56" s="169">
        <v>0</v>
      </c>
      <c r="AI56" s="169">
        <v>0</v>
      </c>
      <c r="AJ56" s="169">
        <v>162</v>
      </c>
      <c r="AK56" s="169">
        <v>0</v>
      </c>
      <c r="AL56" s="169">
        <v>0</v>
      </c>
      <c r="AM56" s="169">
        <v>0</v>
      </c>
      <c r="AN56" s="169">
        <v>0</v>
      </c>
      <c r="AO56" s="169">
        <v>0</v>
      </c>
      <c r="AP56" s="170">
        <v>0</v>
      </c>
    </row>
    <row r="57" spans="1:42" x14ac:dyDescent="0.35">
      <c r="A57" s="158" t="s">
        <v>96</v>
      </c>
      <c r="B57" s="158" t="s">
        <v>97</v>
      </c>
      <c r="C57" s="130" t="str">
        <f t="shared" si="0"/>
        <v>1.02.02.02Propriedades para Investimento</v>
      </c>
      <c r="D57" s="168">
        <v>0</v>
      </c>
      <c r="E57" s="168">
        <v>0</v>
      </c>
      <c r="F57" s="168">
        <v>0</v>
      </c>
      <c r="G57" s="168">
        <v>0</v>
      </c>
      <c r="H57" s="168">
        <v>0</v>
      </c>
      <c r="I57" s="168">
        <v>0</v>
      </c>
      <c r="J57" s="168">
        <v>0</v>
      </c>
      <c r="K57" s="169">
        <v>0</v>
      </c>
      <c r="L57" s="168">
        <v>0</v>
      </c>
      <c r="M57" s="169">
        <v>0</v>
      </c>
      <c r="N57" s="169">
        <v>0</v>
      </c>
      <c r="O57" s="169">
        <v>0</v>
      </c>
      <c r="P57" s="169">
        <v>0</v>
      </c>
      <c r="Q57" s="169">
        <v>0</v>
      </c>
      <c r="R57" s="169">
        <v>0</v>
      </c>
      <c r="S57" s="169">
        <v>0</v>
      </c>
      <c r="T57" s="169">
        <v>0</v>
      </c>
      <c r="U57" s="169">
        <v>0</v>
      </c>
      <c r="V57" s="169">
        <v>0</v>
      </c>
      <c r="W57" s="169">
        <v>0</v>
      </c>
      <c r="X57" s="169">
        <v>0</v>
      </c>
      <c r="Y57" s="169">
        <v>0</v>
      </c>
      <c r="Z57" s="169">
        <v>0</v>
      </c>
      <c r="AA57" s="169">
        <v>0</v>
      </c>
      <c r="AB57" s="169">
        <v>0</v>
      </c>
      <c r="AC57" s="169">
        <v>0</v>
      </c>
      <c r="AD57" s="169">
        <v>0</v>
      </c>
      <c r="AE57" s="169">
        <v>0</v>
      </c>
      <c r="AF57" s="169">
        <v>0</v>
      </c>
      <c r="AG57" s="169">
        <v>0</v>
      </c>
      <c r="AH57" s="169">
        <v>0</v>
      </c>
      <c r="AI57" s="169">
        <v>0</v>
      </c>
      <c r="AJ57" s="169">
        <v>0</v>
      </c>
      <c r="AK57" s="169">
        <v>0</v>
      </c>
      <c r="AL57" s="169">
        <v>0</v>
      </c>
      <c r="AM57" s="169">
        <v>0</v>
      </c>
      <c r="AN57" s="169">
        <v>0</v>
      </c>
      <c r="AO57" s="169">
        <v>0</v>
      </c>
      <c r="AP57" s="170">
        <v>0</v>
      </c>
    </row>
    <row r="58" spans="1:42" x14ac:dyDescent="0.35">
      <c r="A58" s="158" t="s">
        <v>98</v>
      </c>
      <c r="B58" s="158" t="s">
        <v>99</v>
      </c>
      <c r="C58" s="130" t="str">
        <f t="shared" si="0"/>
        <v>1.02.03Imobilizado</v>
      </c>
      <c r="D58" s="168">
        <v>4690392</v>
      </c>
      <c r="E58" s="168">
        <v>4711615</v>
      </c>
      <c r="F58" s="168">
        <v>4946062</v>
      </c>
      <c r="G58" s="168">
        <v>4766352</v>
      </c>
      <c r="H58" s="222">
        <v>4841002</v>
      </c>
      <c r="I58" s="168">
        <v>4842826</v>
      </c>
      <c r="J58" s="168">
        <v>5061612</v>
      </c>
      <c r="K58" s="169">
        <v>4611266</v>
      </c>
      <c r="L58" s="168">
        <v>4526203</v>
      </c>
      <c r="M58" s="169">
        <v>4175429</v>
      </c>
      <c r="N58" s="169">
        <v>4118256</v>
      </c>
      <c r="O58" s="169">
        <v>4008173</v>
      </c>
      <c r="P58" s="169">
        <v>3910611</v>
      </c>
      <c r="Q58" s="169">
        <v>4035136</v>
      </c>
      <c r="R58" s="169">
        <v>4091052</v>
      </c>
      <c r="S58" s="169">
        <v>3933622</v>
      </c>
      <c r="T58" s="169">
        <v>3956546</v>
      </c>
      <c r="U58" s="169">
        <v>3762093</v>
      </c>
      <c r="V58" s="169">
        <v>4306152</v>
      </c>
      <c r="W58" s="169">
        <v>4197818</v>
      </c>
      <c r="X58" s="169">
        <v>3990803</v>
      </c>
      <c r="Y58" s="169">
        <v>4452954</v>
      </c>
      <c r="Z58" s="169">
        <v>4305084</v>
      </c>
      <c r="AA58" s="169">
        <v>4560664</v>
      </c>
      <c r="AB58" s="169">
        <v>4436400</v>
      </c>
      <c r="AC58" s="169">
        <v>4300052</v>
      </c>
      <c r="AD58" s="169">
        <v>3664744</v>
      </c>
      <c r="AE58" s="169">
        <v>3648149</v>
      </c>
      <c r="AF58" s="169">
        <v>3476151</v>
      </c>
      <c r="AG58" s="169">
        <v>3482756</v>
      </c>
      <c r="AH58" s="169">
        <v>3398325</v>
      </c>
      <c r="AI58" s="169">
        <v>3369818</v>
      </c>
      <c r="AJ58" s="169">
        <v>3289869</v>
      </c>
      <c r="AK58" s="169">
        <v>3039531</v>
      </c>
      <c r="AL58" s="169">
        <v>3023091</v>
      </c>
      <c r="AM58" s="169">
        <v>2878626</v>
      </c>
      <c r="AN58" s="169">
        <v>2960084</v>
      </c>
      <c r="AO58" s="169">
        <v>2858422</v>
      </c>
      <c r="AP58" s="170">
        <v>2919881</v>
      </c>
    </row>
    <row r="59" spans="1:42" x14ac:dyDescent="0.35">
      <c r="A59" s="158" t="s">
        <v>100</v>
      </c>
      <c r="B59" s="158" t="s">
        <v>101</v>
      </c>
      <c r="C59" s="130" t="str">
        <f t="shared" si="0"/>
        <v>1.02.03.01Imobilizado em Operação</v>
      </c>
      <c r="D59" s="168">
        <v>3608378</v>
      </c>
      <c r="E59" s="168">
        <v>3662032</v>
      </c>
      <c r="F59" s="168">
        <v>3872414</v>
      </c>
      <c r="G59" s="168">
        <v>3796769</v>
      </c>
      <c r="H59" s="222">
        <v>3921049</v>
      </c>
      <c r="I59" s="168">
        <v>4011880</v>
      </c>
      <c r="J59" s="168">
        <v>4238847</v>
      </c>
      <c r="K59" s="169">
        <v>3776846</v>
      </c>
      <c r="L59" s="168">
        <v>3732564</v>
      </c>
      <c r="M59" s="169">
        <v>3463086</v>
      </c>
      <c r="N59" s="169">
        <v>3415644</v>
      </c>
      <c r="O59" s="169">
        <v>3339176</v>
      </c>
      <c r="P59" s="169">
        <v>3849102</v>
      </c>
      <c r="Q59" s="169">
        <v>3968305</v>
      </c>
      <c r="R59" s="169">
        <v>4043815</v>
      </c>
      <c r="S59" s="169">
        <v>3898889</v>
      </c>
      <c r="T59" s="169">
        <v>3919901</v>
      </c>
      <c r="U59" s="169">
        <v>3723126</v>
      </c>
      <c r="V59" s="169">
        <v>4253134</v>
      </c>
      <c r="W59" s="169">
        <v>4139906</v>
      </c>
      <c r="X59" s="169">
        <v>3939697</v>
      </c>
      <c r="Y59" s="169">
        <v>4389253</v>
      </c>
      <c r="Z59" s="169">
        <v>4237764</v>
      </c>
      <c r="AA59" s="169">
        <v>4505066</v>
      </c>
      <c r="AB59" s="169">
        <v>4372430</v>
      </c>
      <c r="AC59" s="169">
        <v>4234363</v>
      </c>
      <c r="AD59" s="169">
        <v>3590747</v>
      </c>
      <c r="AE59" s="169">
        <v>3568801</v>
      </c>
      <c r="AF59" s="169">
        <v>3404563</v>
      </c>
      <c r="AG59" s="169">
        <v>3411159</v>
      </c>
      <c r="AH59" s="169">
        <v>3398325</v>
      </c>
      <c r="AI59" s="169">
        <v>3369818</v>
      </c>
      <c r="AJ59" s="169">
        <v>3289869</v>
      </c>
      <c r="AK59" s="169">
        <v>3039531</v>
      </c>
      <c r="AL59" s="169">
        <v>3023091</v>
      </c>
      <c r="AM59" s="169">
        <v>2878626</v>
      </c>
      <c r="AN59" s="169">
        <v>2960084</v>
      </c>
      <c r="AO59" s="169">
        <v>2858422</v>
      </c>
      <c r="AP59" s="170">
        <v>2919881</v>
      </c>
    </row>
    <row r="60" spans="1:42" x14ac:dyDescent="0.35">
      <c r="A60" s="158" t="s">
        <v>102</v>
      </c>
      <c r="B60" s="158" t="s">
        <v>103</v>
      </c>
      <c r="C60" s="130" t="str">
        <f t="shared" si="0"/>
        <v>1.02.03.02Direito de Uso em Arrendamento</v>
      </c>
      <c r="D60" s="168">
        <v>99337</v>
      </c>
      <c r="E60" s="168">
        <v>102587</v>
      </c>
      <c r="F60" s="168">
        <v>104465</v>
      </c>
      <c r="G60" s="168">
        <v>89676</v>
      </c>
      <c r="H60" s="222">
        <v>88176</v>
      </c>
      <c r="I60" s="168">
        <v>92002</v>
      </c>
      <c r="J60" s="168">
        <v>93107</v>
      </c>
      <c r="K60" s="169">
        <v>84147</v>
      </c>
      <c r="L60" s="168">
        <v>83773</v>
      </c>
      <c r="M60" s="169">
        <v>81410</v>
      </c>
      <c r="N60" s="169">
        <v>74261</v>
      </c>
      <c r="O60" s="169">
        <v>65829</v>
      </c>
      <c r="P60" s="169">
        <v>61509</v>
      </c>
      <c r="Q60" s="169">
        <v>66831</v>
      </c>
      <c r="R60" s="169">
        <v>47237</v>
      </c>
      <c r="S60" s="169">
        <v>34733</v>
      </c>
      <c r="T60" s="169">
        <v>36645</v>
      </c>
      <c r="U60" s="169">
        <v>38967</v>
      </c>
      <c r="V60" s="169">
        <v>53018</v>
      </c>
      <c r="W60" s="169">
        <v>57912</v>
      </c>
      <c r="X60" s="169">
        <v>51106</v>
      </c>
      <c r="Y60" s="169">
        <v>63701</v>
      </c>
      <c r="Z60" s="169">
        <v>67320</v>
      </c>
      <c r="AA60" s="169">
        <v>55598</v>
      </c>
      <c r="AB60" s="169">
        <v>63970</v>
      </c>
      <c r="AC60" s="169">
        <v>65689</v>
      </c>
      <c r="AD60" s="169">
        <v>73997</v>
      </c>
      <c r="AE60" s="169">
        <v>79348</v>
      </c>
      <c r="AF60" s="169">
        <v>71588</v>
      </c>
      <c r="AG60" s="169">
        <v>71597</v>
      </c>
      <c r="AH60" s="169">
        <v>0</v>
      </c>
      <c r="AI60" s="169">
        <v>0</v>
      </c>
      <c r="AJ60" s="169">
        <v>0</v>
      </c>
      <c r="AK60" s="169">
        <v>0</v>
      </c>
      <c r="AL60" s="169">
        <v>0</v>
      </c>
      <c r="AM60" s="169">
        <v>0</v>
      </c>
      <c r="AN60" s="169">
        <v>0</v>
      </c>
      <c r="AO60" s="169">
        <v>0</v>
      </c>
      <c r="AP60" s="170">
        <v>0</v>
      </c>
    </row>
    <row r="61" spans="1:42" x14ac:dyDescent="0.35">
      <c r="A61" s="158" t="s">
        <v>104</v>
      </c>
      <c r="B61" s="158" t="s">
        <v>105</v>
      </c>
      <c r="C61" s="130" t="str">
        <f t="shared" si="0"/>
        <v>1.02.03.03Imobilizado em Andamento</v>
      </c>
      <c r="D61" s="168">
        <v>982677</v>
      </c>
      <c r="E61" s="168">
        <v>946996</v>
      </c>
      <c r="F61" s="168">
        <v>969183</v>
      </c>
      <c r="G61" s="168">
        <v>879907</v>
      </c>
      <c r="H61" s="222">
        <v>831777</v>
      </c>
      <c r="I61" s="168">
        <v>738944</v>
      </c>
      <c r="J61" s="168">
        <v>729658</v>
      </c>
      <c r="K61" s="169">
        <v>750273</v>
      </c>
      <c r="L61" s="168">
        <v>709866</v>
      </c>
      <c r="M61" s="169">
        <v>630933</v>
      </c>
      <c r="N61" s="169">
        <v>628351</v>
      </c>
      <c r="O61" s="169">
        <v>603168</v>
      </c>
      <c r="P61" s="169">
        <v>0</v>
      </c>
      <c r="Q61" s="169">
        <v>0</v>
      </c>
      <c r="R61" s="169">
        <v>0</v>
      </c>
      <c r="S61" s="169">
        <v>0</v>
      </c>
      <c r="T61" s="169">
        <v>0</v>
      </c>
      <c r="U61" s="169">
        <v>0</v>
      </c>
      <c r="V61" s="169">
        <v>0</v>
      </c>
      <c r="W61" s="169">
        <v>0</v>
      </c>
      <c r="X61" s="169">
        <v>0</v>
      </c>
      <c r="Y61" s="169">
        <v>0</v>
      </c>
      <c r="Z61" s="169">
        <v>0</v>
      </c>
      <c r="AA61" s="169">
        <v>0</v>
      </c>
      <c r="AB61" s="169">
        <v>0</v>
      </c>
      <c r="AC61" s="169">
        <v>0</v>
      </c>
      <c r="AD61" s="169">
        <v>0</v>
      </c>
      <c r="AE61" s="169">
        <v>0</v>
      </c>
      <c r="AF61" s="169">
        <v>0</v>
      </c>
      <c r="AG61" s="169">
        <v>0</v>
      </c>
      <c r="AH61" s="169">
        <v>0</v>
      </c>
      <c r="AI61" s="169">
        <v>0</v>
      </c>
      <c r="AJ61" s="169">
        <v>0</v>
      </c>
      <c r="AK61" s="169">
        <v>0</v>
      </c>
      <c r="AL61" s="169">
        <v>0</v>
      </c>
      <c r="AM61" s="169">
        <v>0</v>
      </c>
      <c r="AN61" s="169">
        <v>0</v>
      </c>
      <c r="AO61" s="169">
        <v>0</v>
      </c>
      <c r="AP61" s="170">
        <v>0</v>
      </c>
    </row>
    <row r="62" spans="1:42" x14ac:dyDescent="0.35">
      <c r="A62" s="158" t="s">
        <v>106</v>
      </c>
      <c r="B62" s="158" t="s">
        <v>107</v>
      </c>
      <c r="C62" s="130" t="str">
        <f t="shared" si="0"/>
        <v>1.02.04Intangível</v>
      </c>
      <c r="D62" s="168">
        <v>2188299</v>
      </c>
      <c r="E62" s="168">
        <v>2114215</v>
      </c>
      <c r="F62" s="168">
        <v>2263699</v>
      </c>
      <c r="G62" s="168">
        <v>2194315</v>
      </c>
      <c r="H62" s="222">
        <v>2261408</v>
      </c>
      <c r="I62" s="168">
        <v>2244031</v>
      </c>
      <c r="J62" s="168">
        <v>2360020</v>
      </c>
      <c r="K62" s="169">
        <v>2200702</v>
      </c>
      <c r="L62" s="168">
        <v>2185849</v>
      </c>
      <c r="M62" s="169">
        <v>1992052</v>
      </c>
      <c r="N62" s="169">
        <v>1969307</v>
      </c>
      <c r="O62" s="169">
        <v>1979396</v>
      </c>
      <c r="P62" s="169">
        <v>1951142</v>
      </c>
      <c r="Q62" s="169">
        <v>2053043</v>
      </c>
      <c r="R62" s="169">
        <v>2085571</v>
      </c>
      <c r="S62" s="169">
        <v>2039454</v>
      </c>
      <c r="T62" s="169">
        <v>2078537</v>
      </c>
      <c r="U62" s="169">
        <v>1971695</v>
      </c>
      <c r="V62" s="169">
        <v>2348415</v>
      </c>
      <c r="W62" s="169">
        <v>2309567</v>
      </c>
      <c r="X62" s="169">
        <v>2137136</v>
      </c>
      <c r="Y62" s="169">
        <v>2420960</v>
      </c>
      <c r="Z62" s="169">
        <v>2219880</v>
      </c>
      <c r="AA62" s="169">
        <v>2397686</v>
      </c>
      <c r="AB62" s="169">
        <v>2334121</v>
      </c>
      <c r="AC62" s="169">
        <v>2223453</v>
      </c>
      <c r="AD62" s="169">
        <v>1740135</v>
      </c>
      <c r="AE62" s="169">
        <v>1788900</v>
      </c>
      <c r="AF62" s="169">
        <v>1651821</v>
      </c>
      <c r="AG62" s="169">
        <v>1678263</v>
      </c>
      <c r="AH62" s="169">
        <v>1667080</v>
      </c>
      <c r="AI62" s="169">
        <v>1716135</v>
      </c>
      <c r="AJ62" s="169">
        <v>1652870</v>
      </c>
      <c r="AK62" s="169">
        <v>1428183</v>
      </c>
      <c r="AL62" s="169">
        <v>1420424</v>
      </c>
      <c r="AM62" s="169">
        <v>1361454</v>
      </c>
      <c r="AN62" s="169">
        <v>1419257</v>
      </c>
      <c r="AO62" s="169">
        <v>1361066</v>
      </c>
      <c r="AP62" s="170">
        <v>1402045</v>
      </c>
    </row>
    <row r="63" spans="1:42" x14ac:dyDescent="0.35">
      <c r="A63" s="158" t="s">
        <v>108</v>
      </c>
      <c r="B63" s="158" t="s">
        <v>109</v>
      </c>
      <c r="C63" s="130" t="str">
        <f t="shared" si="0"/>
        <v>1.02.04.01Intangíveis</v>
      </c>
      <c r="D63" s="168">
        <v>2188299</v>
      </c>
      <c r="E63" s="168">
        <v>2114215</v>
      </c>
      <c r="F63" s="168">
        <v>2263699</v>
      </c>
      <c r="G63" s="168">
        <v>2194315</v>
      </c>
      <c r="H63" s="222">
        <v>2261408</v>
      </c>
      <c r="I63" s="168">
        <v>2244031</v>
      </c>
      <c r="J63" s="168">
        <v>2360020</v>
      </c>
      <c r="K63" s="169">
        <v>2200702</v>
      </c>
      <c r="L63" s="168">
        <v>2185849</v>
      </c>
      <c r="M63" s="169">
        <v>1992052</v>
      </c>
      <c r="N63" s="169">
        <v>1969307</v>
      </c>
      <c r="O63" s="169">
        <v>1979396</v>
      </c>
      <c r="P63" s="169">
        <v>1951142</v>
      </c>
      <c r="Q63" s="169">
        <v>2053043</v>
      </c>
      <c r="R63" s="169">
        <v>2085571</v>
      </c>
      <c r="S63" s="169">
        <v>2039454</v>
      </c>
      <c r="T63" s="169">
        <v>2078537</v>
      </c>
      <c r="U63" s="169">
        <v>1971695</v>
      </c>
      <c r="V63" s="169">
        <v>2348415</v>
      </c>
      <c r="W63" s="169">
        <v>2309567</v>
      </c>
      <c r="X63" s="169">
        <v>2137136</v>
      </c>
      <c r="Y63" s="169">
        <v>2420960</v>
      </c>
      <c r="Z63" s="169">
        <v>2219880</v>
      </c>
      <c r="AA63" s="169">
        <v>2397686</v>
      </c>
      <c r="AB63" s="169">
        <v>2334121</v>
      </c>
      <c r="AC63" s="169">
        <v>2223453</v>
      </c>
      <c r="AD63" s="169">
        <v>1740135</v>
      </c>
      <c r="AE63" s="169">
        <v>1788900</v>
      </c>
      <c r="AF63" s="169">
        <v>1651821</v>
      </c>
      <c r="AG63" s="169">
        <v>1678263</v>
      </c>
      <c r="AH63" s="169">
        <v>1667080</v>
      </c>
      <c r="AI63" s="169">
        <v>1716135</v>
      </c>
      <c r="AJ63" s="169">
        <v>1652870</v>
      </c>
      <c r="AK63" s="169">
        <v>1428183</v>
      </c>
      <c r="AL63" s="169">
        <v>1420424</v>
      </c>
      <c r="AM63" s="169">
        <v>1361454</v>
      </c>
      <c r="AN63" s="169">
        <v>1419257</v>
      </c>
      <c r="AO63" s="169">
        <v>1361066</v>
      </c>
      <c r="AP63" s="170">
        <v>1402045</v>
      </c>
    </row>
    <row r="64" spans="1:42" x14ac:dyDescent="0.35">
      <c r="A64" s="158" t="s">
        <v>110</v>
      </c>
      <c r="B64" s="158" t="s">
        <v>111</v>
      </c>
      <c r="C64" s="130" t="str">
        <f t="shared" si="0"/>
        <v>1.02.04.01.01Contrato de Concessão</v>
      </c>
      <c r="D64" s="168">
        <v>0</v>
      </c>
      <c r="E64" s="168">
        <v>0</v>
      </c>
      <c r="F64" s="168">
        <v>0</v>
      </c>
      <c r="G64" s="168">
        <v>0</v>
      </c>
      <c r="H64" s="168">
        <v>0</v>
      </c>
      <c r="I64" s="168">
        <v>0</v>
      </c>
      <c r="J64" s="168">
        <v>0</v>
      </c>
      <c r="K64" s="169">
        <v>0</v>
      </c>
      <c r="L64" s="168">
        <v>0</v>
      </c>
      <c r="M64" s="169">
        <v>0</v>
      </c>
      <c r="N64" s="169">
        <v>0</v>
      </c>
      <c r="O64" s="169">
        <v>0</v>
      </c>
      <c r="P64" s="169">
        <v>0</v>
      </c>
      <c r="Q64" s="169">
        <v>0</v>
      </c>
      <c r="R64" s="169">
        <v>0</v>
      </c>
      <c r="S64" s="169">
        <v>0</v>
      </c>
      <c r="T64" s="169">
        <v>0</v>
      </c>
      <c r="U64" s="169">
        <v>0</v>
      </c>
      <c r="V64" s="169">
        <v>0</v>
      </c>
      <c r="W64" s="169">
        <v>0</v>
      </c>
      <c r="X64" s="169">
        <v>0</v>
      </c>
      <c r="Y64" s="169">
        <v>0</v>
      </c>
      <c r="Z64" s="169">
        <v>0</v>
      </c>
      <c r="AA64" s="169">
        <v>0</v>
      </c>
      <c r="AB64" s="169">
        <v>0</v>
      </c>
      <c r="AC64" s="169">
        <v>0</v>
      </c>
      <c r="AD64" s="169">
        <v>0</v>
      </c>
      <c r="AE64" s="169">
        <v>0</v>
      </c>
      <c r="AF64" s="169">
        <v>0</v>
      </c>
      <c r="AG64" s="169">
        <v>0</v>
      </c>
      <c r="AH64" s="169">
        <v>0</v>
      </c>
      <c r="AI64" s="169">
        <v>0</v>
      </c>
      <c r="AJ64" s="169">
        <v>0</v>
      </c>
      <c r="AK64" s="169">
        <v>0</v>
      </c>
      <c r="AL64" s="169">
        <v>0</v>
      </c>
      <c r="AM64" s="169">
        <v>0</v>
      </c>
      <c r="AN64" s="169">
        <v>0</v>
      </c>
      <c r="AO64" s="169">
        <v>0</v>
      </c>
      <c r="AP64" s="170">
        <v>0</v>
      </c>
    </row>
    <row r="65" spans="1:42" x14ac:dyDescent="0.35">
      <c r="A65" s="158" t="s">
        <v>112</v>
      </c>
      <c r="B65" s="158" t="s">
        <v>370</v>
      </c>
      <c r="C65" s="130" t="str">
        <f t="shared" si="0"/>
        <v>1.02.04.01.02Ágio na Aquisição de Participação</v>
      </c>
      <c r="D65" s="168">
        <v>1980946</v>
      </c>
      <c r="E65" s="168">
        <v>0</v>
      </c>
      <c r="F65" s="168">
        <v>2041241</v>
      </c>
      <c r="G65" s="168">
        <v>1971115</v>
      </c>
      <c r="H65" s="222">
        <v>2026183</v>
      </c>
      <c r="I65" s="168">
        <v>2005809</v>
      </c>
      <c r="J65" s="168">
        <v>2105730</v>
      </c>
      <c r="K65" s="169">
        <v>1946666</v>
      </c>
      <c r="L65" s="168">
        <v>1931974</v>
      </c>
      <c r="M65" s="169">
        <v>1748752</v>
      </c>
      <c r="N65" s="169">
        <v>1722257</v>
      </c>
      <c r="O65" s="169">
        <v>1728028</v>
      </c>
      <c r="P65" s="169">
        <v>1700036</v>
      </c>
      <c r="Q65" s="169">
        <v>1785833</v>
      </c>
      <c r="R65" s="169">
        <v>1810204</v>
      </c>
      <c r="S65" s="169">
        <v>1767434</v>
      </c>
      <c r="T65" s="169">
        <v>1793250</v>
      </c>
      <c r="U65" s="169">
        <v>1690103</v>
      </c>
      <c r="V65" s="169">
        <v>2016206</v>
      </c>
      <c r="W65" s="169">
        <v>1996431</v>
      </c>
      <c r="X65" s="169">
        <v>1837596</v>
      </c>
      <c r="Y65" s="169">
        <v>181870</v>
      </c>
      <c r="Z65" s="169">
        <v>1908256</v>
      </c>
      <c r="AA65" s="169">
        <v>584915</v>
      </c>
      <c r="AB65" s="169">
        <v>525080</v>
      </c>
      <c r="AC65" s="169">
        <v>424336</v>
      </c>
      <c r="AD65" s="169">
        <v>56636</v>
      </c>
      <c r="AE65" s="169">
        <v>1533221</v>
      </c>
      <c r="AF65" s="169">
        <v>1412532</v>
      </c>
      <c r="AG65" s="169">
        <v>1435966</v>
      </c>
      <c r="AH65" s="169">
        <v>1428010</v>
      </c>
      <c r="AI65" s="169">
        <v>1474912</v>
      </c>
      <c r="AJ65" s="169">
        <v>1421107</v>
      </c>
      <c r="AK65" s="169">
        <v>1227934</v>
      </c>
      <c r="AL65" s="169">
        <v>1222194</v>
      </c>
      <c r="AM65" s="169">
        <v>1171329</v>
      </c>
      <c r="AN65" s="169">
        <v>1222266</v>
      </c>
      <c r="AO65" s="169">
        <v>1171477</v>
      </c>
      <c r="AP65" s="170">
        <v>1204428</v>
      </c>
    </row>
    <row r="66" spans="1:42" x14ac:dyDescent="0.35">
      <c r="A66" s="158" t="s">
        <v>113</v>
      </c>
      <c r="B66" s="158" t="s">
        <v>114</v>
      </c>
      <c r="C66" s="130" t="str">
        <f t="shared" si="0"/>
        <v>1.02.04.01.03Software</v>
      </c>
      <c r="D66" s="168">
        <v>71455</v>
      </c>
      <c r="E66" s="168">
        <v>61244</v>
      </c>
      <c r="F66" s="168">
        <v>61891</v>
      </c>
      <c r="G66" s="168">
        <v>62533</v>
      </c>
      <c r="H66" s="222">
        <v>63638</v>
      </c>
      <c r="I66" s="168">
        <v>64938</v>
      </c>
      <c r="J66" s="168">
        <v>67548</v>
      </c>
      <c r="K66" s="169">
        <v>68897</v>
      </c>
      <c r="L66" s="168">
        <v>70259</v>
      </c>
      <c r="M66" s="169">
        <v>71970</v>
      </c>
      <c r="N66" s="169">
        <v>72548</v>
      </c>
      <c r="O66" s="169">
        <v>72774</v>
      </c>
      <c r="P66" s="169">
        <v>69249</v>
      </c>
      <c r="Q66" s="169">
        <v>70577</v>
      </c>
      <c r="R66" s="169">
        <v>71511</v>
      </c>
      <c r="S66" s="169">
        <v>71352</v>
      </c>
      <c r="T66" s="169">
        <v>72962</v>
      </c>
      <c r="U66" s="169">
        <v>73589</v>
      </c>
      <c r="V66" s="169">
        <v>75841</v>
      </c>
      <c r="W66" s="169">
        <v>73128</v>
      </c>
      <c r="X66" s="169">
        <v>74024</v>
      </c>
      <c r="Y66" s="169">
        <v>68861</v>
      </c>
      <c r="Z66" s="169">
        <v>67669</v>
      </c>
      <c r="AA66" s="169">
        <v>58149</v>
      </c>
      <c r="AB66" s="169">
        <v>57934</v>
      </c>
      <c r="AC66" s="169">
        <v>56857</v>
      </c>
      <c r="AD66" s="169">
        <v>51529</v>
      </c>
      <c r="AE66" s="169">
        <v>43367</v>
      </c>
      <c r="AF66" s="169">
        <v>41692</v>
      </c>
      <c r="AG66" s="169">
        <v>39102</v>
      </c>
      <c r="AH66" s="169">
        <v>35044</v>
      </c>
      <c r="AI66" s="169">
        <v>28149</v>
      </c>
      <c r="AJ66" s="169">
        <v>24424</v>
      </c>
      <c r="AK66" s="169">
        <v>19466</v>
      </c>
      <c r="AL66" s="169">
        <v>17000</v>
      </c>
      <c r="AM66" s="169">
        <v>14919</v>
      </c>
      <c r="AN66" s="169">
        <v>12545</v>
      </c>
      <c r="AO66" s="169">
        <v>11406</v>
      </c>
      <c r="AP66" s="170">
        <v>13147</v>
      </c>
    </row>
    <row r="67" spans="1:42" x14ac:dyDescent="0.35">
      <c r="A67" s="158" t="s">
        <v>371</v>
      </c>
      <c r="B67" s="158" t="s">
        <v>372</v>
      </c>
      <c r="C67" s="130" t="str">
        <f t="shared" si="0"/>
        <v>1.02.04.01.04Outros Intangíveis</v>
      </c>
      <c r="D67" s="168">
        <v>135898</v>
      </c>
      <c r="E67" s="168">
        <v>2052971</v>
      </c>
      <c r="F67" s="168">
        <v>160567</v>
      </c>
      <c r="G67" s="168">
        <v>160667</v>
      </c>
      <c r="H67" s="222">
        <v>171587</v>
      </c>
      <c r="I67" s="168">
        <v>173284</v>
      </c>
      <c r="J67" s="168">
        <v>186742</v>
      </c>
      <c r="K67" s="169">
        <v>185139</v>
      </c>
      <c r="L67" s="168">
        <v>183616</v>
      </c>
      <c r="M67" s="169">
        <v>171330</v>
      </c>
      <c r="N67" s="169">
        <v>174502</v>
      </c>
      <c r="O67" s="169">
        <v>178594</v>
      </c>
      <c r="P67" s="169">
        <v>181857</v>
      </c>
      <c r="Q67" s="169">
        <v>196633</v>
      </c>
      <c r="R67" s="169">
        <v>203856</v>
      </c>
      <c r="S67" s="169">
        <v>200668</v>
      </c>
      <c r="T67" s="169">
        <v>212325</v>
      </c>
      <c r="U67" s="169">
        <v>208003</v>
      </c>
      <c r="V67" s="169">
        <v>256368</v>
      </c>
      <c r="W67" s="169">
        <v>240008</v>
      </c>
      <c r="X67" s="169">
        <v>225516</v>
      </c>
      <c r="Y67" s="169">
        <v>2170229</v>
      </c>
      <c r="Z67" s="169">
        <v>243955</v>
      </c>
      <c r="AA67" s="169">
        <v>1754622</v>
      </c>
      <c r="AB67" s="169">
        <v>1751107</v>
      </c>
      <c r="AC67" s="169">
        <v>1742260</v>
      </c>
      <c r="AD67" s="169">
        <v>1631970</v>
      </c>
      <c r="AE67" s="169">
        <v>212312</v>
      </c>
      <c r="AF67" s="169">
        <v>197597</v>
      </c>
      <c r="AG67" s="169">
        <v>203195</v>
      </c>
      <c r="AH67" s="169">
        <v>204026</v>
      </c>
      <c r="AI67" s="169">
        <v>213074</v>
      </c>
      <c r="AJ67" s="169">
        <v>207339</v>
      </c>
      <c r="AK67" s="169">
        <v>180783</v>
      </c>
      <c r="AL67" s="169">
        <v>181230</v>
      </c>
      <c r="AM67" s="169">
        <v>175206</v>
      </c>
      <c r="AN67" s="169">
        <v>184446</v>
      </c>
      <c r="AO67" s="169">
        <v>178183</v>
      </c>
      <c r="AP67" s="170">
        <v>184470</v>
      </c>
    </row>
    <row r="68" spans="1:42" x14ac:dyDescent="0.35">
      <c r="A68" s="158" t="s">
        <v>373</v>
      </c>
      <c r="B68" s="158" t="s">
        <v>374</v>
      </c>
      <c r="C68" s="130" t="str">
        <f t="shared" ref="C68:C131" si="1">CONCATENATE(A68,B68)</f>
        <v>1.02.04.02Goodwill</v>
      </c>
      <c r="D68" s="168">
        <v>0</v>
      </c>
      <c r="E68" s="168">
        <v>0</v>
      </c>
      <c r="F68" s="168">
        <v>0</v>
      </c>
      <c r="G68" s="168">
        <v>0</v>
      </c>
      <c r="H68" s="168">
        <v>0</v>
      </c>
      <c r="I68" s="168">
        <v>0</v>
      </c>
      <c r="J68" s="168">
        <v>0</v>
      </c>
      <c r="K68" s="169">
        <v>0</v>
      </c>
      <c r="L68" s="168">
        <v>0</v>
      </c>
      <c r="M68" s="169">
        <v>0</v>
      </c>
      <c r="N68" s="169">
        <v>0</v>
      </c>
      <c r="O68" s="169">
        <v>0</v>
      </c>
      <c r="P68" s="169">
        <v>0</v>
      </c>
      <c r="Q68" s="169">
        <v>0</v>
      </c>
      <c r="R68" s="169"/>
      <c r="S68" s="169">
        <v>0</v>
      </c>
      <c r="T68" s="169">
        <v>0</v>
      </c>
      <c r="U68" s="169">
        <v>0</v>
      </c>
      <c r="V68" s="169">
        <v>0</v>
      </c>
      <c r="W68" s="169">
        <v>0</v>
      </c>
      <c r="X68" s="169">
        <v>0</v>
      </c>
      <c r="Y68" s="169">
        <v>0</v>
      </c>
      <c r="Z68" s="169">
        <v>0</v>
      </c>
      <c r="AA68" s="169">
        <v>0</v>
      </c>
      <c r="AB68" s="169">
        <v>0</v>
      </c>
      <c r="AC68" s="169">
        <v>0</v>
      </c>
      <c r="AD68" s="169">
        <v>0</v>
      </c>
      <c r="AE68" s="169">
        <v>0</v>
      </c>
      <c r="AF68" s="169">
        <v>0</v>
      </c>
      <c r="AG68" s="169">
        <v>0</v>
      </c>
      <c r="AH68" s="169">
        <v>0</v>
      </c>
      <c r="AI68" s="169">
        <v>0</v>
      </c>
      <c r="AJ68" s="169">
        <v>0</v>
      </c>
      <c r="AK68" s="169">
        <v>0</v>
      </c>
      <c r="AL68" s="169">
        <v>0</v>
      </c>
      <c r="AM68" s="169">
        <v>0</v>
      </c>
      <c r="AN68" s="169">
        <v>0</v>
      </c>
      <c r="AO68" s="169">
        <v>0</v>
      </c>
      <c r="AP68" s="170">
        <v>0</v>
      </c>
    </row>
    <row r="69" spans="1:42" collapsed="1" x14ac:dyDescent="0.35">
      <c r="A69" s="158" t="s">
        <v>115</v>
      </c>
      <c r="B69" s="158" t="s">
        <v>116</v>
      </c>
      <c r="C69" s="130" t="str">
        <f t="shared" si="1"/>
        <v>2Passivo Total</v>
      </c>
      <c r="D69" s="168">
        <v>14927627</v>
      </c>
      <c r="E69" s="168">
        <v>14555533</v>
      </c>
      <c r="F69" s="168">
        <v>14392484</v>
      </c>
      <c r="G69" s="168">
        <v>14452673</v>
      </c>
      <c r="H69" s="222">
        <v>14920051</v>
      </c>
      <c r="I69" s="168">
        <v>15329139</v>
      </c>
      <c r="J69" s="168">
        <v>15961371</v>
      </c>
      <c r="K69" s="169">
        <v>15308507</v>
      </c>
      <c r="L69" s="168">
        <v>15293669</v>
      </c>
      <c r="M69" s="169">
        <v>14403303</v>
      </c>
      <c r="N69" s="169">
        <v>14534116</v>
      </c>
      <c r="O69" s="169">
        <v>15080242</v>
      </c>
      <c r="P69" s="169">
        <v>14330225</v>
      </c>
      <c r="Q69" s="169">
        <v>15467653</v>
      </c>
      <c r="R69" s="169">
        <v>15195455</v>
      </c>
      <c r="S69" s="169">
        <v>15197696</v>
      </c>
      <c r="T69" s="169">
        <v>14914335</v>
      </c>
      <c r="U69" s="169">
        <v>13552849</v>
      </c>
      <c r="V69" s="169">
        <v>14519530</v>
      </c>
      <c r="W69" s="169">
        <v>14431473</v>
      </c>
      <c r="X69" s="169">
        <v>13203278</v>
      </c>
      <c r="Y69" s="169">
        <v>13652232</v>
      </c>
      <c r="Z69" s="169">
        <v>12411803</v>
      </c>
      <c r="AA69" s="169">
        <v>13010400</v>
      </c>
      <c r="AB69" s="169">
        <v>11892587</v>
      </c>
      <c r="AC69" s="169">
        <v>11717177</v>
      </c>
      <c r="AD69" s="169">
        <v>9375411</v>
      </c>
      <c r="AE69" s="169">
        <v>10022525</v>
      </c>
      <c r="AF69" s="169">
        <v>9236750</v>
      </c>
      <c r="AG69" s="169">
        <v>9440143</v>
      </c>
      <c r="AH69" s="169">
        <v>9019190</v>
      </c>
      <c r="AI69" s="169">
        <v>9239909</v>
      </c>
      <c r="AJ69" s="169">
        <v>8905486</v>
      </c>
      <c r="AK69" s="169">
        <v>8510350</v>
      </c>
      <c r="AL69" s="169">
        <v>7922248</v>
      </c>
      <c r="AM69" s="169">
        <v>7671825</v>
      </c>
      <c r="AN69" s="169">
        <v>7892553</v>
      </c>
      <c r="AO69" s="169">
        <v>7424542</v>
      </c>
      <c r="AP69" s="170">
        <v>7057115</v>
      </c>
    </row>
    <row r="70" spans="1:42" x14ac:dyDescent="0.35">
      <c r="A70" s="158" t="s">
        <v>117</v>
      </c>
      <c r="B70" s="158" t="s">
        <v>118</v>
      </c>
      <c r="C70" s="130" t="str">
        <f t="shared" si="1"/>
        <v>2.01Passivo Circulante</v>
      </c>
      <c r="D70" s="168">
        <v>4120529</v>
      </c>
      <c r="E70" s="168">
        <v>3836016</v>
      </c>
      <c r="F70" s="168">
        <v>3498964</v>
      </c>
      <c r="G70" s="168">
        <v>3788562</v>
      </c>
      <c r="H70" s="222">
        <v>4128227</v>
      </c>
      <c r="I70" s="168">
        <v>4461073</v>
      </c>
      <c r="J70" s="168">
        <v>4306159</v>
      </c>
      <c r="K70" s="169">
        <v>4800188</v>
      </c>
      <c r="L70" s="168">
        <v>4708332</v>
      </c>
      <c r="M70" s="169">
        <v>4685928</v>
      </c>
      <c r="N70" s="169">
        <v>4617386</v>
      </c>
      <c r="O70" s="169">
        <v>5105334</v>
      </c>
      <c r="P70" s="169">
        <v>5134119</v>
      </c>
      <c r="Q70" s="169">
        <v>5655709</v>
      </c>
      <c r="R70" s="169">
        <v>4768463</v>
      </c>
      <c r="S70" s="169">
        <v>5076040</v>
      </c>
      <c r="T70" s="169">
        <v>4993647</v>
      </c>
      <c r="U70" s="169">
        <v>5201765</v>
      </c>
      <c r="V70" s="169">
        <v>5166728</v>
      </c>
      <c r="W70" s="169">
        <v>5251184</v>
      </c>
      <c r="X70" s="169">
        <v>4781777</v>
      </c>
      <c r="Y70" s="169">
        <v>6139477</v>
      </c>
      <c r="Z70" s="169">
        <v>4352451</v>
      </c>
      <c r="AA70" s="169">
        <v>4693039</v>
      </c>
      <c r="AB70" s="169">
        <v>3602714</v>
      </c>
      <c r="AC70" s="169">
        <v>3694293</v>
      </c>
      <c r="AD70" s="169">
        <v>2583618</v>
      </c>
      <c r="AE70" s="169">
        <v>2915325</v>
      </c>
      <c r="AF70" s="169">
        <v>2853138</v>
      </c>
      <c r="AG70" s="169">
        <v>3099445</v>
      </c>
      <c r="AH70" s="169">
        <v>3261829</v>
      </c>
      <c r="AI70" s="169">
        <v>3373065</v>
      </c>
      <c r="AJ70" s="169">
        <v>3205581</v>
      </c>
      <c r="AK70" s="169">
        <v>3109840</v>
      </c>
      <c r="AL70" s="169">
        <v>3060854</v>
      </c>
      <c r="AM70" s="169">
        <v>2814111</v>
      </c>
      <c r="AN70" s="169">
        <v>2889021</v>
      </c>
      <c r="AO70" s="169">
        <v>2264413</v>
      </c>
      <c r="AP70" s="170">
        <v>2521719</v>
      </c>
    </row>
    <row r="71" spans="1:42" x14ac:dyDescent="0.35">
      <c r="A71" s="158" t="s">
        <v>119</v>
      </c>
      <c r="B71" s="158" t="s">
        <v>120</v>
      </c>
      <c r="C71" s="130" t="str">
        <f t="shared" si="1"/>
        <v>2.01.01Obrigações Sociais e Trabalhistas</v>
      </c>
      <c r="D71" s="168">
        <v>559457</v>
      </c>
      <c r="E71" s="168">
        <v>560309</v>
      </c>
      <c r="F71" s="168">
        <v>496288</v>
      </c>
      <c r="G71" s="168">
        <v>579471</v>
      </c>
      <c r="H71" s="222">
        <v>552854</v>
      </c>
      <c r="I71" s="168">
        <v>591797</v>
      </c>
      <c r="J71" s="168">
        <v>526158</v>
      </c>
      <c r="K71" s="169">
        <v>550070</v>
      </c>
      <c r="L71" s="168">
        <v>506597</v>
      </c>
      <c r="M71" s="169">
        <v>512995</v>
      </c>
      <c r="N71" s="169">
        <v>451023</v>
      </c>
      <c r="O71" s="169">
        <v>507656</v>
      </c>
      <c r="P71" s="169">
        <v>452827</v>
      </c>
      <c r="Q71" s="169">
        <v>559435</v>
      </c>
      <c r="R71" s="169">
        <v>502106</v>
      </c>
      <c r="S71" s="169">
        <v>536154</v>
      </c>
      <c r="T71" s="169">
        <v>473075</v>
      </c>
      <c r="U71" s="169">
        <v>432490</v>
      </c>
      <c r="V71" s="169">
        <v>507948</v>
      </c>
      <c r="W71" s="169">
        <v>536995</v>
      </c>
      <c r="X71" s="169">
        <v>441451</v>
      </c>
      <c r="Y71" s="169">
        <v>399131</v>
      </c>
      <c r="Z71" s="169">
        <v>318632</v>
      </c>
      <c r="AA71" s="169">
        <v>376733</v>
      </c>
      <c r="AB71" s="169">
        <v>351672</v>
      </c>
      <c r="AC71" s="169">
        <v>326755</v>
      </c>
      <c r="AD71" s="169">
        <v>322088</v>
      </c>
      <c r="AE71" s="169">
        <v>361974</v>
      </c>
      <c r="AF71" s="169">
        <v>326890</v>
      </c>
      <c r="AG71" s="169">
        <v>306076</v>
      </c>
      <c r="AH71" s="169">
        <v>328271</v>
      </c>
      <c r="AI71" s="169">
        <v>340311</v>
      </c>
      <c r="AJ71" s="169">
        <v>297134</v>
      </c>
      <c r="AK71" s="169">
        <v>250939</v>
      </c>
      <c r="AL71" s="169">
        <v>251936</v>
      </c>
      <c r="AM71" s="169">
        <v>257416</v>
      </c>
      <c r="AN71" s="169">
        <v>232666</v>
      </c>
      <c r="AO71" s="169">
        <v>234467</v>
      </c>
      <c r="AP71" s="170">
        <v>203829</v>
      </c>
    </row>
    <row r="72" spans="1:42" x14ac:dyDescent="0.35">
      <c r="A72" s="158" t="s">
        <v>121</v>
      </c>
      <c r="B72" s="158" t="s">
        <v>122</v>
      </c>
      <c r="C72" s="130" t="str">
        <f t="shared" si="1"/>
        <v>2.01.01.01Obrigações Sociais</v>
      </c>
      <c r="D72" s="168">
        <v>0</v>
      </c>
      <c r="E72" s="168">
        <v>0</v>
      </c>
      <c r="F72" s="168">
        <v>0</v>
      </c>
      <c r="G72" s="168">
        <v>0</v>
      </c>
      <c r="H72" s="168">
        <v>0</v>
      </c>
      <c r="I72" s="168">
        <v>0</v>
      </c>
      <c r="J72" s="168">
        <v>0</v>
      </c>
      <c r="K72" s="169">
        <v>0</v>
      </c>
      <c r="L72" s="168">
        <v>0</v>
      </c>
      <c r="M72" s="169">
        <v>0</v>
      </c>
      <c r="N72" s="169">
        <v>0</v>
      </c>
      <c r="O72" s="169">
        <v>0</v>
      </c>
      <c r="P72" s="169">
        <v>0</v>
      </c>
      <c r="Q72" s="169">
        <v>0</v>
      </c>
      <c r="R72" s="169">
        <v>0</v>
      </c>
      <c r="S72" s="169">
        <v>0</v>
      </c>
      <c r="T72" s="169">
        <v>0</v>
      </c>
      <c r="U72" s="169">
        <v>0</v>
      </c>
      <c r="V72" s="169">
        <v>0</v>
      </c>
      <c r="W72" s="169">
        <v>0</v>
      </c>
      <c r="X72" s="169">
        <v>0</v>
      </c>
      <c r="Y72" s="169">
        <v>0</v>
      </c>
      <c r="Z72" s="169">
        <v>0</v>
      </c>
      <c r="AA72" s="169">
        <v>0</v>
      </c>
      <c r="AB72" s="169">
        <v>0</v>
      </c>
      <c r="AC72" s="169">
        <v>0</v>
      </c>
      <c r="AD72" s="169">
        <v>0</v>
      </c>
      <c r="AE72" s="169">
        <v>0</v>
      </c>
      <c r="AF72" s="169">
        <v>0</v>
      </c>
      <c r="AG72" s="169">
        <v>0</v>
      </c>
      <c r="AH72" s="169">
        <v>0</v>
      </c>
      <c r="AI72" s="169">
        <v>0</v>
      </c>
      <c r="AJ72" s="169">
        <v>0</v>
      </c>
      <c r="AK72" s="169">
        <v>0</v>
      </c>
      <c r="AL72" s="169">
        <v>0</v>
      </c>
      <c r="AM72" s="169">
        <v>0</v>
      </c>
      <c r="AN72" s="169">
        <v>0</v>
      </c>
      <c r="AO72" s="169">
        <v>0</v>
      </c>
      <c r="AP72" s="170">
        <v>0</v>
      </c>
    </row>
    <row r="73" spans="1:42" x14ac:dyDescent="0.35">
      <c r="A73" s="158" t="s">
        <v>123</v>
      </c>
      <c r="B73" s="158" t="s">
        <v>124</v>
      </c>
      <c r="C73" s="130" t="str">
        <f t="shared" si="1"/>
        <v>2.01.01.02Obrigações Trabalhistas</v>
      </c>
      <c r="D73" s="168">
        <v>559457</v>
      </c>
      <c r="E73" s="168">
        <v>560309</v>
      </c>
      <c r="F73" s="168">
        <v>496288</v>
      </c>
      <c r="G73" s="168">
        <v>579471</v>
      </c>
      <c r="H73" s="222">
        <v>552854</v>
      </c>
      <c r="I73" s="168">
        <v>591797</v>
      </c>
      <c r="J73" s="168">
        <v>526158</v>
      </c>
      <c r="K73" s="169">
        <v>550070</v>
      </c>
      <c r="L73" s="168">
        <v>506597</v>
      </c>
      <c r="M73" s="169">
        <v>512995</v>
      </c>
      <c r="N73" s="169">
        <v>451023</v>
      </c>
      <c r="O73" s="169">
        <v>507656</v>
      </c>
      <c r="P73" s="169">
        <v>452827</v>
      </c>
      <c r="Q73" s="169">
        <v>559435</v>
      </c>
      <c r="R73" s="169">
        <v>502106</v>
      </c>
      <c r="S73" s="169">
        <v>536154</v>
      </c>
      <c r="T73" s="169">
        <v>473075</v>
      </c>
      <c r="U73" s="169">
        <v>432490</v>
      </c>
      <c r="V73" s="169">
        <v>507948</v>
      </c>
      <c r="W73" s="169">
        <v>536995</v>
      </c>
      <c r="X73" s="169">
        <v>441451</v>
      </c>
      <c r="Y73" s="169">
        <v>399131</v>
      </c>
      <c r="Z73" s="169">
        <v>318632</v>
      </c>
      <c r="AA73" s="169">
        <v>376733</v>
      </c>
      <c r="AB73" s="169">
        <v>351672</v>
      </c>
      <c r="AC73" s="169">
        <v>326755</v>
      </c>
      <c r="AD73" s="169">
        <v>322088</v>
      </c>
      <c r="AE73" s="169">
        <v>361974</v>
      </c>
      <c r="AF73" s="169">
        <v>326890</v>
      </c>
      <c r="AG73" s="169">
        <v>306076</v>
      </c>
      <c r="AH73" s="169">
        <v>328271</v>
      </c>
      <c r="AI73" s="169">
        <v>340311</v>
      </c>
      <c r="AJ73" s="169">
        <v>297134</v>
      </c>
      <c r="AK73" s="169">
        <v>250939</v>
      </c>
      <c r="AL73" s="169">
        <v>251936</v>
      </c>
      <c r="AM73" s="169">
        <v>257416</v>
      </c>
      <c r="AN73" s="169">
        <v>232666</v>
      </c>
      <c r="AO73" s="169">
        <v>234467</v>
      </c>
      <c r="AP73" s="170">
        <v>203829</v>
      </c>
    </row>
    <row r="74" spans="1:42" x14ac:dyDescent="0.35">
      <c r="A74" s="158" t="s">
        <v>125</v>
      </c>
      <c r="B74" s="158" t="s">
        <v>126</v>
      </c>
      <c r="C74" s="130" t="str">
        <f t="shared" si="1"/>
        <v>2.01.01.02.01Obrigações trabalhistas e previdênciárias</v>
      </c>
      <c r="D74" s="169">
        <v>361409</v>
      </c>
      <c r="E74" s="169">
        <v>397926</v>
      </c>
      <c r="F74" s="169">
        <v>378708</v>
      </c>
      <c r="G74" s="169">
        <v>361146</v>
      </c>
      <c r="H74" s="222">
        <v>356664</v>
      </c>
      <c r="I74" s="168">
        <v>422106</v>
      </c>
      <c r="J74" s="168">
        <v>389381</v>
      </c>
      <c r="K74" s="169">
        <v>338798</v>
      </c>
      <c r="L74" s="168">
        <v>316823</v>
      </c>
      <c r="M74" s="169">
        <v>351716</v>
      </c>
      <c r="N74" s="169">
        <v>323370</v>
      </c>
      <c r="O74" s="169">
        <v>308747</v>
      </c>
      <c r="P74" s="169">
        <v>274066</v>
      </c>
      <c r="Q74" s="169">
        <v>407091</v>
      </c>
      <c r="R74" s="169">
        <v>382382</v>
      </c>
      <c r="S74" s="169">
        <v>339989</v>
      </c>
      <c r="T74" s="169">
        <v>299019</v>
      </c>
      <c r="U74" s="169">
        <v>286356</v>
      </c>
      <c r="V74" s="169">
        <v>395998</v>
      </c>
      <c r="W74" s="169">
        <v>361011</v>
      </c>
      <c r="X74" s="169">
        <v>294773</v>
      </c>
      <c r="Y74" s="169">
        <v>276056</v>
      </c>
      <c r="Z74" s="169">
        <v>236383</v>
      </c>
      <c r="AA74" s="169">
        <v>252905</v>
      </c>
      <c r="AB74" s="169">
        <v>254244</v>
      </c>
      <c r="AC74" s="169">
        <v>221478</v>
      </c>
      <c r="AD74" s="169">
        <v>239012</v>
      </c>
      <c r="AE74" s="169">
        <v>216525</v>
      </c>
      <c r="AF74" s="169">
        <v>194728</v>
      </c>
      <c r="AG74" s="169">
        <v>193602</v>
      </c>
      <c r="AH74" s="169">
        <v>235283</v>
      </c>
      <c r="AI74" s="169">
        <v>212423</v>
      </c>
      <c r="AJ74" s="169">
        <v>185339</v>
      </c>
      <c r="AK74" s="169">
        <v>158829</v>
      </c>
      <c r="AL74" s="169">
        <v>182667</v>
      </c>
      <c r="AM74" s="169">
        <v>152894</v>
      </c>
      <c r="AN74" s="169">
        <v>142521</v>
      </c>
      <c r="AO74" s="169">
        <v>163019</v>
      </c>
      <c r="AP74" s="170">
        <v>150110</v>
      </c>
    </row>
    <row r="75" spans="1:42" x14ac:dyDescent="0.35">
      <c r="A75" s="158" t="s">
        <v>127</v>
      </c>
      <c r="B75" s="158" t="s">
        <v>128</v>
      </c>
      <c r="C75" s="130" t="str">
        <f t="shared" si="1"/>
        <v>2.01.01.02.02Provisão de férias e encargos</v>
      </c>
      <c r="D75" s="169">
        <v>198048</v>
      </c>
      <c r="E75" s="169">
        <v>162383</v>
      </c>
      <c r="F75" s="169">
        <v>117580</v>
      </c>
      <c r="G75" s="169">
        <v>218325</v>
      </c>
      <c r="H75" s="222">
        <v>196190</v>
      </c>
      <c r="I75" s="168">
        <v>169691</v>
      </c>
      <c r="J75" s="168">
        <v>136777</v>
      </c>
      <c r="K75" s="169">
        <v>211272</v>
      </c>
      <c r="L75" s="168">
        <v>189774</v>
      </c>
      <c r="M75" s="169">
        <v>161279</v>
      </c>
      <c r="N75" s="169">
        <v>127653</v>
      </c>
      <c r="O75" s="169">
        <v>198909</v>
      </c>
      <c r="P75" s="169">
        <v>178761</v>
      </c>
      <c r="Q75" s="169">
        <v>152344</v>
      </c>
      <c r="R75" s="169">
        <v>119724</v>
      </c>
      <c r="S75" s="169">
        <v>196165</v>
      </c>
      <c r="T75" s="169">
        <v>174056</v>
      </c>
      <c r="U75" s="169">
        <v>146134</v>
      </c>
      <c r="V75" s="169">
        <v>111950</v>
      </c>
      <c r="W75" s="169">
        <v>175984</v>
      </c>
      <c r="X75" s="169">
        <v>146678</v>
      </c>
      <c r="Y75" s="169">
        <v>123075</v>
      </c>
      <c r="Z75" s="169">
        <v>82249</v>
      </c>
      <c r="AA75" s="169">
        <v>123828</v>
      </c>
      <c r="AB75" s="169">
        <v>97428</v>
      </c>
      <c r="AC75" s="169">
        <v>105277</v>
      </c>
      <c r="AD75" s="169">
        <v>83076</v>
      </c>
      <c r="AE75" s="169">
        <v>145449</v>
      </c>
      <c r="AF75" s="169">
        <v>132162</v>
      </c>
      <c r="AG75" s="169">
        <v>112474</v>
      </c>
      <c r="AH75" s="169">
        <v>92988</v>
      </c>
      <c r="AI75" s="169">
        <v>127888</v>
      </c>
      <c r="AJ75" s="169">
        <v>111795</v>
      </c>
      <c r="AK75" s="169">
        <v>92110</v>
      </c>
      <c r="AL75" s="169">
        <v>69269</v>
      </c>
      <c r="AM75" s="169">
        <v>104522</v>
      </c>
      <c r="AN75" s="169">
        <v>90145</v>
      </c>
      <c r="AO75" s="169">
        <v>71448</v>
      </c>
      <c r="AP75" s="170">
        <v>53719</v>
      </c>
    </row>
    <row r="76" spans="1:42" x14ac:dyDescent="0.35">
      <c r="A76" s="158" t="s">
        <v>129</v>
      </c>
      <c r="B76" s="158" t="s">
        <v>130</v>
      </c>
      <c r="C76" s="130" t="str">
        <f t="shared" si="1"/>
        <v>2.01.02Fornecedores</v>
      </c>
      <c r="D76" s="169">
        <v>2522216</v>
      </c>
      <c r="E76" s="169">
        <v>2295142</v>
      </c>
      <c r="F76" s="169">
        <v>1950556</v>
      </c>
      <c r="G76" s="169">
        <v>2100209</v>
      </c>
      <c r="H76" s="222">
        <v>2441738</v>
      </c>
      <c r="I76" s="168">
        <v>2467337</v>
      </c>
      <c r="J76" s="168">
        <v>2263044</v>
      </c>
      <c r="K76" s="169">
        <v>2208094</v>
      </c>
      <c r="L76" s="168">
        <v>2292708</v>
      </c>
      <c r="M76" s="169">
        <v>2082011</v>
      </c>
      <c r="N76" s="169">
        <v>1906468</v>
      </c>
      <c r="O76" s="169">
        <v>2080949</v>
      </c>
      <c r="P76" s="169">
        <v>2085250</v>
      </c>
      <c r="Q76" s="169">
        <v>2273866</v>
      </c>
      <c r="R76" s="169">
        <v>2294570</v>
      </c>
      <c r="S76" s="169">
        <v>2388009</v>
      </c>
      <c r="T76" s="169">
        <v>2493077</v>
      </c>
      <c r="U76" s="169">
        <v>2009326</v>
      </c>
      <c r="V76" s="169">
        <v>2269458</v>
      </c>
      <c r="W76" s="169">
        <v>1974037</v>
      </c>
      <c r="X76" s="169">
        <v>1700511</v>
      </c>
      <c r="Y76" s="169">
        <v>1729247</v>
      </c>
      <c r="Z76" s="169">
        <v>1463594</v>
      </c>
      <c r="AA76" s="169">
        <v>1349412</v>
      </c>
      <c r="AB76" s="169">
        <v>919013</v>
      </c>
      <c r="AC76" s="169">
        <v>1436452</v>
      </c>
      <c r="AD76" s="169">
        <v>1126821</v>
      </c>
      <c r="AE76" s="169">
        <v>1228512</v>
      </c>
      <c r="AF76" s="169">
        <v>1246438</v>
      </c>
      <c r="AG76" s="169">
        <v>1367348</v>
      </c>
      <c r="AH76" s="169">
        <v>1316903</v>
      </c>
      <c r="AI76" s="169">
        <v>1372013</v>
      </c>
      <c r="AJ76" s="169">
        <v>1365829</v>
      </c>
      <c r="AK76" s="169">
        <v>1146239</v>
      </c>
      <c r="AL76" s="169">
        <v>1056299</v>
      </c>
      <c r="AM76" s="169">
        <v>955804</v>
      </c>
      <c r="AN76" s="169">
        <v>978150</v>
      </c>
      <c r="AO76" s="169">
        <v>853623</v>
      </c>
      <c r="AP76" s="170">
        <v>856084</v>
      </c>
    </row>
    <row r="77" spans="1:42" x14ac:dyDescent="0.35">
      <c r="A77" s="158" t="s">
        <v>131</v>
      </c>
      <c r="B77" s="158" t="s">
        <v>132</v>
      </c>
      <c r="C77" s="130" t="str">
        <f t="shared" si="1"/>
        <v>2.01.02.01Fornecedores Nacionais</v>
      </c>
      <c r="D77" s="169">
        <v>529887</v>
      </c>
      <c r="E77" s="169">
        <v>492916</v>
      </c>
      <c r="F77" s="169">
        <v>375571</v>
      </c>
      <c r="G77" s="169">
        <v>472966</v>
      </c>
      <c r="H77" s="222">
        <v>504301</v>
      </c>
      <c r="I77" s="168">
        <v>521818</v>
      </c>
      <c r="J77" s="168">
        <v>415370</v>
      </c>
      <c r="K77" s="169">
        <v>490867</v>
      </c>
      <c r="L77" s="168">
        <v>410363</v>
      </c>
      <c r="M77" s="169">
        <v>393968</v>
      </c>
      <c r="N77" s="169">
        <v>373525</v>
      </c>
      <c r="O77" s="169">
        <v>435998</v>
      </c>
      <c r="P77" s="169">
        <v>421550</v>
      </c>
      <c r="Q77" s="169">
        <v>476842</v>
      </c>
      <c r="R77" s="169">
        <v>435017</v>
      </c>
      <c r="S77" s="169">
        <v>467415</v>
      </c>
      <c r="T77" s="169">
        <v>454618</v>
      </c>
      <c r="U77" s="169">
        <v>403753</v>
      </c>
      <c r="V77" s="169">
        <v>325748</v>
      </c>
      <c r="W77" s="169">
        <v>306071</v>
      </c>
      <c r="X77" s="169">
        <v>271032</v>
      </c>
      <c r="Y77" s="169">
        <v>271295</v>
      </c>
      <c r="Z77" s="169">
        <v>194509</v>
      </c>
      <c r="AA77" s="169">
        <v>186954</v>
      </c>
      <c r="AB77" s="169">
        <v>85994</v>
      </c>
      <c r="AC77" s="169">
        <v>174079</v>
      </c>
      <c r="AD77" s="169">
        <v>149658</v>
      </c>
      <c r="AE77" s="169">
        <v>154437</v>
      </c>
      <c r="AF77" s="169">
        <v>181410</v>
      </c>
      <c r="AG77" s="169">
        <v>149204</v>
      </c>
      <c r="AH77" s="169">
        <v>194036</v>
      </c>
      <c r="AI77" s="169">
        <v>166816</v>
      </c>
      <c r="AJ77" s="169">
        <v>163551</v>
      </c>
      <c r="AK77" s="169">
        <v>174799</v>
      </c>
      <c r="AL77" s="169">
        <v>158633</v>
      </c>
      <c r="AM77" s="169">
        <v>138559</v>
      </c>
      <c r="AN77" s="169">
        <v>143062</v>
      </c>
      <c r="AO77" s="169">
        <v>125937</v>
      </c>
      <c r="AP77" s="170">
        <v>100981</v>
      </c>
    </row>
    <row r="78" spans="1:42" x14ac:dyDescent="0.35">
      <c r="A78" s="158" t="s">
        <v>133</v>
      </c>
      <c r="B78" s="158" t="s">
        <v>134</v>
      </c>
      <c r="C78" s="130" t="str">
        <f t="shared" si="1"/>
        <v>2.01.02.02Fornecedores Estrangeiros</v>
      </c>
      <c r="D78" s="169">
        <v>1992329</v>
      </c>
      <c r="E78" s="169">
        <v>1802226</v>
      </c>
      <c r="F78" s="169">
        <v>1574985</v>
      </c>
      <c r="G78" s="169">
        <v>1627243</v>
      </c>
      <c r="H78" s="222">
        <v>1937437</v>
      </c>
      <c r="I78" s="168">
        <v>1945519</v>
      </c>
      <c r="J78" s="168">
        <v>1847674</v>
      </c>
      <c r="K78" s="169">
        <v>1717227</v>
      </c>
      <c r="L78" s="168">
        <v>1882345</v>
      </c>
      <c r="M78" s="169">
        <v>1688043</v>
      </c>
      <c r="N78" s="169">
        <v>1532943</v>
      </c>
      <c r="O78" s="169">
        <v>1644951</v>
      </c>
      <c r="P78" s="169">
        <v>1663700</v>
      </c>
      <c r="Q78" s="169">
        <v>1797024</v>
      </c>
      <c r="R78" s="169">
        <v>1859553</v>
      </c>
      <c r="S78" s="169">
        <v>1920594</v>
      </c>
      <c r="T78" s="169">
        <v>2038459</v>
      </c>
      <c r="U78" s="169">
        <v>1605573</v>
      </c>
      <c r="V78" s="169">
        <v>1943710</v>
      </c>
      <c r="W78" s="169">
        <v>1667966</v>
      </c>
      <c r="X78" s="169">
        <v>1429479</v>
      </c>
      <c r="Y78" s="169">
        <v>1457952</v>
      </c>
      <c r="Z78" s="169">
        <v>1269085</v>
      </c>
      <c r="AA78" s="169">
        <v>1162458</v>
      </c>
      <c r="AB78" s="169">
        <v>833019</v>
      </c>
      <c r="AC78" s="169">
        <v>1262373</v>
      </c>
      <c r="AD78" s="169">
        <v>977163</v>
      </c>
      <c r="AE78" s="169">
        <v>1074075</v>
      </c>
      <c r="AF78" s="169">
        <v>1065028</v>
      </c>
      <c r="AG78" s="169">
        <v>1218144</v>
      </c>
      <c r="AH78" s="169">
        <v>1122867</v>
      </c>
      <c r="AI78" s="169">
        <v>1205197</v>
      </c>
      <c r="AJ78" s="169">
        <v>1202278</v>
      </c>
      <c r="AK78" s="169">
        <v>971440</v>
      </c>
      <c r="AL78" s="169">
        <v>897666</v>
      </c>
      <c r="AM78" s="169">
        <v>817245</v>
      </c>
      <c r="AN78" s="169">
        <v>835088</v>
      </c>
      <c r="AO78" s="169">
        <v>727686</v>
      </c>
      <c r="AP78" s="170">
        <v>755103</v>
      </c>
    </row>
    <row r="79" spans="1:42" x14ac:dyDescent="0.35">
      <c r="A79" s="158" t="s">
        <v>135</v>
      </c>
      <c r="B79" s="158" t="s">
        <v>136</v>
      </c>
      <c r="C79" s="130" t="str">
        <f t="shared" si="1"/>
        <v>2.01.02.02.01Fornecedores no exterior</v>
      </c>
      <c r="D79" s="169">
        <v>1992326</v>
      </c>
      <c r="E79" s="169">
        <v>1802223</v>
      </c>
      <c r="F79" s="169">
        <v>1574985</v>
      </c>
      <c r="G79" s="169">
        <v>1627243</v>
      </c>
      <c r="H79" s="222">
        <v>1937437</v>
      </c>
      <c r="I79" s="168">
        <v>1945517</v>
      </c>
      <c r="J79" s="168">
        <v>1847583</v>
      </c>
      <c r="K79" s="169">
        <v>1717227</v>
      </c>
      <c r="L79" s="168">
        <v>1882345</v>
      </c>
      <c r="M79" s="169">
        <v>1688043</v>
      </c>
      <c r="N79" s="169">
        <v>1532943</v>
      </c>
      <c r="O79" s="169">
        <v>1644951</v>
      </c>
      <c r="P79" s="169">
        <v>1663700</v>
      </c>
      <c r="Q79" s="169">
        <v>1797019</v>
      </c>
      <c r="R79" s="169">
        <v>1859238</v>
      </c>
      <c r="S79" s="169">
        <v>1920289</v>
      </c>
      <c r="T79" s="169">
        <v>2038457</v>
      </c>
      <c r="U79" s="169">
        <v>1605573</v>
      </c>
      <c r="V79" s="169">
        <v>1943710</v>
      </c>
      <c r="W79" s="169">
        <v>1667966</v>
      </c>
      <c r="X79" s="169">
        <v>1429477</v>
      </c>
      <c r="Y79" s="169">
        <v>1457952</v>
      </c>
      <c r="Z79" s="169">
        <v>1268978</v>
      </c>
      <c r="AA79" s="169">
        <v>1162458</v>
      </c>
      <c r="AB79" s="169">
        <v>833019</v>
      </c>
      <c r="AC79" s="169">
        <v>1262373</v>
      </c>
      <c r="AD79" s="169">
        <v>977163</v>
      </c>
      <c r="AE79" s="169">
        <v>1074031</v>
      </c>
      <c r="AF79" s="169">
        <v>1064973</v>
      </c>
      <c r="AG79" s="169">
        <v>1218138</v>
      </c>
      <c r="AH79" s="169">
        <v>1122861</v>
      </c>
      <c r="AI79" s="169">
        <v>1205197</v>
      </c>
      <c r="AJ79" s="169">
        <v>1202278</v>
      </c>
      <c r="AK79" s="169">
        <v>971440</v>
      </c>
      <c r="AL79" s="169">
        <v>897658</v>
      </c>
      <c r="AM79" s="169">
        <v>817245</v>
      </c>
      <c r="AN79" s="169">
        <v>835088</v>
      </c>
      <c r="AO79" s="169">
        <v>727657</v>
      </c>
      <c r="AP79" s="170">
        <v>755103</v>
      </c>
    </row>
    <row r="80" spans="1:42" x14ac:dyDescent="0.35">
      <c r="A80" s="158" t="s">
        <v>137</v>
      </c>
      <c r="B80" s="158" t="s">
        <v>138</v>
      </c>
      <c r="C80" s="130" t="str">
        <f t="shared" si="1"/>
        <v>2.01.02.02.02Partes relacionadas no exterior</v>
      </c>
      <c r="D80" s="169">
        <v>3</v>
      </c>
      <c r="E80" s="169">
        <v>3</v>
      </c>
      <c r="F80" s="169">
        <v>0</v>
      </c>
      <c r="G80" s="169">
        <v>0</v>
      </c>
      <c r="H80" s="168">
        <v>0</v>
      </c>
      <c r="I80" s="168">
        <v>2</v>
      </c>
      <c r="J80" s="168">
        <v>91</v>
      </c>
      <c r="K80" s="169">
        <v>0</v>
      </c>
      <c r="L80" s="168">
        <v>0</v>
      </c>
      <c r="M80" s="169">
        <v>0</v>
      </c>
      <c r="N80" s="169">
        <v>0</v>
      </c>
      <c r="O80" s="169">
        <v>0</v>
      </c>
      <c r="P80" s="169">
        <v>0</v>
      </c>
      <c r="Q80" s="169">
        <v>5</v>
      </c>
      <c r="R80" s="169">
        <v>315</v>
      </c>
      <c r="S80" s="169">
        <v>305</v>
      </c>
      <c r="T80" s="169">
        <v>2</v>
      </c>
      <c r="U80" s="169">
        <v>0</v>
      </c>
      <c r="V80" s="169">
        <v>0</v>
      </c>
      <c r="W80" s="169">
        <v>0</v>
      </c>
      <c r="X80" s="169">
        <v>2</v>
      </c>
      <c r="Y80" s="169">
        <v>0</v>
      </c>
      <c r="Z80" s="169">
        <v>107</v>
      </c>
      <c r="AA80" s="169">
        <v>0</v>
      </c>
      <c r="AB80" s="169">
        <v>0</v>
      </c>
      <c r="AC80" s="169">
        <v>0</v>
      </c>
      <c r="AD80" s="169">
        <v>0</v>
      </c>
      <c r="AE80" s="169">
        <v>44</v>
      </c>
      <c r="AF80" s="169">
        <v>55</v>
      </c>
      <c r="AG80" s="169">
        <v>6</v>
      </c>
      <c r="AH80" s="169">
        <v>6</v>
      </c>
      <c r="AI80" s="169">
        <v>0</v>
      </c>
      <c r="AJ80" s="169">
        <v>0</v>
      </c>
      <c r="AK80" s="169">
        <v>0</v>
      </c>
      <c r="AL80" s="169">
        <v>8</v>
      </c>
      <c r="AM80" s="169">
        <v>0</v>
      </c>
      <c r="AN80" s="169">
        <v>0</v>
      </c>
      <c r="AO80" s="169">
        <v>29</v>
      </c>
      <c r="AP80" s="170">
        <v>0</v>
      </c>
    </row>
    <row r="81" spans="1:42" x14ac:dyDescent="0.35">
      <c r="A81" s="158" t="s">
        <v>139</v>
      </c>
      <c r="B81" s="158" t="s">
        <v>140</v>
      </c>
      <c r="C81" s="130" t="str">
        <f t="shared" si="1"/>
        <v>2.01.03Obrigações Fiscais</v>
      </c>
      <c r="D81" s="169">
        <v>193620</v>
      </c>
      <c r="E81" s="169">
        <v>157826</v>
      </c>
      <c r="F81" s="169">
        <v>196478</v>
      </c>
      <c r="G81" s="169">
        <v>153051</v>
      </c>
      <c r="H81" s="222">
        <v>153543</v>
      </c>
      <c r="I81" s="168">
        <v>162633</v>
      </c>
      <c r="J81" s="168">
        <v>210899</v>
      </c>
      <c r="K81" s="169">
        <v>229013</v>
      </c>
      <c r="L81" s="168">
        <v>193817</v>
      </c>
      <c r="M81" s="169">
        <v>172569</v>
      </c>
      <c r="N81" s="169">
        <v>126797</v>
      </c>
      <c r="O81" s="169">
        <v>171878</v>
      </c>
      <c r="P81" s="169">
        <v>164540</v>
      </c>
      <c r="Q81" s="169">
        <v>149626</v>
      </c>
      <c r="R81" s="169">
        <v>317483</v>
      </c>
      <c r="S81" s="169">
        <v>253510</v>
      </c>
      <c r="T81" s="169">
        <v>211394</v>
      </c>
      <c r="U81" s="169">
        <v>175807</v>
      </c>
      <c r="V81" s="169">
        <v>220549</v>
      </c>
      <c r="W81" s="169">
        <v>284710</v>
      </c>
      <c r="X81" s="169">
        <v>220606</v>
      </c>
      <c r="Y81" s="169">
        <v>117971</v>
      </c>
      <c r="Z81" s="169">
        <v>90868</v>
      </c>
      <c r="AA81" s="169">
        <v>123405</v>
      </c>
      <c r="AB81" s="169">
        <v>73495</v>
      </c>
      <c r="AC81" s="169">
        <v>93075</v>
      </c>
      <c r="AD81" s="169">
        <v>121060</v>
      </c>
      <c r="AE81" s="169">
        <v>216024</v>
      </c>
      <c r="AF81" s="169">
        <v>172239</v>
      </c>
      <c r="AG81" s="169">
        <v>138571</v>
      </c>
      <c r="AH81" s="169">
        <v>121901</v>
      </c>
      <c r="AI81" s="169">
        <v>198779</v>
      </c>
      <c r="AJ81" s="169">
        <v>159266</v>
      </c>
      <c r="AK81" s="169">
        <v>134495</v>
      </c>
      <c r="AL81" s="169">
        <v>133550</v>
      </c>
      <c r="AM81" s="169">
        <v>151118</v>
      </c>
      <c r="AN81" s="169">
        <v>135423</v>
      </c>
      <c r="AO81" s="169">
        <v>109234</v>
      </c>
      <c r="AP81" s="170">
        <v>77103</v>
      </c>
    </row>
    <row r="82" spans="1:42" x14ac:dyDescent="0.35">
      <c r="A82" s="158" t="s">
        <v>141</v>
      </c>
      <c r="B82" s="158" t="s">
        <v>142</v>
      </c>
      <c r="C82" s="130" t="str">
        <f t="shared" si="1"/>
        <v>2.01.03.01Obrigações Fiscais Federais</v>
      </c>
      <c r="D82" s="169">
        <v>193620</v>
      </c>
      <c r="E82" s="169">
        <v>157826</v>
      </c>
      <c r="F82" s="169">
        <v>196478</v>
      </c>
      <c r="G82" s="169">
        <v>153051</v>
      </c>
      <c r="H82" s="222">
        <v>153543</v>
      </c>
      <c r="I82" s="168">
        <v>162633</v>
      </c>
      <c r="J82" s="168">
        <v>210899</v>
      </c>
      <c r="K82" s="169">
        <v>229013</v>
      </c>
      <c r="L82" s="168">
        <v>193817</v>
      </c>
      <c r="M82" s="169">
        <v>172569</v>
      </c>
      <c r="N82" s="169">
        <v>126797</v>
      </c>
      <c r="O82" s="169">
        <v>171878</v>
      </c>
      <c r="P82" s="169">
        <v>164540</v>
      </c>
      <c r="Q82" s="169">
        <v>149626</v>
      </c>
      <c r="R82" s="169">
        <v>317483</v>
      </c>
      <c r="S82" s="169">
        <v>253510</v>
      </c>
      <c r="T82" s="169">
        <v>211394</v>
      </c>
      <c r="U82" s="169">
        <v>175807</v>
      </c>
      <c r="V82" s="169">
        <v>220549</v>
      </c>
      <c r="W82" s="169">
        <v>284710</v>
      </c>
      <c r="X82" s="169">
        <v>220606</v>
      </c>
      <c r="Y82" s="169">
        <v>117971</v>
      </c>
      <c r="Z82" s="169">
        <v>90868</v>
      </c>
      <c r="AA82" s="169">
        <v>123405</v>
      </c>
      <c r="AB82" s="169">
        <v>73495</v>
      </c>
      <c r="AC82" s="169">
        <v>93075</v>
      </c>
      <c r="AD82" s="169">
        <v>121060</v>
      </c>
      <c r="AE82" s="169">
        <v>216024</v>
      </c>
      <c r="AF82" s="169">
        <v>172239</v>
      </c>
      <c r="AG82" s="169">
        <v>138571</v>
      </c>
      <c r="AH82" s="169">
        <v>121901</v>
      </c>
      <c r="AI82" s="169">
        <v>198779</v>
      </c>
      <c r="AJ82" s="169">
        <v>159266</v>
      </c>
      <c r="AK82" s="169">
        <v>134495</v>
      </c>
      <c r="AL82" s="169">
        <v>133550</v>
      </c>
      <c r="AM82" s="169">
        <v>151118</v>
      </c>
      <c r="AN82" s="169">
        <v>135423</v>
      </c>
      <c r="AO82" s="169">
        <v>109234</v>
      </c>
      <c r="AP82" s="170">
        <v>77103</v>
      </c>
    </row>
    <row r="83" spans="1:42" x14ac:dyDescent="0.35">
      <c r="A83" s="158" t="s">
        <v>143</v>
      </c>
      <c r="B83" s="158" t="s">
        <v>144</v>
      </c>
      <c r="C83" s="130" t="str">
        <f t="shared" si="1"/>
        <v>2.01.03.01.01Imposto de Renda e Contribuição Social a Pagar</v>
      </c>
      <c r="D83" s="169">
        <v>193620</v>
      </c>
      <c r="E83" s="169">
        <v>157826</v>
      </c>
      <c r="F83" s="169">
        <v>196478</v>
      </c>
      <c r="G83" s="169">
        <v>153051</v>
      </c>
      <c r="H83" s="222">
        <v>153543</v>
      </c>
      <c r="I83" s="168">
        <v>162633</v>
      </c>
      <c r="J83" s="168">
        <v>210899</v>
      </c>
      <c r="K83" s="169">
        <v>229013</v>
      </c>
      <c r="L83" s="168">
        <v>193817</v>
      </c>
      <c r="M83" s="169">
        <v>172569</v>
      </c>
      <c r="N83" s="169">
        <v>126797</v>
      </c>
      <c r="O83" s="169">
        <v>171878</v>
      </c>
      <c r="P83" s="169">
        <v>164540</v>
      </c>
      <c r="Q83" s="169">
        <v>149626</v>
      </c>
      <c r="R83" s="169">
        <v>317483</v>
      </c>
      <c r="S83" s="169">
        <v>253510</v>
      </c>
      <c r="T83" s="169">
        <v>211394</v>
      </c>
      <c r="U83" s="169">
        <v>175807</v>
      </c>
      <c r="V83" s="169">
        <v>220549</v>
      </c>
      <c r="W83" s="169">
        <v>284710</v>
      </c>
      <c r="X83" s="169">
        <v>220606</v>
      </c>
      <c r="Y83" s="169">
        <v>117971</v>
      </c>
      <c r="Z83" s="169">
        <v>90868</v>
      </c>
      <c r="AA83" s="169">
        <v>123405</v>
      </c>
      <c r="AB83" s="169">
        <v>73495</v>
      </c>
      <c r="AC83" s="169">
        <v>93075</v>
      </c>
      <c r="AD83" s="169">
        <v>121060</v>
      </c>
      <c r="AE83" s="169">
        <v>216024</v>
      </c>
      <c r="AF83" s="169">
        <v>172239</v>
      </c>
      <c r="AG83" s="169">
        <v>138571</v>
      </c>
      <c r="AH83" s="169">
        <v>121901</v>
      </c>
      <c r="AI83" s="169">
        <v>198779</v>
      </c>
      <c r="AJ83" s="169">
        <v>159266</v>
      </c>
      <c r="AK83" s="169">
        <v>134495</v>
      </c>
      <c r="AL83" s="169">
        <v>133550</v>
      </c>
      <c r="AM83" s="169">
        <v>151118</v>
      </c>
      <c r="AN83" s="169">
        <v>135423</v>
      </c>
      <c r="AO83" s="169">
        <v>109234</v>
      </c>
      <c r="AP83" s="170">
        <v>77103</v>
      </c>
    </row>
    <row r="84" spans="1:42" x14ac:dyDescent="0.35">
      <c r="A84" s="158" t="s">
        <v>145</v>
      </c>
      <c r="B84" s="158" t="s">
        <v>146</v>
      </c>
      <c r="C84" s="130" t="str">
        <f t="shared" si="1"/>
        <v>2.01.03.02Obrigações Fiscais Estaduais</v>
      </c>
      <c r="D84" s="169">
        <v>0</v>
      </c>
      <c r="E84" s="169">
        <v>0</v>
      </c>
      <c r="F84" s="169">
        <v>0</v>
      </c>
      <c r="G84" s="169">
        <v>0</v>
      </c>
      <c r="H84" s="168">
        <v>0</v>
      </c>
      <c r="I84" s="168">
        <v>0</v>
      </c>
      <c r="J84" s="168">
        <v>0</v>
      </c>
      <c r="K84" s="169">
        <v>0</v>
      </c>
      <c r="L84" s="168">
        <v>0</v>
      </c>
      <c r="M84" s="169">
        <v>0</v>
      </c>
      <c r="N84" s="169">
        <v>0</v>
      </c>
      <c r="O84" s="169">
        <v>0</v>
      </c>
      <c r="P84" s="169">
        <v>0</v>
      </c>
      <c r="Q84" s="169">
        <v>0</v>
      </c>
      <c r="R84" s="169">
        <v>0</v>
      </c>
      <c r="S84" s="169">
        <v>0</v>
      </c>
      <c r="T84" s="169">
        <v>0</v>
      </c>
      <c r="U84" s="169">
        <v>0</v>
      </c>
      <c r="V84" s="169">
        <v>0</v>
      </c>
      <c r="W84" s="169">
        <v>0</v>
      </c>
      <c r="X84" s="169">
        <v>0</v>
      </c>
      <c r="Y84" s="169">
        <v>0</v>
      </c>
      <c r="Z84" s="169">
        <v>0</v>
      </c>
      <c r="AA84" s="169">
        <v>0</v>
      </c>
      <c r="AB84" s="169">
        <v>0</v>
      </c>
      <c r="AC84" s="169">
        <v>0</v>
      </c>
      <c r="AD84" s="169">
        <v>0</v>
      </c>
      <c r="AE84" s="169">
        <v>0</v>
      </c>
      <c r="AF84" s="169">
        <v>0</v>
      </c>
      <c r="AG84" s="169">
        <v>0</v>
      </c>
      <c r="AH84" s="169">
        <v>0</v>
      </c>
      <c r="AI84" s="169">
        <v>0</v>
      </c>
      <c r="AJ84" s="169">
        <v>0</v>
      </c>
      <c r="AK84" s="169">
        <v>0</v>
      </c>
      <c r="AL84" s="169">
        <v>0</v>
      </c>
      <c r="AM84" s="169">
        <v>0</v>
      </c>
      <c r="AN84" s="169">
        <v>0</v>
      </c>
      <c r="AO84" s="169">
        <v>0</v>
      </c>
      <c r="AP84" s="170">
        <v>0</v>
      </c>
    </row>
    <row r="85" spans="1:42" x14ac:dyDescent="0.35">
      <c r="A85" s="158" t="s">
        <v>147</v>
      </c>
      <c r="B85" s="158" t="s">
        <v>148</v>
      </c>
      <c r="C85" s="130" t="str">
        <f t="shared" si="1"/>
        <v>2.01.03.03Obrigações Fiscais Municipais</v>
      </c>
      <c r="D85" s="169">
        <v>0</v>
      </c>
      <c r="E85" s="169">
        <v>0</v>
      </c>
      <c r="F85" s="169">
        <v>0</v>
      </c>
      <c r="G85" s="169">
        <v>0</v>
      </c>
      <c r="H85" s="168">
        <v>0</v>
      </c>
      <c r="I85" s="168">
        <v>0</v>
      </c>
      <c r="J85" s="168">
        <v>0</v>
      </c>
      <c r="K85" s="169">
        <v>0</v>
      </c>
      <c r="L85" s="168">
        <v>0</v>
      </c>
      <c r="M85" s="169">
        <v>0</v>
      </c>
      <c r="N85" s="169">
        <v>0</v>
      </c>
      <c r="O85" s="169">
        <v>0</v>
      </c>
      <c r="P85" s="169">
        <v>0</v>
      </c>
      <c r="Q85" s="169">
        <v>0</v>
      </c>
      <c r="R85" s="169">
        <v>0</v>
      </c>
      <c r="S85" s="169">
        <v>0</v>
      </c>
      <c r="T85" s="169">
        <v>0</v>
      </c>
      <c r="U85" s="169">
        <v>0</v>
      </c>
      <c r="V85" s="169">
        <v>0</v>
      </c>
      <c r="W85" s="169">
        <v>0</v>
      </c>
      <c r="X85" s="169">
        <v>0</v>
      </c>
      <c r="Y85" s="169">
        <v>0</v>
      </c>
      <c r="Z85" s="169">
        <v>0</v>
      </c>
      <c r="AA85" s="169">
        <v>0</v>
      </c>
      <c r="AB85" s="169">
        <v>0</v>
      </c>
      <c r="AC85" s="169">
        <v>0</v>
      </c>
      <c r="AD85" s="169">
        <v>0</v>
      </c>
      <c r="AE85" s="169">
        <v>0</v>
      </c>
      <c r="AF85" s="169">
        <v>0</v>
      </c>
      <c r="AG85" s="169">
        <v>0</v>
      </c>
      <c r="AH85" s="169">
        <v>0</v>
      </c>
      <c r="AI85" s="169">
        <v>0</v>
      </c>
      <c r="AJ85" s="169">
        <v>0</v>
      </c>
      <c r="AK85" s="169">
        <v>0</v>
      </c>
      <c r="AL85" s="169">
        <v>0</v>
      </c>
      <c r="AM85" s="169">
        <v>0</v>
      </c>
      <c r="AN85" s="169">
        <v>0</v>
      </c>
      <c r="AO85" s="169">
        <v>0</v>
      </c>
      <c r="AP85" s="170">
        <v>0</v>
      </c>
    </row>
    <row r="86" spans="1:42" x14ac:dyDescent="0.35">
      <c r="A86" s="158" t="s">
        <v>149</v>
      </c>
      <c r="B86" s="158" t="s">
        <v>150</v>
      </c>
      <c r="C86" s="130" t="str">
        <f t="shared" si="1"/>
        <v>2.01.04Empréstimos e Financiamentos</v>
      </c>
      <c r="D86" s="169">
        <v>265029</v>
      </c>
      <c r="E86" s="169">
        <v>279439</v>
      </c>
      <c r="F86" s="169">
        <v>356196</v>
      </c>
      <c r="G86" s="169">
        <v>390576</v>
      </c>
      <c r="H86" s="222">
        <v>354676</v>
      </c>
      <c r="I86" s="168">
        <v>509221</v>
      </c>
      <c r="J86" s="168">
        <v>614709</v>
      </c>
      <c r="K86" s="169">
        <v>1069561</v>
      </c>
      <c r="L86" s="168">
        <v>1113245</v>
      </c>
      <c r="M86" s="169">
        <v>1387002</v>
      </c>
      <c r="N86" s="169">
        <v>1631599</v>
      </c>
      <c r="O86" s="169">
        <v>1775347</v>
      </c>
      <c r="P86" s="169">
        <v>1813563</v>
      </c>
      <c r="Q86" s="169">
        <v>2017722</v>
      </c>
      <c r="R86" s="169">
        <v>1043611</v>
      </c>
      <c r="S86" s="169">
        <v>1270356</v>
      </c>
      <c r="T86" s="169">
        <v>1277434</v>
      </c>
      <c r="U86" s="169">
        <v>2022916</v>
      </c>
      <c r="V86" s="169">
        <v>1481781</v>
      </c>
      <c r="W86" s="169">
        <v>1858823</v>
      </c>
      <c r="X86" s="169">
        <v>1798780</v>
      </c>
      <c r="Y86" s="169">
        <v>3303156</v>
      </c>
      <c r="Z86" s="169">
        <v>1907564</v>
      </c>
      <c r="AA86" s="169">
        <v>2336419</v>
      </c>
      <c r="AB86" s="169">
        <v>1828277</v>
      </c>
      <c r="AC86" s="169">
        <v>1462573</v>
      </c>
      <c r="AD86" s="169">
        <v>648697</v>
      </c>
      <c r="AE86" s="169">
        <v>725455</v>
      </c>
      <c r="AF86" s="169">
        <v>743937</v>
      </c>
      <c r="AG86" s="169">
        <v>867948</v>
      </c>
      <c r="AH86" s="169">
        <v>1076149</v>
      </c>
      <c r="AI86" s="169">
        <v>1067331</v>
      </c>
      <c r="AJ86" s="169">
        <v>1001361</v>
      </c>
      <c r="AK86" s="169">
        <v>1173313</v>
      </c>
      <c r="AL86" s="169">
        <v>1352544</v>
      </c>
      <c r="AM86" s="169">
        <v>1149628</v>
      </c>
      <c r="AN86" s="169">
        <v>1235474</v>
      </c>
      <c r="AO86" s="169">
        <v>787887</v>
      </c>
      <c r="AP86" s="170">
        <v>1182808</v>
      </c>
    </row>
    <row r="87" spans="1:42" x14ac:dyDescent="0.35">
      <c r="A87" s="158" t="s">
        <v>151</v>
      </c>
      <c r="B87" s="158" t="s">
        <v>150</v>
      </c>
      <c r="C87" s="130" t="str">
        <f t="shared" si="1"/>
        <v>2.01.04.01Empréstimos e Financiamentos</v>
      </c>
      <c r="D87" s="169">
        <v>183463</v>
      </c>
      <c r="E87" s="169">
        <v>142524</v>
      </c>
      <c r="F87" s="169">
        <v>267728</v>
      </c>
      <c r="G87" s="169">
        <v>250794</v>
      </c>
      <c r="H87" s="222">
        <v>273971</v>
      </c>
      <c r="I87" s="168">
        <v>408087</v>
      </c>
      <c r="J87" s="168">
        <v>557012</v>
      </c>
      <c r="K87" s="169">
        <v>986081</v>
      </c>
      <c r="L87" s="168">
        <v>1076050</v>
      </c>
      <c r="M87" s="169">
        <v>1296698</v>
      </c>
      <c r="N87" s="169">
        <v>1588520</v>
      </c>
      <c r="O87" s="169">
        <v>1724024</v>
      </c>
      <c r="P87" s="169">
        <v>1792461</v>
      </c>
      <c r="Q87" s="169">
        <v>1623167</v>
      </c>
      <c r="R87" s="169">
        <v>648221</v>
      </c>
      <c r="S87" s="169">
        <v>654954</v>
      </c>
      <c r="T87" s="169">
        <v>838668</v>
      </c>
      <c r="U87" s="169">
        <v>1634537</v>
      </c>
      <c r="V87" s="169">
        <v>1240639</v>
      </c>
      <c r="W87" s="169">
        <v>1645033</v>
      </c>
      <c r="X87" s="169">
        <v>1575395</v>
      </c>
      <c r="Y87" s="169">
        <v>3086850</v>
      </c>
      <c r="Z87" s="169">
        <v>1907613</v>
      </c>
      <c r="AA87" s="169">
        <v>2341755</v>
      </c>
      <c r="AB87" s="169">
        <v>1827512</v>
      </c>
      <c r="AC87" s="169">
        <v>1462768</v>
      </c>
      <c r="AD87" s="169">
        <v>629300</v>
      </c>
      <c r="AE87" s="169">
        <v>724591</v>
      </c>
      <c r="AF87" s="169">
        <v>726463</v>
      </c>
      <c r="AG87" s="169">
        <v>707690</v>
      </c>
      <c r="AH87" s="169">
        <v>912955</v>
      </c>
      <c r="AI87" s="169">
        <v>915824</v>
      </c>
      <c r="AJ87" s="169">
        <v>837744</v>
      </c>
      <c r="AK87" s="169">
        <v>1175351</v>
      </c>
      <c r="AL87" s="169">
        <v>1110559</v>
      </c>
      <c r="AM87" s="169">
        <v>914098</v>
      </c>
      <c r="AN87" s="169">
        <v>1073471</v>
      </c>
      <c r="AO87" s="169">
        <v>790806</v>
      </c>
      <c r="AP87" s="170">
        <v>1166877</v>
      </c>
    </row>
    <row r="88" spans="1:42" x14ac:dyDescent="0.35">
      <c r="A88" s="158" t="s">
        <v>152</v>
      </c>
      <c r="B88" s="158" t="s">
        <v>153</v>
      </c>
      <c r="C88" s="130" t="str">
        <f t="shared" si="1"/>
        <v>2.01.04.01.01Em Moeda Nacional</v>
      </c>
      <c r="D88" s="169">
        <v>50932</v>
      </c>
      <c r="E88" s="169">
        <v>50735</v>
      </c>
      <c r="F88" s="169">
        <v>260225</v>
      </c>
      <c r="G88" s="169">
        <v>50766</v>
      </c>
      <c r="H88" s="130">
        <v>667</v>
      </c>
      <c r="I88" s="168">
        <v>134263</v>
      </c>
      <c r="J88" s="168">
        <v>298600</v>
      </c>
      <c r="K88" s="169">
        <v>621358</v>
      </c>
      <c r="L88" s="168">
        <v>851346</v>
      </c>
      <c r="M88" s="169">
        <v>749316</v>
      </c>
      <c r="N88" s="169">
        <v>936799</v>
      </c>
      <c r="O88" s="169">
        <v>1167299</v>
      </c>
      <c r="P88" s="169">
        <v>1198831</v>
      </c>
      <c r="Q88" s="169">
        <v>893969</v>
      </c>
      <c r="R88" s="169">
        <v>160431</v>
      </c>
      <c r="S88" s="169">
        <v>290191</v>
      </c>
      <c r="T88" s="169">
        <v>251625</v>
      </c>
      <c r="U88" s="169">
        <v>1104412</v>
      </c>
      <c r="V88" s="169">
        <v>621788</v>
      </c>
      <c r="W88" s="169">
        <v>910276</v>
      </c>
      <c r="X88" s="169">
        <v>974923</v>
      </c>
      <c r="Y88" s="169">
        <v>1344178</v>
      </c>
      <c r="Z88" s="169">
        <v>1089094</v>
      </c>
      <c r="AA88" s="169">
        <v>1078877</v>
      </c>
      <c r="AB88" s="169">
        <v>989795</v>
      </c>
      <c r="AC88" s="169">
        <v>576986</v>
      </c>
      <c r="AD88" s="169">
        <v>4955</v>
      </c>
      <c r="AE88" s="169">
        <v>10367</v>
      </c>
      <c r="AF88" s="169">
        <v>11095</v>
      </c>
      <c r="AG88" s="169">
        <v>13134</v>
      </c>
      <c r="AH88" s="169">
        <v>13930</v>
      </c>
      <c r="AI88" s="169">
        <v>15351</v>
      </c>
      <c r="AJ88" s="169">
        <v>45519</v>
      </c>
      <c r="AK88" s="169">
        <v>110738</v>
      </c>
      <c r="AL88" s="169">
        <v>132919</v>
      </c>
      <c r="AM88" s="169">
        <v>167841</v>
      </c>
      <c r="AN88" s="169">
        <v>164262</v>
      </c>
      <c r="AO88" s="169">
        <v>143468</v>
      </c>
      <c r="AP88" s="170">
        <v>487979</v>
      </c>
    </row>
    <row r="89" spans="1:42" x14ac:dyDescent="0.35">
      <c r="A89" s="158" t="s">
        <v>154</v>
      </c>
      <c r="B89" s="158" t="s">
        <v>155</v>
      </c>
      <c r="C89" s="130" t="str">
        <f t="shared" si="1"/>
        <v>2.01.04.01.02Em Moeda Estrangeira</v>
      </c>
      <c r="D89" s="169">
        <v>132531</v>
      </c>
      <c r="E89" s="169">
        <v>91789</v>
      </c>
      <c r="F89" s="169">
        <v>7503</v>
      </c>
      <c r="G89" s="169">
        <v>200028</v>
      </c>
      <c r="H89" s="222">
        <v>273304</v>
      </c>
      <c r="I89" s="168">
        <v>273824</v>
      </c>
      <c r="J89" s="168">
        <v>258412</v>
      </c>
      <c r="K89" s="169">
        <v>364723</v>
      </c>
      <c r="L89" s="168">
        <v>224704</v>
      </c>
      <c r="M89" s="169">
        <v>547382</v>
      </c>
      <c r="N89" s="169">
        <v>651721</v>
      </c>
      <c r="O89" s="169">
        <v>556725</v>
      </c>
      <c r="P89" s="169">
        <v>593630</v>
      </c>
      <c r="Q89" s="169">
        <v>729198</v>
      </c>
      <c r="R89" s="169">
        <v>487790</v>
      </c>
      <c r="S89" s="169">
        <v>364763</v>
      </c>
      <c r="T89" s="169">
        <v>587043</v>
      </c>
      <c r="U89" s="169">
        <v>530125</v>
      </c>
      <c r="V89" s="169">
        <v>618851</v>
      </c>
      <c r="W89" s="169">
        <v>734757</v>
      </c>
      <c r="X89" s="169">
        <v>600472</v>
      </c>
      <c r="Y89" s="169">
        <v>1742672</v>
      </c>
      <c r="Z89" s="169">
        <v>818519</v>
      </c>
      <c r="AA89" s="169">
        <v>1262878</v>
      </c>
      <c r="AB89" s="169">
        <v>837717</v>
      </c>
      <c r="AC89" s="169">
        <v>885782</v>
      </c>
      <c r="AD89" s="169">
        <v>624345</v>
      </c>
      <c r="AE89" s="169">
        <v>714224</v>
      </c>
      <c r="AF89" s="169">
        <v>715368</v>
      </c>
      <c r="AG89" s="169">
        <v>694556</v>
      </c>
      <c r="AH89" s="169">
        <v>899025</v>
      </c>
      <c r="AI89" s="169">
        <v>900473</v>
      </c>
      <c r="AJ89" s="169">
        <v>792225</v>
      </c>
      <c r="AK89" s="169">
        <v>1064613</v>
      </c>
      <c r="AL89" s="169">
        <v>977640</v>
      </c>
      <c r="AM89" s="169">
        <v>746257</v>
      </c>
      <c r="AN89" s="169">
        <v>909209</v>
      </c>
      <c r="AO89" s="169">
        <v>647338</v>
      </c>
      <c r="AP89" s="170">
        <v>678898</v>
      </c>
    </row>
    <row r="90" spans="1:42" x14ac:dyDescent="0.35">
      <c r="A90" s="158" t="s">
        <v>156</v>
      </c>
      <c r="B90" s="158" t="s">
        <v>157</v>
      </c>
      <c r="C90" s="130" t="str">
        <f t="shared" si="1"/>
        <v>2.01.04.02Debêntures</v>
      </c>
      <c r="D90" s="169">
        <v>81566</v>
      </c>
      <c r="E90" s="169">
        <v>136915</v>
      </c>
      <c r="F90" s="169">
        <v>88468</v>
      </c>
      <c r="G90" s="169">
        <v>139782</v>
      </c>
      <c r="H90" s="222">
        <v>80705</v>
      </c>
      <c r="I90" s="168">
        <v>101134</v>
      </c>
      <c r="J90" s="168">
        <v>57697</v>
      </c>
      <c r="K90" s="169">
        <v>83480</v>
      </c>
      <c r="L90" s="168">
        <v>37195</v>
      </c>
      <c r="M90" s="169">
        <v>90304</v>
      </c>
      <c r="N90" s="169">
        <v>43079</v>
      </c>
      <c r="O90" s="169">
        <v>51323</v>
      </c>
      <c r="P90" s="169">
        <v>21102</v>
      </c>
      <c r="Q90" s="169">
        <v>394555</v>
      </c>
      <c r="R90" s="169">
        <v>395390</v>
      </c>
      <c r="S90" s="169">
        <v>615402</v>
      </c>
      <c r="T90" s="169">
        <v>438766</v>
      </c>
      <c r="U90" s="169">
        <v>388379</v>
      </c>
      <c r="V90" s="169">
        <v>241142</v>
      </c>
      <c r="W90" s="169">
        <v>213790</v>
      </c>
      <c r="X90" s="169">
        <v>223385</v>
      </c>
      <c r="Y90" s="169">
        <v>216306</v>
      </c>
      <c r="Z90" s="169">
        <v>-49</v>
      </c>
      <c r="AA90" s="169">
        <v>-5336</v>
      </c>
      <c r="AB90" s="169">
        <v>765</v>
      </c>
      <c r="AC90" s="169">
        <v>-195</v>
      </c>
      <c r="AD90" s="169">
        <v>19397</v>
      </c>
      <c r="AE90" s="169">
        <v>864</v>
      </c>
      <c r="AF90" s="169">
        <v>17474</v>
      </c>
      <c r="AG90" s="169">
        <v>160258</v>
      </c>
      <c r="AH90" s="169">
        <v>163194</v>
      </c>
      <c r="AI90" s="169">
        <v>151507</v>
      </c>
      <c r="AJ90" s="169">
        <v>163617</v>
      </c>
      <c r="AK90" s="169">
        <v>-2038</v>
      </c>
      <c r="AL90" s="169">
        <v>241985</v>
      </c>
      <c r="AM90" s="169">
        <v>235530</v>
      </c>
      <c r="AN90" s="169">
        <v>162003</v>
      </c>
      <c r="AO90" s="169">
        <v>-2919</v>
      </c>
      <c r="AP90" s="170">
        <v>15931</v>
      </c>
    </row>
    <row r="91" spans="1:42" x14ac:dyDescent="0.35">
      <c r="A91" s="158" t="s">
        <v>158</v>
      </c>
      <c r="B91" s="158" t="s">
        <v>159</v>
      </c>
      <c r="C91" s="130" t="str">
        <f t="shared" si="1"/>
        <v>2.01.04.03Financiamento por Arrendamento</v>
      </c>
      <c r="D91" s="169">
        <v>0</v>
      </c>
      <c r="E91" s="169">
        <v>0</v>
      </c>
      <c r="F91" s="169">
        <v>0</v>
      </c>
      <c r="G91" s="169">
        <v>0</v>
      </c>
      <c r="H91" s="168">
        <v>0</v>
      </c>
      <c r="I91" s="168">
        <v>0</v>
      </c>
      <c r="J91" s="168">
        <v>0</v>
      </c>
      <c r="K91" s="169">
        <v>0</v>
      </c>
      <c r="L91" s="168">
        <v>0</v>
      </c>
      <c r="M91" s="169">
        <v>0</v>
      </c>
      <c r="N91" s="169">
        <v>0</v>
      </c>
      <c r="O91" s="169">
        <v>0</v>
      </c>
      <c r="P91" s="169">
        <v>0</v>
      </c>
      <c r="Q91" s="169">
        <v>0</v>
      </c>
      <c r="R91" s="169">
        <v>0</v>
      </c>
      <c r="S91" s="169">
        <v>0</v>
      </c>
      <c r="T91" s="169">
        <v>0</v>
      </c>
      <c r="U91" s="169">
        <v>0</v>
      </c>
      <c r="V91" s="169">
        <v>0</v>
      </c>
      <c r="W91" s="169">
        <v>0</v>
      </c>
      <c r="X91" s="169">
        <v>0</v>
      </c>
      <c r="Y91" s="169">
        <v>0</v>
      </c>
      <c r="Z91" s="169">
        <v>0</v>
      </c>
      <c r="AA91" s="169">
        <v>0</v>
      </c>
      <c r="AB91" s="169">
        <v>0</v>
      </c>
      <c r="AC91" s="169">
        <v>0</v>
      </c>
      <c r="AD91" s="169">
        <v>0</v>
      </c>
      <c r="AE91" s="169">
        <v>0</v>
      </c>
      <c r="AF91" s="169">
        <v>0</v>
      </c>
      <c r="AG91" s="169">
        <v>0</v>
      </c>
      <c r="AH91" s="169">
        <v>0</v>
      </c>
      <c r="AI91" s="169">
        <v>0</v>
      </c>
      <c r="AJ91" s="169">
        <v>0</v>
      </c>
      <c r="AK91" s="169">
        <v>0</v>
      </c>
      <c r="AL91" s="169">
        <v>0</v>
      </c>
      <c r="AM91" s="169">
        <v>0</v>
      </c>
      <c r="AN91" s="169">
        <v>0</v>
      </c>
      <c r="AO91" s="169">
        <v>0</v>
      </c>
      <c r="AP91" s="170">
        <v>0</v>
      </c>
    </row>
    <row r="92" spans="1:42" x14ac:dyDescent="0.35">
      <c r="A92" s="158" t="s">
        <v>160</v>
      </c>
      <c r="B92" s="158" t="s">
        <v>161</v>
      </c>
      <c r="C92" s="130" t="str">
        <f t="shared" si="1"/>
        <v>2.01.05Outras Obrigações</v>
      </c>
      <c r="D92" s="169">
        <v>580207</v>
      </c>
      <c r="E92" s="169">
        <v>543300</v>
      </c>
      <c r="F92" s="169">
        <v>499446</v>
      </c>
      <c r="G92" s="169">
        <v>565255</v>
      </c>
      <c r="H92" s="222">
        <v>625416</v>
      </c>
      <c r="I92" s="168">
        <v>730085</v>
      </c>
      <c r="J92" s="168">
        <v>691349</v>
      </c>
      <c r="K92" s="169">
        <v>743450</v>
      </c>
      <c r="L92" s="168">
        <v>601965</v>
      </c>
      <c r="M92" s="169">
        <v>531351</v>
      </c>
      <c r="N92" s="169">
        <v>501499</v>
      </c>
      <c r="O92" s="169">
        <v>569504</v>
      </c>
      <c r="P92" s="169">
        <v>617939</v>
      </c>
      <c r="Q92" s="169">
        <v>655060</v>
      </c>
      <c r="R92" s="169">
        <v>610693</v>
      </c>
      <c r="S92" s="169">
        <v>628011</v>
      </c>
      <c r="T92" s="169">
        <v>538667</v>
      </c>
      <c r="U92" s="169">
        <v>561226</v>
      </c>
      <c r="V92" s="169">
        <v>686992</v>
      </c>
      <c r="W92" s="169">
        <v>596619</v>
      </c>
      <c r="X92" s="169">
        <v>620429</v>
      </c>
      <c r="Y92" s="169">
        <v>589972</v>
      </c>
      <c r="Z92" s="169">
        <v>571793</v>
      </c>
      <c r="AA92" s="169">
        <v>507070</v>
      </c>
      <c r="AB92" s="169">
        <v>430257</v>
      </c>
      <c r="AC92" s="169">
        <v>375438</v>
      </c>
      <c r="AD92" s="169">
        <v>364952</v>
      </c>
      <c r="AE92" s="169">
        <v>383360</v>
      </c>
      <c r="AF92" s="169">
        <v>363634</v>
      </c>
      <c r="AG92" s="169">
        <v>419502</v>
      </c>
      <c r="AH92" s="169">
        <v>418605</v>
      </c>
      <c r="AI92" s="169">
        <v>394631</v>
      </c>
      <c r="AJ92" s="169">
        <v>381991</v>
      </c>
      <c r="AK92" s="169">
        <v>404854</v>
      </c>
      <c r="AL92" s="169">
        <v>266525</v>
      </c>
      <c r="AM92" s="169">
        <v>300145</v>
      </c>
      <c r="AN92" s="169">
        <v>307308</v>
      </c>
      <c r="AO92" s="169">
        <v>279202</v>
      </c>
      <c r="AP92" s="170">
        <v>201895</v>
      </c>
    </row>
    <row r="93" spans="1:42" x14ac:dyDescent="0.35">
      <c r="A93" s="158" t="s">
        <v>162</v>
      </c>
      <c r="B93" s="158" t="s">
        <v>163</v>
      </c>
      <c r="C93" s="130" t="str">
        <f t="shared" si="1"/>
        <v>2.01.05.01Passivos com Partes Relacionadas</v>
      </c>
      <c r="D93" s="169">
        <v>0</v>
      </c>
      <c r="E93" s="169">
        <v>0</v>
      </c>
      <c r="F93" s="169">
        <v>0</v>
      </c>
      <c r="G93" s="169">
        <v>0</v>
      </c>
      <c r="H93" s="168">
        <v>0</v>
      </c>
      <c r="I93" s="168">
        <v>0</v>
      </c>
      <c r="J93" s="168">
        <v>0</v>
      </c>
      <c r="K93" s="169">
        <v>0</v>
      </c>
      <c r="L93" s="168">
        <v>0</v>
      </c>
      <c r="M93" s="169">
        <v>0</v>
      </c>
      <c r="N93" s="169">
        <v>0</v>
      </c>
      <c r="O93" s="169">
        <v>0</v>
      </c>
      <c r="P93" s="169">
        <v>0</v>
      </c>
      <c r="Q93" s="169">
        <v>0</v>
      </c>
      <c r="R93" s="169">
        <v>0</v>
      </c>
      <c r="S93" s="169">
        <v>0</v>
      </c>
      <c r="T93" s="169">
        <v>0</v>
      </c>
      <c r="U93" s="169">
        <v>0</v>
      </c>
      <c r="V93" s="169">
        <v>0</v>
      </c>
      <c r="W93" s="169">
        <v>0</v>
      </c>
      <c r="X93" s="169">
        <v>0</v>
      </c>
      <c r="Y93" s="169">
        <v>0</v>
      </c>
      <c r="Z93" s="169">
        <v>0</v>
      </c>
      <c r="AA93" s="169">
        <v>0</v>
      </c>
      <c r="AB93" s="169">
        <v>0</v>
      </c>
      <c r="AC93" s="169">
        <v>0</v>
      </c>
      <c r="AD93" s="169">
        <v>0</v>
      </c>
      <c r="AE93" s="169">
        <v>0</v>
      </c>
      <c r="AF93" s="169">
        <v>0</v>
      </c>
      <c r="AG93" s="169">
        <v>0</v>
      </c>
      <c r="AH93" s="169">
        <v>0</v>
      </c>
      <c r="AI93" s="169">
        <v>0</v>
      </c>
      <c r="AJ93" s="169">
        <v>0</v>
      </c>
      <c r="AK93" s="169">
        <v>0</v>
      </c>
      <c r="AL93" s="169">
        <v>0</v>
      </c>
      <c r="AM93" s="169">
        <v>0</v>
      </c>
      <c r="AN93" s="169">
        <v>0</v>
      </c>
      <c r="AO93" s="169">
        <v>0</v>
      </c>
      <c r="AP93" s="170">
        <v>0</v>
      </c>
    </row>
    <row r="94" spans="1:42" x14ac:dyDescent="0.35">
      <c r="A94" s="158" t="s">
        <v>164</v>
      </c>
      <c r="B94" s="158" t="s">
        <v>165</v>
      </c>
      <c r="C94" s="130" t="str">
        <f t="shared" si="1"/>
        <v>2.01.05.01.01Débitos com Coligadas</v>
      </c>
      <c r="D94" s="169">
        <v>0</v>
      </c>
      <c r="E94" s="169">
        <v>0</v>
      </c>
      <c r="F94" s="169">
        <v>0</v>
      </c>
      <c r="G94" s="169">
        <v>0</v>
      </c>
      <c r="H94" s="168">
        <v>0</v>
      </c>
      <c r="I94" s="168">
        <v>0</v>
      </c>
      <c r="J94" s="168">
        <v>0</v>
      </c>
      <c r="K94" s="169">
        <v>0</v>
      </c>
      <c r="L94" s="168">
        <v>0</v>
      </c>
      <c r="M94" s="169">
        <v>0</v>
      </c>
      <c r="N94" s="169">
        <v>0</v>
      </c>
      <c r="O94" s="169">
        <v>0</v>
      </c>
      <c r="P94" s="169">
        <v>0</v>
      </c>
      <c r="Q94" s="169">
        <v>0</v>
      </c>
      <c r="R94" s="169">
        <v>0</v>
      </c>
      <c r="S94" s="169">
        <v>0</v>
      </c>
      <c r="T94" s="169">
        <v>0</v>
      </c>
      <c r="U94" s="169">
        <v>0</v>
      </c>
      <c r="V94" s="169">
        <v>0</v>
      </c>
      <c r="W94" s="169">
        <v>0</v>
      </c>
      <c r="X94" s="169">
        <v>0</v>
      </c>
      <c r="Y94" s="169">
        <v>0</v>
      </c>
      <c r="Z94" s="169">
        <v>0</v>
      </c>
      <c r="AA94" s="169">
        <v>0</v>
      </c>
      <c r="AB94" s="169">
        <v>0</v>
      </c>
      <c r="AC94" s="169">
        <v>0</v>
      </c>
      <c r="AD94" s="169">
        <v>0</v>
      </c>
      <c r="AE94" s="169">
        <v>0</v>
      </c>
      <c r="AF94" s="169">
        <v>0</v>
      </c>
      <c r="AG94" s="169">
        <v>0</v>
      </c>
      <c r="AH94" s="169">
        <v>0</v>
      </c>
      <c r="AI94" s="169">
        <v>0</v>
      </c>
      <c r="AJ94" s="169">
        <v>0</v>
      </c>
      <c r="AK94" s="169">
        <v>0</v>
      </c>
      <c r="AL94" s="169">
        <v>0</v>
      </c>
      <c r="AM94" s="169">
        <v>0</v>
      </c>
      <c r="AN94" s="169">
        <v>0</v>
      </c>
      <c r="AO94" s="169">
        <v>0</v>
      </c>
      <c r="AP94" s="170">
        <v>0</v>
      </c>
    </row>
    <row r="95" spans="1:42" x14ac:dyDescent="0.35">
      <c r="A95" s="158" t="s">
        <v>166</v>
      </c>
      <c r="B95" s="158" t="s">
        <v>167</v>
      </c>
      <c r="C95" s="130" t="str">
        <f t="shared" si="1"/>
        <v>2.01.05.01.03Débitos com Controladores</v>
      </c>
      <c r="D95" s="169">
        <v>0</v>
      </c>
      <c r="E95" s="169">
        <v>0</v>
      </c>
      <c r="F95" s="169">
        <v>0</v>
      </c>
      <c r="G95" s="169">
        <v>0</v>
      </c>
      <c r="H95" s="168">
        <v>0</v>
      </c>
      <c r="I95" s="168">
        <v>0</v>
      </c>
      <c r="J95" s="168">
        <v>0</v>
      </c>
      <c r="K95" s="169">
        <v>0</v>
      </c>
      <c r="L95" s="168">
        <v>0</v>
      </c>
      <c r="M95" s="169">
        <v>0</v>
      </c>
      <c r="N95" s="169">
        <v>0</v>
      </c>
      <c r="O95" s="169">
        <v>0</v>
      </c>
      <c r="P95" s="169">
        <v>0</v>
      </c>
      <c r="Q95" s="169">
        <v>0</v>
      </c>
      <c r="R95" s="169">
        <v>0</v>
      </c>
      <c r="S95" s="169">
        <v>0</v>
      </c>
      <c r="T95" s="169">
        <v>0</v>
      </c>
      <c r="U95" s="169">
        <v>0</v>
      </c>
      <c r="V95" s="169">
        <v>0</v>
      </c>
      <c r="W95" s="169">
        <v>0</v>
      </c>
      <c r="X95" s="169">
        <v>0</v>
      </c>
      <c r="Y95" s="169">
        <v>0</v>
      </c>
      <c r="Z95" s="169">
        <v>0</v>
      </c>
      <c r="AA95" s="169">
        <v>0</v>
      </c>
      <c r="AB95" s="169">
        <v>0</v>
      </c>
      <c r="AC95" s="169">
        <v>0</v>
      </c>
      <c r="AD95" s="169">
        <v>0</v>
      </c>
      <c r="AE95" s="169">
        <v>0</v>
      </c>
      <c r="AF95" s="169">
        <v>0</v>
      </c>
      <c r="AG95" s="169">
        <v>0</v>
      </c>
      <c r="AH95" s="169">
        <v>0</v>
      </c>
      <c r="AI95" s="169">
        <v>0</v>
      </c>
      <c r="AJ95" s="169">
        <v>0</v>
      </c>
      <c r="AK95" s="169">
        <v>0</v>
      </c>
      <c r="AL95" s="169">
        <v>0</v>
      </c>
      <c r="AM95" s="169">
        <v>0</v>
      </c>
      <c r="AN95" s="169">
        <v>0</v>
      </c>
      <c r="AO95" s="169">
        <v>0</v>
      </c>
      <c r="AP95" s="170">
        <v>0</v>
      </c>
    </row>
    <row r="96" spans="1:42" x14ac:dyDescent="0.35">
      <c r="A96" s="158" t="s">
        <v>168</v>
      </c>
      <c r="B96" s="158" t="s">
        <v>169</v>
      </c>
      <c r="C96" s="130" t="str">
        <f t="shared" si="1"/>
        <v>2.01.05.01.04Débitos com Outras Partes Relacionadas</v>
      </c>
      <c r="D96" s="169">
        <v>0</v>
      </c>
      <c r="E96" s="169">
        <v>0</v>
      </c>
      <c r="F96" s="169">
        <v>0</v>
      </c>
      <c r="G96" s="169">
        <v>0</v>
      </c>
      <c r="H96" s="168">
        <v>0</v>
      </c>
      <c r="I96" s="168">
        <v>0</v>
      </c>
      <c r="J96" s="168">
        <v>0</v>
      </c>
      <c r="K96" s="169">
        <v>0</v>
      </c>
      <c r="L96" s="168">
        <v>0</v>
      </c>
      <c r="M96" s="169">
        <v>0</v>
      </c>
      <c r="N96" s="169">
        <v>0</v>
      </c>
      <c r="O96" s="169">
        <v>0</v>
      </c>
      <c r="P96" s="169">
        <v>0</v>
      </c>
      <c r="Q96" s="169">
        <v>0</v>
      </c>
      <c r="R96" s="169">
        <v>0</v>
      </c>
      <c r="S96" s="169">
        <v>0</v>
      </c>
      <c r="T96" s="169">
        <v>0</v>
      </c>
      <c r="U96" s="169">
        <v>0</v>
      </c>
      <c r="V96" s="169">
        <v>0</v>
      </c>
      <c r="W96" s="169">
        <v>0</v>
      </c>
      <c r="X96" s="169">
        <v>0</v>
      </c>
      <c r="Y96" s="169">
        <v>0</v>
      </c>
      <c r="Z96" s="169">
        <v>0</v>
      </c>
      <c r="AA96" s="169">
        <v>0</v>
      </c>
      <c r="AB96" s="169">
        <v>0</v>
      </c>
      <c r="AC96" s="169">
        <v>0</v>
      </c>
      <c r="AD96" s="169">
        <v>0</v>
      </c>
      <c r="AE96" s="169">
        <v>0</v>
      </c>
      <c r="AF96" s="169">
        <v>0</v>
      </c>
      <c r="AG96" s="169">
        <v>0</v>
      </c>
      <c r="AH96" s="169">
        <v>0</v>
      </c>
      <c r="AI96" s="169">
        <v>0</v>
      </c>
      <c r="AJ96" s="169">
        <v>0</v>
      </c>
      <c r="AK96" s="169">
        <v>0</v>
      </c>
      <c r="AL96" s="169">
        <v>0</v>
      </c>
      <c r="AM96" s="169">
        <v>0</v>
      </c>
      <c r="AN96" s="169">
        <v>0</v>
      </c>
      <c r="AO96" s="169">
        <v>0</v>
      </c>
      <c r="AP96" s="170">
        <v>0</v>
      </c>
    </row>
    <row r="97" spans="1:42" x14ac:dyDescent="0.35">
      <c r="A97" s="158" t="s">
        <v>170</v>
      </c>
      <c r="B97" s="158" t="s">
        <v>43</v>
      </c>
      <c r="C97" s="130" t="str">
        <f t="shared" si="1"/>
        <v>2.01.05.02Outros</v>
      </c>
      <c r="D97" s="169">
        <v>580207</v>
      </c>
      <c r="E97" s="169">
        <v>543300</v>
      </c>
      <c r="F97" s="169">
        <v>499446</v>
      </c>
      <c r="G97" s="169">
        <v>565255</v>
      </c>
      <c r="H97" s="222">
        <v>625416</v>
      </c>
      <c r="I97" s="168">
        <v>730085</v>
      </c>
      <c r="J97" s="168">
        <v>691349</v>
      </c>
      <c r="K97" s="169">
        <v>743450</v>
      </c>
      <c r="L97" s="168">
        <v>601965</v>
      </c>
      <c r="M97" s="169">
        <v>531351</v>
      </c>
      <c r="N97" s="169">
        <v>501499</v>
      </c>
      <c r="O97" s="169">
        <v>569504</v>
      </c>
      <c r="P97" s="169">
        <v>617939</v>
      </c>
      <c r="Q97" s="169">
        <v>655060</v>
      </c>
      <c r="R97" s="169">
        <v>610693</v>
      </c>
      <c r="S97" s="169">
        <v>628011</v>
      </c>
      <c r="T97" s="169">
        <v>538667</v>
      </c>
      <c r="U97" s="169">
        <v>561226</v>
      </c>
      <c r="V97" s="169">
        <v>686992</v>
      </c>
      <c r="W97" s="169">
        <v>596619</v>
      </c>
      <c r="X97" s="169">
        <v>620429</v>
      </c>
      <c r="Y97" s="169">
        <v>589972</v>
      </c>
      <c r="Z97" s="169">
        <v>571793</v>
      </c>
      <c r="AA97" s="169">
        <v>507070</v>
      </c>
      <c r="AB97" s="169">
        <v>430257</v>
      </c>
      <c r="AC97" s="169">
        <v>375438</v>
      </c>
      <c r="AD97" s="169">
        <v>364952</v>
      </c>
      <c r="AE97" s="169">
        <v>383360</v>
      </c>
      <c r="AF97" s="169">
        <v>363634</v>
      </c>
      <c r="AG97" s="169">
        <v>419502</v>
      </c>
      <c r="AH97" s="169">
        <v>418605</v>
      </c>
      <c r="AI97" s="169">
        <v>394631</v>
      </c>
      <c r="AJ97" s="169">
        <v>381991</v>
      </c>
      <c r="AK97" s="169">
        <v>404854</v>
      </c>
      <c r="AL97" s="169">
        <v>266525</v>
      </c>
      <c r="AM97" s="169">
        <v>300145</v>
      </c>
      <c r="AN97" s="169">
        <v>307308</v>
      </c>
      <c r="AO97" s="169">
        <v>279202</v>
      </c>
      <c r="AP97" s="170">
        <v>201895</v>
      </c>
    </row>
    <row r="98" spans="1:42" x14ac:dyDescent="0.35">
      <c r="A98" s="158" t="s">
        <v>171</v>
      </c>
      <c r="B98" s="158" t="s">
        <v>172</v>
      </c>
      <c r="C98" s="130" t="str">
        <f t="shared" si="1"/>
        <v>2.01.05.02.01Dividendos e JCP a Pagar</v>
      </c>
      <c r="D98" s="169">
        <v>52247</v>
      </c>
      <c r="E98" s="169">
        <v>95340</v>
      </c>
      <c r="F98" s="169">
        <v>42437</v>
      </c>
      <c r="G98" s="169">
        <v>120177</v>
      </c>
      <c r="H98" s="222">
        <v>101219</v>
      </c>
      <c r="I98" s="168">
        <v>135133</v>
      </c>
      <c r="J98" s="168">
        <v>99673</v>
      </c>
      <c r="K98" s="169">
        <v>112474</v>
      </c>
      <c r="L98" s="168">
        <v>97359</v>
      </c>
      <c r="M98" s="169">
        <v>85797</v>
      </c>
      <c r="N98" s="169">
        <v>13465</v>
      </c>
      <c r="O98" s="169">
        <v>21531</v>
      </c>
      <c r="P98" s="169">
        <v>42432</v>
      </c>
      <c r="Q98" s="169">
        <v>101712</v>
      </c>
      <c r="R98" s="169">
        <v>125623</v>
      </c>
      <c r="S98" s="169">
        <v>78816</v>
      </c>
      <c r="T98" s="169">
        <v>61023</v>
      </c>
      <c r="U98" s="169">
        <v>37290</v>
      </c>
      <c r="V98" s="169">
        <v>201326</v>
      </c>
      <c r="W98" s="169">
        <v>34025</v>
      </c>
      <c r="X98" s="169">
        <v>55756</v>
      </c>
      <c r="Y98" s="169">
        <v>74790</v>
      </c>
      <c r="Z98" s="169">
        <v>89731</v>
      </c>
      <c r="AA98" s="169">
        <v>93026</v>
      </c>
      <c r="AB98" s="169">
        <v>86596</v>
      </c>
      <c r="AC98" s="169">
        <v>81676</v>
      </c>
      <c r="AD98" s="169">
        <v>127147</v>
      </c>
      <c r="AE98" s="169">
        <v>65930</v>
      </c>
      <c r="AF98" s="169">
        <v>56117</v>
      </c>
      <c r="AG98" s="169">
        <v>56352</v>
      </c>
      <c r="AH98" s="169">
        <v>99199</v>
      </c>
      <c r="AI98" s="169">
        <v>79606</v>
      </c>
      <c r="AJ98" s="169">
        <v>53138</v>
      </c>
      <c r="AK98" s="169">
        <v>93564</v>
      </c>
      <c r="AL98" s="169">
        <v>5436</v>
      </c>
      <c r="AM98" s="169">
        <v>25881</v>
      </c>
      <c r="AN98" s="169">
        <v>70498</v>
      </c>
      <c r="AO98" s="169">
        <v>73718</v>
      </c>
      <c r="AP98" s="170">
        <v>10751</v>
      </c>
    </row>
    <row r="99" spans="1:42" x14ac:dyDescent="0.35">
      <c r="A99" s="158" t="s">
        <v>173</v>
      </c>
      <c r="B99" s="158" t="s">
        <v>174</v>
      </c>
      <c r="C99" s="130" t="str">
        <f t="shared" si="1"/>
        <v>2.01.05.02.02Dividendo Mínimo Obrigatório a Pagar</v>
      </c>
      <c r="D99" s="169">
        <v>0</v>
      </c>
      <c r="E99" s="169">
        <v>0</v>
      </c>
      <c r="F99" s="169">
        <v>0</v>
      </c>
      <c r="G99" s="169">
        <v>0</v>
      </c>
      <c r="H99" s="168">
        <v>0</v>
      </c>
      <c r="I99" s="168">
        <v>0</v>
      </c>
      <c r="J99" s="168">
        <v>0</v>
      </c>
      <c r="K99" s="169">
        <v>0</v>
      </c>
      <c r="L99" s="168">
        <v>0</v>
      </c>
      <c r="M99" s="169">
        <v>0</v>
      </c>
      <c r="N99" s="169">
        <v>0</v>
      </c>
      <c r="O99" s="169">
        <v>0</v>
      </c>
      <c r="P99" s="169">
        <v>0</v>
      </c>
      <c r="Q99" s="169">
        <v>0</v>
      </c>
      <c r="R99" s="169">
        <v>0</v>
      </c>
      <c r="S99" s="169">
        <v>0</v>
      </c>
      <c r="T99" s="169">
        <v>0</v>
      </c>
      <c r="U99" s="169">
        <v>0</v>
      </c>
      <c r="V99" s="169">
        <v>0</v>
      </c>
      <c r="W99" s="169">
        <v>0</v>
      </c>
      <c r="X99" s="169">
        <v>0</v>
      </c>
      <c r="Y99" s="169">
        <v>0</v>
      </c>
      <c r="Z99" s="169">
        <v>0</v>
      </c>
      <c r="AA99" s="169">
        <v>0</v>
      </c>
      <c r="AB99" s="169">
        <v>0</v>
      </c>
      <c r="AC99" s="169">
        <v>0</v>
      </c>
      <c r="AD99" s="169">
        <v>0</v>
      </c>
      <c r="AE99" s="169">
        <v>0</v>
      </c>
      <c r="AF99" s="169">
        <v>0</v>
      </c>
      <c r="AG99" s="169">
        <v>0</v>
      </c>
      <c r="AH99" s="169">
        <v>0</v>
      </c>
      <c r="AI99" s="169">
        <v>0</v>
      </c>
      <c r="AJ99" s="169">
        <v>0</v>
      </c>
      <c r="AK99" s="169">
        <v>0</v>
      </c>
      <c r="AL99" s="169">
        <v>0</v>
      </c>
      <c r="AM99" s="169">
        <v>0</v>
      </c>
      <c r="AN99" s="169">
        <v>0</v>
      </c>
      <c r="AO99" s="169">
        <v>0</v>
      </c>
      <c r="AP99" s="170">
        <v>0</v>
      </c>
    </row>
    <row r="100" spans="1:42" x14ac:dyDescent="0.35">
      <c r="A100" s="158" t="s">
        <v>175</v>
      </c>
      <c r="B100" s="158" t="s">
        <v>176</v>
      </c>
      <c r="C100" s="130" t="str">
        <f t="shared" si="1"/>
        <v>2.01.05.02.03Obrigações por Pagamentos Baseados em Ações</v>
      </c>
      <c r="D100" s="169">
        <v>0</v>
      </c>
      <c r="E100" s="169">
        <v>0</v>
      </c>
      <c r="F100" s="169">
        <v>0</v>
      </c>
      <c r="G100" s="169">
        <v>0</v>
      </c>
      <c r="H100" s="168">
        <v>0</v>
      </c>
      <c r="I100" s="168">
        <v>0</v>
      </c>
      <c r="J100" s="168">
        <v>0</v>
      </c>
      <c r="K100" s="169">
        <v>0</v>
      </c>
      <c r="L100" s="168">
        <v>0</v>
      </c>
      <c r="M100" s="169">
        <v>0</v>
      </c>
      <c r="N100" s="169">
        <v>0</v>
      </c>
      <c r="O100" s="169">
        <v>0</v>
      </c>
      <c r="P100" s="169">
        <v>0</v>
      </c>
      <c r="Q100" s="169">
        <v>0</v>
      </c>
      <c r="R100" s="169">
        <v>0</v>
      </c>
      <c r="S100" s="169">
        <v>0</v>
      </c>
      <c r="T100" s="169">
        <v>0</v>
      </c>
      <c r="U100" s="169">
        <v>0</v>
      </c>
      <c r="V100" s="169">
        <v>0</v>
      </c>
      <c r="W100" s="169">
        <v>0</v>
      </c>
      <c r="X100" s="169">
        <v>0</v>
      </c>
      <c r="Y100" s="169">
        <v>0</v>
      </c>
      <c r="Z100" s="169">
        <v>0</v>
      </c>
      <c r="AA100" s="169">
        <v>0</v>
      </c>
      <c r="AB100" s="169">
        <v>0</v>
      </c>
      <c r="AC100" s="169">
        <v>0</v>
      </c>
      <c r="AD100" s="169">
        <v>0</v>
      </c>
      <c r="AE100" s="169">
        <v>0</v>
      </c>
      <c r="AF100" s="169">
        <v>0</v>
      </c>
      <c r="AG100" s="169">
        <v>0</v>
      </c>
      <c r="AH100" s="169">
        <v>0</v>
      </c>
      <c r="AI100" s="169">
        <v>0</v>
      </c>
      <c r="AJ100" s="169">
        <v>0</v>
      </c>
      <c r="AK100" s="169">
        <v>0</v>
      </c>
      <c r="AL100" s="169">
        <v>0</v>
      </c>
      <c r="AM100" s="169">
        <v>0</v>
      </c>
      <c r="AN100" s="169">
        <v>0</v>
      </c>
      <c r="AO100" s="169">
        <v>0</v>
      </c>
      <c r="AP100" s="170">
        <v>0</v>
      </c>
    </row>
    <row r="101" spans="1:42" x14ac:dyDescent="0.35">
      <c r="A101" s="158" t="s">
        <v>177</v>
      </c>
      <c r="B101" s="158" t="s">
        <v>178</v>
      </c>
      <c r="C101" s="130" t="str">
        <f t="shared" si="1"/>
        <v>2.01.05.02.04Adiantamentos de Clientes</v>
      </c>
      <c r="D101" s="169">
        <v>24426</v>
      </c>
      <c r="E101" s="169">
        <v>20769</v>
      </c>
      <c r="F101" s="169">
        <v>27993</v>
      </c>
      <c r="G101" s="169">
        <v>36286</v>
      </c>
      <c r="H101" s="222">
        <v>37294</v>
      </c>
      <c r="I101" s="168">
        <v>38672</v>
      </c>
      <c r="J101" s="168">
        <v>50633</v>
      </c>
      <c r="K101" s="169">
        <v>109966</v>
      </c>
      <c r="L101" s="168">
        <v>42311</v>
      </c>
      <c r="M101" s="169">
        <v>55435</v>
      </c>
      <c r="N101" s="169">
        <v>47539</v>
      </c>
      <c r="O101" s="169">
        <v>51739</v>
      </c>
      <c r="P101" s="169">
        <v>59910</v>
      </c>
      <c r="Q101" s="169">
        <v>63351</v>
      </c>
      <c r="R101" s="169">
        <v>66561</v>
      </c>
      <c r="S101" s="169">
        <v>110416</v>
      </c>
      <c r="T101" s="169">
        <v>83481</v>
      </c>
      <c r="U101" s="169">
        <v>81757</v>
      </c>
      <c r="V101" s="169">
        <v>83113</v>
      </c>
      <c r="W101" s="169">
        <v>68904</v>
      </c>
      <c r="X101" s="169">
        <v>102615</v>
      </c>
      <c r="Y101" s="169">
        <v>78299</v>
      </c>
      <c r="Z101" s="169">
        <v>58849</v>
      </c>
      <c r="AA101" s="169">
        <v>53239</v>
      </c>
      <c r="AB101" s="169">
        <v>47215</v>
      </c>
      <c r="AC101" s="169">
        <v>48317</v>
      </c>
      <c r="AD101" s="169">
        <v>27244</v>
      </c>
      <c r="AE101" s="169">
        <v>69118</v>
      </c>
      <c r="AF101" s="169">
        <v>76239</v>
      </c>
      <c r="AG101" s="169">
        <v>111520</v>
      </c>
      <c r="AH101" s="169">
        <v>109025</v>
      </c>
      <c r="AI101" s="169">
        <v>129408</v>
      </c>
      <c r="AJ101" s="169">
        <v>129266</v>
      </c>
      <c r="AK101" s="169">
        <v>120363</v>
      </c>
      <c r="AL101" s="169">
        <v>99795</v>
      </c>
      <c r="AM101" s="169">
        <v>101088</v>
      </c>
      <c r="AN101" s="169">
        <v>89275</v>
      </c>
      <c r="AO101" s="169">
        <v>66589</v>
      </c>
      <c r="AP101" s="170">
        <v>55942</v>
      </c>
    </row>
    <row r="102" spans="1:42" x14ac:dyDescent="0.35">
      <c r="A102" s="158" t="s">
        <v>179</v>
      </c>
      <c r="B102" s="158" t="s">
        <v>375</v>
      </c>
      <c r="C102" s="130" t="str">
        <f t="shared" si="1"/>
        <v>2.01.05.02.05Outras obrigações</v>
      </c>
      <c r="D102" s="169">
        <v>503534</v>
      </c>
      <c r="E102" s="169">
        <v>427191</v>
      </c>
      <c r="F102" s="169">
        <v>427993</v>
      </c>
      <c r="G102" s="169">
        <v>406249</v>
      </c>
      <c r="H102" s="222">
        <v>476205</v>
      </c>
      <c r="I102" s="168">
        <v>556061</v>
      </c>
      <c r="J102" s="168">
        <v>540808</v>
      </c>
      <c r="K102" s="169">
        <v>512506</v>
      </c>
      <c r="L102" s="168">
        <v>461573</v>
      </c>
      <c r="M102" s="169">
        <v>387872</v>
      </c>
      <c r="N102" s="169">
        <v>421833</v>
      </c>
      <c r="O102" s="169">
        <v>489167</v>
      </c>
      <c r="P102" s="169">
        <v>499814</v>
      </c>
      <c r="Q102" s="169">
        <v>475057</v>
      </c>
      <c r="R102" s="169">
        <v>402259</v>
      </c>
      <c r="S102" s="169">
        <v>428519</v>
      </c>
      <c r="T102" s="169">
        <v>379848</v>
      </c>
      <c r="U102" s="169">
        <v>427852</v>
      </c>
      <c r="V102" s="169">
        <v>402553</v>
      </c>
      <c r="W102" s="169">
        <v>493690</v>
      </c>
      <c r="X102" s="169">
        <v>462058</v>
      </c>
      <c r="Y102" s="169">
        <v>436883</v>
      </c>
      <c r="Z102" s="169">
        <v>423213</v>
      </c>
      <c r="AA102" s="169">
        <v>360805</v>
      </c>
      <c r="AB102" s="169">
        <v>296446</v>
      </c>
      <c r="AC102" s="169">
        <v>245445</v>
      </c>
      <c r="AD102" s="169">
        <v>210561</v>
      </c>
      <c r="AE102" s="169">
        <v>248312</v>
      </c>
      <c r="AF102" s="169">
        <v>231278</v>
      </c>
      <c r="AG102" s="169">
        <v>251630</v>
      </c>
      <c r="AH102" s="169">
        <v>210381</v>
      </c>
      <c r="AI102" s="169">
        <v>185617</v>
      </c>
      <c r="AJ102" s="169">
        <v>199587</v>
      </c>
      <c r="AK102" s="169">
        <v>190927</v>
      </c>
      <c r="AL102" s="169">
        <v>161294</v>
      </c>
      <c r="AM102" s="169">
        <v>173176</v>
      </c>
      <c r="AN102" s="169">
        <v>147535</v>
      </c>
      <c r="AO102" s="169">
        <v>138895</v>
      </c>
      <c r="AP102" s="170">
        <v>135202</v>
      </c>
    </row>
    <row r="103" spans="1:42" x14ac:dyDescent="0.35">
      <c r="A103" s="158" t="s">
        <v>180</v>
      </c>
      <c r="B103" s="158" t="s">
        <v>49</v>
      </c>
      <c r="C103" s="130" t="s">
        <v>424</v>
      </c>
      <c r="D103" s="169">
        <v>0</v>
      </c>
      <c r="E103" s="169">
        <v>0</v>
      </c>
      <c r="F103" s="169">
        <v>1023</v>
      </c>
      <c r="G103" s="169">
        <v>2543</v>
      </c>
      <c r="H103" s="222">
        <v>10698</v>
      </c>
      <c r="I103" s="168">
        <v>219</v>
      </c>
      <c r="J103" s="168">
        <v>235</v>
      </c>
      <c r="K103" s="169">
        <v>8504</v>
      </c>
      <c r="L103" s="168">
        <v>722</v>
      </c>
      <c r="M103" s="169">
        <v>2247</v>
      </c>
      <c r="N103" s="169">
        <v>18662</v>
      </c>
      <c r="O103" s="169">
        <v>7067</v>
      </c>
      <c r="P103" s="169">
        <v>15783</v>
      </c>
      <c r="Q103" s="169">
        <v>14940</v>
      </c>
      <c r="R103" s="169">
        <v>16250</v>
      </c>
      <c r="S103" s="169">
        <v>10260</v>
      </c>
      <c r="T103" s="169">
        <v>14315</v>
      </c>
      <c r="U103" s="169">
        <v>14327</v>
      </c>
      <c r="V103" s="169">
        <v>0</v>
      </c>
      <c r="W103" s="169">
        <v>0</v>
      </c>
      <c r="X103" s="169">
        <v>0</v>
      </c>
      <c r="Y103" s="169">
        <v>0</v>
      </c>
      <c r="Z103" s="169">
        <v>0</v>
      </c>
      <c r="AA103" s="169">
        <v>0</v>
      </c>
      <c r="AB103" s="169">
        <v>0</v>
      </c>
      <c r="AC103" s="169">
        <v>0</v>
      </c>
      <c r="AD103" s="169">
        <v>0</v>
      </c>
      <c r="AE103" s="169">
        <v>0</v>
      </c>
      <c r="AF103" s="169">
        <v>0</v>
      </c>
      <c r="AG103" s="169">
        <v>0</v>
      </c>
      <c r="AH103" s="169">
        <v>0</v>
      </c>
      <c r="AI103" s="169">
        <v>0</v>
      </c>
      <c r="AJ103" s="169">
        <v>0</v>
      </c>
      <c r="AK103" s="169">
        <v>0</v>
      </c>
      <c r="AL103" s="169">
        <v>0</v>
      </c>
      <c r="AM103" s="169">
        <v>0</v>
      </c>
      <c r="AN103" s="169">
        <v>0</v>
      </c>
      <c r="AO103" s="169">
        <v>0</v>
      </c>
      <c r="AP103" s="170">
        <v>0</v>
      </c>
    </row>
    <row r="104" spans="1:42" x14ac:dyDescent="0.35">
      <c r="A104" s="158" t="s">
        <v>181</v>
      </c>
      <c r="B104" s="158" t="s">
        <v>182</v>
      </c>
      <c r="C104" s="130" t="str">
        <f t="shared" si="1"/>
        <v>2.01.06Provisões</v>
      </c>
      <c r="D104" s="169">
        <v>0</v>
      </c>
      <c r="E104" s="169">
        <v>0</v>
      </c>
      <c r="F104" s="169">
        <v>0</v>
      </c>
      <c r="G104" s="169">
        <v>0</v>
      </c>
      <c r="H104" s="168">
        <v>0</v>
      </c>
      <c r="I104" s="168">
        <v>0</v>
      </c>
      <c r="J104" s="168">
        <v>0</v>
      </c>
      <c r="K104" s="169">
        <v>0</v>
      </c>
      <c r="L104" s="168">
        <v>0</v>
      </c>
      <c r="M104" s="169">
        <v>0</v>
      </c>
      <c r="N104" s="169">
        <v>0</v>
      </c>
      <c r="O104" s="169">
        <v>0</v>
      </c>
      <c r="P104" s="169">
        <v>0</v>
      </c>
      <c r="Q104" s="169">
        <v>0</v>
      </c>
      <c r="R104" s="169">
        <v>0</v>
      </c>
      <c r="S104" s="169">
        <v>0</v>
      </c>
      <c r="T104" s="169">
        <v>0</v>
      </c>
      <c r="U104" s="169">
        <v>0</v>
      </c>
      <c r="V104" s="169">
        <v>0</v>
      </c>
      <c r="W104" s="169">
        <v>0</v>
      </c>
      <c r="X104" s="169">
        <v>0</v>
      </c>
      <c r="Y104" s="169">
        <v>0</v>
      </c>
      <c r="Z104" s="169">
        <v>0</v>
      </c>
      <c r="AA104" s="169">
        <v>0</v>
      </c>
      <c r="AB104" s="169">
        <v>0</v>
      </c>
      <c r="AC104" s="169">
        <v>0</v>
      </c>
      <c r="AD104" s="169">
        <v>0</v>
      </c>
      <c r="AE104" s="169">
        <v>0</v>
      </c>
      <c r="AF104" s="169">
        <v>0</v>
      </c>
      <c r="AG104" s="169">
        <v>0</v>
      </c>
      <c r="AH104" s="169">
        <v>0</v>
      </c>
      <c r="AI104" s="169">
        <v>0</v>
      </c>
      <c r="AJ104" s="169">
        <v>0</v>
      </c>
      <c r="AK104" s="169">
        <v>0</v>
      </c>
      <c r="AL104" s="169">
        <v>0</v>
      </c>
      <c r="AM104" s="169">
        <v>0</v>
      </c>
      <c r="AN104" s="169">
        <v>0</v>
      </c>
      <c r="AO104" s="169">
        <v>0</v>
      </c>
      <c r="AP104" s="170">
        <v>0</v>
      </c>
    </row>
    <row r="105" spans="1:42" x14ac:dyDescent="0.35">
      <c r="A105" s="158" t="s">
        <v>183</v>
      </c>
      <c r="B105" s="158" t="s">
        <v>184</v>
      </c>
      <c r="C105" s="130" t="str">
        <f t="shared" si="1"/>
        <v>2.01.06.01Provisões Fiscais Previdenciárias Trabalhistas e Cíveis</v>
      </c>
      <c r="D105" s="169">
        <v>0</v>
      </c>
      <c r="E105" s="169">
        <v>0</v>
      </c>
      <c r="F105" s="169">
        <v>0</v>
      </c>
      <c r="G105" s="169">
        <v>0</v>
      </c>
      <c r="H105" s="168">
        <v>0</v>
      </c>
      <c r="I105" s="168">
        <v>0</v>
      </c>
      <c r="J105" s="168">
        <v>0</v>
      </c>
      <c r="K105" s="169">
        <v>0</v>
      </c>
      <c r="L105" s="168">
        <v>0</v>
      </c>
      <c r="M105" s="169">
        <v>0</v>
      </c>
      <c r="N105" s="169">
        <v>0</v>
      </c>
      <c r="O105" s="169">
        <v>0</v>
      </c>
      <c r="P105" s="169">
        <v>0</v>
      </c>
      <c r="Q105" s="169">
        <v>0</v>
      </c>
      <c r="R105" s="169">
        <v>0</v>
      </c>
      <c r="S105" s="169">
        <v>0</v>
      </c>
      <c r="T105" s="169">
        <v>0</v>
      </c>
      <c r="U105" s="169">
        <v>0</v>
      </c>
      <c r="V105" s="169">
        <v>0</v>
      </c>
      <c r="W105" s="169">
        <v>0</v>
      </c>
      <c r="X105" s="169">
        <v>0</v>
      </c>
      <c r="Y105" s="169">
        <v>0</v>
      </c>
      <c r="Z105" s="169">
        <v>0</v>
      </c>
      <c r="AA105" s="169">
        <v>0</v>
      </c>
      <c r="AB105" s="169">
        <v>0</v>
      </c>
      <c r="AC105" s="169">
        <v>0</v>
      </c>
      <c r="AD105" s="169">
        <v>0</v>
      </c>
      <c r="AE105" s="169">
        <v>0</v>
      </c>
      <c r="AF105" s="169">
        <v>0</v>
      </c>
      <c r="AG105" s="169">
        <v>0</v>
      </c>
      <c r="AH105" s="169">
        <v>0</v>
      </c>
      <c r="AI105" s="169">
        <v>0</v>
      </c>
      <c r="AJ105" s="169">
        <v>0</v>
      </c>
      <c r="AK105" s="169">
        <v>0</v>
      </c>
      <c r="AL105" s="169">
        <v>0</v>
      </c>
      <c r="AM105" s="169">
        <v>0</v>
      </c>
      <c r="AN105" s="169">
        <v>0</v>
      </c>
      <c r="AO105" s="169">
        <v>0</v>
      </c>
      <c r="AP105" s="170">
        <v>0</v>
      </c>
    </row>
    <row r="106" spans="1:42" x14ac:dyDescent="0.35">
      <c r="A106" s="158" t="s">
        <v>185</v>
      </c>
      <c r="B106" s="158" t="s">
        <v>186</v>
      </c>
      <c r="C106" s="130" t="str">
        <f t="shared" si="1"/>
        <v>2.01.06.01.01Provisões Fiscais</v>
      </c>
      <c r="D106" s="169">
        <v>0</v>
      </c>
      <c r="E106" s="169">
        <v>0</v>
      </c>
      <c r="F106" s="169">
        <v>0</v>
      </c>
      <c r="G106" s="169">
        <v>0</v>
      </c>
      <c r="H106" s="168">
        <v>0</v>
      </c>
      <c r="I106" s="168">
        <v>0</v>
      </c>
      <c r="J106" s="168">
        <v>0</v>
      </c>
      <c r="K106" s="169">
        <v>0</v>
      </c>
      <c r="L106" s="168">
        <v>0</v>
      </c>
      <c r="M106" s="169">
        <v>0</v>
      </c>
      <c r="N106" s="169">
        <v>0</v>
      </c>
      <c r="O106" s="169">
        <v>0</v>
      </c>
      <c r="P106" s="169">
        <v>0</v>
      </c>
      <c r="Q106" s="169">
        <v>0</v>
      </c>
      <c r="R106" s="169">
        <v>0</v>
      </c>
      <c r="S106" s="169">
        <v>0</v>
      </c>
      <c r="T106" s="169">
        <v>0</v>
      </c>
      <c r="U106" s="169">
        <v>0</v>
      </c>
      <c r="V106" s="169">
        <v>0</v>
      </c>
      <c r="W106" s="169">
        <v>0</v>
      </c>
      <c r="X106" s="169">
        <v>0</v>
      </c>
      <c r="Y106" s="169">
        <v>0</v>
      </c>
      <c r="Z106" s="169">
        <v>0</v>
      </c>
      <c r="AA106" s="169">
        <v>0</v>
      </c>
      <c r="AB106" s="169">
        <v>0</v>
      </c>
      <c r="AC106" s="169">
        <v>0</v>
      </c>
      <c r="AD106" s="169">
        <v>0</v>
      </c>
      <c r="AE106" s="169">
        <v>0</v>
      </c>
      <c r="AF106" s="169">
        <v>0</v>
      </c>
      <c r="AG106" s="169">
        <v>0</v>
      </c>
      <c r="AH106" s="169">
        <v>0</v>
      </c>
      <c r="AI106" s="169">
        <v>0</v>
      </c>
      <c r="AJ106" s="169">
        <v>0</v>
      </c>
      <c r="AK106" s="169">
        <v>0</v>
      </c>
      <c r="AL106" s="169">
        <v>0</v>
      </c>
      <c r="AM106" s="169">
        <v>0</v>
      </c>
      <c r="AN106" s="169">
        <v>0</v>
      </c>
      <c r="AO106" s="169">
        <v>0</v>
      </c>
      <c r="AP106" s="170">
        <v>0</v>
      </c>
    </row>
    <row r="107" spans="1:42" x14ac:dyDescent="0.35">
      <c r="A107" s="158" t="s">
        <v>187</v>
      </c>
      <c r="B107" s="158" t="s">
        <v>188</v>
      </c>
      <c r="C107" s="130" t="str">
        <f t="shared" si="1"/>
        <v>2.01.06.01.02Provisões Previdenciárias e Trabalhistas</v>
      </c>
      <c r="D107" s="169">
        <v>0</v>
      </c>
      <c r="E107" s="169">
        <v>0</v>
      </c>
      <c r="F107" s="169">
        <v>0</v>
      </c>
      <c r="G107" s="169">
        <v>0</v>
      </c>
      <c r="H107" s="168">
        <v>0</v>
      </c>
      <c r="I107" s="168">
        <v>0</v>
      </c>
      <c r="J107" s="168">
        <v>0</v>
      </c>
      <c r="K107" s="169">
        <v>0</v>
      </c>
      <c r="L107" s="168">
        <v>0</v>
      </c>
      <c r="M107" s="169">
        <v>0</v>
      </c>
      <c r="N107" s="169">
        <v>0</v>
      </c>
      <c r="O107" s="169">
        <v>0</v>
      </c>
      <c r="P107" s="169">
        <v>0</v>
      </c>
      <c r="Q107" s="169">
        <v>0</v>
      </c>
      <c r="R107" s="169">
        <v>0</v>
      </c>
      <c r="S107" s="169">
        <v>0</v>
      </c>
      <c r="T107" s="169">
        <v>0</v>
      </c>
      <c r="U107" s="169">
        <v>0</v>
      </c>
      <c r="V107" s="169">
        <v>0</v>
      </c>
      <c r="W107" s="169">
        <v>0</v>
      </c>
      <c r="X107" s="169">
        <v>0</v>
      </c>
      <c r="Y107" s="169">
        <v>0</v>
      </c>
      <c r="Z107" s="169">
        <v>0</v>
      </c>
      <c r="AA107" s="169">
        <v>0</v>
      </c>
      <c r="AB107" s="169">
        <v>0</v>
      </c>
      <c r="AC107" s="169">
        <v>0</v>
      </c>
      <c r="AD107" s="169">
        <v>0</v>
      </c>
      <c r="AE107" s="169">
        <v>0</v>
      </c>
      <c r="AF107" s="169">
        <v>0</v>
      </c>
      <c r="AG107" s="169">
        <v>0</v>
      </c>
      <c r="AH107" s="169">
        <v>0</v>
      </c>
      <c r="AI107" s="169">
        <v>0</v>
      </c>
      <c r="AJ107" s="169">
        <v>0</v>
      </c>
      <c r="AK107" s="169">
        <v>0</v>
      </c>
      <c r="AL107" s="169">
        <v>0</v>
      </c>
      <c r="AM107" s="169">
        <v>0</v>
      </c>
      <c r="AN107" s="169">
        <v>0</v>
      </c>
      <c r="AO107" s="169">
        <v>0</v>
      </c>
      <c r="AP107" s="170">
        <v>0</v>
      </c>
    </row>
    <row r="108" spans="1:42" x14ac:dyDescent="0.35">
      <c r="A108" s="158" t="s">
        <v>189</v>
      </c>
      <c r="B108" s="158" t="s">
        <v>190</v>
      </c>
      <c r="C108" s="130" t="str">
        <f t="shared" si="1"/>
        <v>2.01.06.01.03Provisões para Benefícios a Empregados</v>
      </c>
      <c r="D108" s="169">
        <v>0</v>
      </c>
      <c r="E108" s="169">
        <v>0</v>
      </c>
      <c r="F108" s="169">
        <v>0</v>
      </c>
      <c r="G108" s="169">
        <v>0</v>
      </c>
      <c r="H108" s="168">
        <v>0</v>
      </c>
      <c r="I108" s="168">
        <v>0</v>
      </c>
      <c r="J108" s="168">
        <v>0</v>
      </c>
      <c r="K108" s="169">
        <v>0</v>
      </c>
      <c r="L108" s="168">
        <v>0</v>
      </c>
      <c r="M108" s="169">
        <v>0</v>
      </c>
      <c r="N108" s="169">
        <v>0</v>
      </c>
      <c r="O108" s="169">
        <v>0</v>
      </c>
      <c r="P108" s="169">
        <v>0</v>
      </c>
      <c r="Q108" s="169">
        <v>0</v>
      </c>
      <c r="R108" s="169">
        <v>0</v>
      </c>
      <c r="S108" s="169">
        <v>0</v>
      </c>
      <c r="T108" s="169">
        <v>0</v>
      </c>
      <c r="U108" s="169">
        <v>0</v>
      </c>
      <c r="V108" s="169">
        <v>0</v>
      </c>
      <c r="W108" s="169">
        <v>0</v>
      </c>
      <c r="X108" s="169">
        <v>0</v>
      </c>
      <c r="Y108" s="169">
        <v>0</v>
      </c>
      <c r="Z108" s="169">
        <v>0</v>
      </c>
      <c r="AA108" s="169">
        <v>0</v>
      </c>
      <c r="AB108" s="169">
        <v>0</v>
      </c>
      <c r="AC108" s="169">
        <v>0</v>
      </c>
      <c r="AD108" s="169">
        <v>0</v>
      </c>
      <c r="AE108" s="169">
        <v>0</v>
      </c>
      <c r="AF108" s="169">
        <v>0</v>
      </c>
      <c r="AG108" s="169">
        <v>0</v>
      </c>
      <c r="AH108" s="169">
        <v>0</v>
      </c>
      <c r="AI108" s="169">
        <v>0</v>
      </c>
      <c r="AJ108" s="169">
        <v>0</v>
      </c>
      <c r="AK108" s="169">
        <v>0</v>
      </c>
      <c r="AL108" s="169">
        <v>0</v>
      </c>
      <c r="AM108" s="169">
        <v>0</v>
      </c>
      <c r="AN108" s="169">
        <v>0</v>
      </c>
      <c r="AO108" s="169">
        <v>0</v>
      </c>
      <c r="AP108" s="170">
        <v>0</v>
      </c>
    </row>
    <row r="109" spans="1:42" x14ac:dyDescent="0.35">
      <c r="A109" s="158" t="s">
        <v>191</v>
      </c>
      <c r="B109" s="158" t="s">
        <v>192</v>
      </c>
      <c r="C109" s="130" t="str">
        <f t="shared" si="1"/>
        <v>2.01.06.01.04Provisões Cíveis</v>
      </c>
      <c r="D109" s="169">
        <v>0</v>
      </c>
      <c r="E109" s="169">
        <v>0</v>
      </c>
      <c r="F109" s="169">
        <v>0</v>
      </c>
      <c r="G109" s="169">
        <v>0</v>
      </c>
      <c r="H109" s="168">
        <v>0</v>
      </c>
      <c r="I109" s="168">
        <v>0</v>
      </c>
      <c r="J109" s="168">
        <v>0</v>
      </c>
      <c r="K109" s="169">
        <v>0</v>
      </c>
      <c r="L109" s="168">
        <v>0</v>
      </c>
      <c r="M109" s="169">
        <v>0</v>
      </c>
      <c r="N109" s="169">
        <v>0</v>
      </c>
      <c r="O109" s="169">
        <v>0</v>
      </c>
      <c r="P109" s="169">
        <v>0</v>
      </c>
      <c r="Q109" s="169">
        <v>0</v>
      </c>
      <c r="R109" s="169">
        <v>0</v>
      </c>
      <c r="S109" s="169">
        <v>0</v>
      </c>
      <c r="T109" s="169">
        <v>0</v>
      </c>
      <c r="U109" s="169">
        <v>0</v>
      </c>
      <c r="V109" s="169">
        <v>0</v>
      </c>
      <c r="W109" s="169">
        <v>0</v>
      </c>
      <c r="X109" s="169">
        <v>0</v>
      </c>
      <c r="Y109" s="169">
        <v>0</v>
      </c>
      <c r="Z109" s="169">
        <v>0</v>
      </c>
      <c r="AA109" s="169">
        <v>0</v>
      </c>
      <c r="AB109" s="169">
        <v>0</v>
      </c>
      <c r="AC109" s="169">
        <v>0</v>
      </c>
      <c r="AD109" s="169">
        <v>0</v>
      </c>
      <c r="AE109" s="169">
        <v>0</v>
      </c>
      <c r="AF109" s="169">
        <v>0</v>
      </c>
      <c r="AG109" s="169">
        <v>0</v>
      </c>
      <c r="AH109" s="169">
        <v>0</v>
      </c>
      <c r="AI109" s="169">
        <v>0</v>
      </c>
      <c r="AJ109" s="169">
        <v>0</v>
      </c>
      <c r="AK109" s="169">
        <v>0</v>
      </c>
      <c r="AL109" s="169">
        <v>0</v>
      </c>
      <c r="AM109" s="169">
        <v>0</v>
      </c>
      <c r="AN109" s="169">
        <v>0</v>
      </c>
      <c r="AO109" s="169">
        <v>0</v>
      </c>
      <c r="AP109" s="170">
        <v>0</v>
      </c>
    </row>
    <row r="110" spans="1:42" x14ac:dyDescent="0.35">
      <c r="A110" s="158" t="s">
        <v>193</v>
      </c>
      <c r="B110" s="158" t="s">
        <v>194</v>
      </c>
      <c r="C110" s="130" t="str">
        <f t="shared" si="1"/>
        <v>2.01.06.02Outras Provisões</v>
      </c>
      <c r="D110" s="169">
        <v>0</v>
      </c>
      <c r="E110" s="169">
        <v>0</v>
      </c>
      <c r="F110" s="169">
        <v>0</v>
      </c>
      <c r="G110" s="169">
        <v>0</v>
      </c>
      <c r="H110" s="168">
        <v>0</v>
      </c>
      <c r="I110" s="168">
        <v>0</v>
      </c>
      <c r="J110" s="168">
        <v>0</v>
      </c>
      <c r="K110" s="169">
        <v>0</v>
      </c>
      <c r="L110" s="168">
        <v>0</v>
      </c>
      <c r="M110" s="169">
        <v>0</v>
      </c>
      <c r="N110" s="169">
        <v>0</v>
      </c>
      <c r="O110" s="169">
        <v>0</v>
      </c>
      <c r="P110" s="169">
        <v>0</v>
      </c>
      <c r="Q110" s="169">
        <v>0</v>
      </c>
      <c r="R110" s="169">
        <v>0</v>
      </c>
      <c r="S110" s="169">
        <v>0</v>
      </c>
      <c r="T110" s="169">
        <v>0</v>
      </c>
      <c r="U110" s="169">
        <v>0</v>
      </c>
      <c r="V110" s="169">
        <v>0</v>
      </c>
      <c r="W110" s="169">
        <v>0</v>
      </c>
      <c r="X110" s="169">
        <v>0</v>
      </c>
      <c r="Y110" s="169">
        <v>0</v>
      </c>
      <c r="Z110" s="169">
        <v>0</v>
      </c>
      <c r="AA110" s="169">
        <v>0</v>
      </c>
      <c r="AB110" s="169">
        <v>0</v>
      </c>
      <c r="AC110" s="169">
        <v>0</v>
      </c>
      <c r="AD110" s="169">
        <v>0</v>
      </c>
      <c r="AE110" s="169">
        <v>0</v>
      </c>
      <c r="AF110" s="169">
        <v>0</v>
      </c>
      <c r="AG110" s="169">
        <v>0</v>
      </c>
      <c r="AH110" s="169">
        <v>0</v>
      </c>
      <c r="AI110" s="169">
        <v>0</v>
      </c>
      <c r="AJ110" s="169">
        <v>0</v>
      </c>
      <c r="AK110" s="169">
        <v>0</v>
      </c>
      <c r="AL110" s="169">
        <v>0</v>
      </c>
      <c r="AM110" s="169">
        <v>0</v>
      </c>
      <c r="AN110" s="169">
        <v>0</v>
      </c>
      <c r="AO110" s="169">
        <v>0</v>
      </c>
      <c r="AP110" s="170">
        <v>0</v>
      </c>
    </row>
    <row r="111" spans="1:42" x14ac:dyDescent="0.35">
      <c r="A111" s="158" t="s">
        <v>195</v>
      </c>
      <c r="B111" s="158" t="s">
        <v>196</v>
      </c>
      <c r="C111" s="130" t="str">
        <f t="shared" si="1"/>
        <v>2.01.06.02.01Provisões para Garantias</v>
      </c>
      <c r="D111" s="169">
        <v>0</v>
      </c>
      <c r="E111" s="169">
        <v>0</v>
      </c>
      <c r="F111" s="169">
        <v>0</v>
      </c>
      <c r="G111" s="169">
        <v>0</v>
      </c>
      <c r="H111" s="168">
        <v>0</v>
      </c>
      <c r="I111" s="168">
        <v>0</v>
      </c>
      <c r="J111" s="168">
        <v>0</v>
      </c>
      <c r="K111" s="169">
        <v>0</v>
      </c>
      <c r="L111" s="168">
        <v>0</v>
      </c>
      <c r="M111" s="169">
        <v>0</v>
      </c>
      <c r="N111" s="169">
        <v>0</v>
      </c>
      <c r="O111" s="169">
        <v>0</v>
      </c>
      <c r="P111" s="169">
        <v>0</v>
      </c>
      <c r="Q111" s="169">
        <v>0</v>
      </c>
      <c r="R111" s="169">
        <v>0</v>
      </c>
      <c r="S111" s="169">
        <v>0</v>
      </c>
      <c r="T111" s="169">
        <v>0</v>
      </c>
      <c r="U111" s="169">
        <v>0</v>
      </c>
      <c r="V111" s="169">
        <v>0</v>
      </c>
      <c r="W111" s="169">
        <v>0</v>
      </c>
      <c r="X111" s="169">
        <v>0</v>
      </c>
      <c r="Y111" s="169">
        <v>0</v>
      </c>
      <c r="Z111" s="169">
        <v>0</v>
      </c>
      <c r="AA111" s="169">
        <v>0</v>
      </c>
      <c r="AB111" s="169">
        <v>0</v>
      </c>
      <c r="AC111" s="169">
        <v>0</v>
      </c>
      <c r="AD111" s="169">
        <v>0</v>
      </c>
      <c r="AE111" s="169">
        <v>0</v>
      </c>
      <c r="AF111" s="169">
        <v>0</v>
      </c>
      <c r="AG111" s="169">
        <v>0</v>
      </c>
      <c r="AH111" s="169">
        <v>0</v>
      </c>
      <c r="AI111" s="169">
        <v>0</v>
      </c>
      <c r="AJ111" s="169">
        <v>0</v>
      </c>
      <c r="AK111" s="169">
        <v>0</v>
      </c>
      <c r="AL111" s="169">
        <v>0</v>
      </c>
      <c r="AM111" s="169">
        <v>0</v>
      </c>
      <c r="AN111" s="169">
        <v>0</v>
      </c>
      <c r="AO111" s="169">
        <v>0</v>
      </c>
      <c r="AP111" s="170">
        <v>0</v>
      </c>
    </row>
    <row r="112" spans="1:42" x14ac:dyDescent="0.35">
      <c r="A112" s="158" t="s">
        <v>197</v>
      </c>
      <c r="B112" s="158" t="s">
        <v>198</v>
      </c>
      <c r="C112" s="130" t="str">
        <f t="shared" si="1"/>
        <v>2.01.06.02.02Provisões para Reestruturação</v>
      </c>
      <c r="D112" s="169">
        <v>0</v>
      </c>
      <c r="E112" s="169">
        <v>0</v>
      </c>
      <c r="F112" s="169">
        <v>0</v>
      </c>
      <c r="G112" s="169">
        <v>0</v>
      </c>
      <c r="H112" s="168">
        <v>0</v>
      </c>
      <c r="I112" s="168">
        <v>0</v>
      </c>
      <c r="J112" s="168">
        <v>0</v>
      </c>
      <c r="K112" s="169">
        <v>0</v>
      </c>
      <c r="L112" s="168">
        <v>0</v>
      </c>
      <c r="M112" s="169">
        <v>0</v>
      </c>
      <c r="N112" s="169">
        <v>0</v>
      </c>
      <c r="O112" s="169">
        <v>0</v>
      </c>
      <c r="P112" s="169">
        <v>0</v>
      </c>
      <c r="Q112" s="169">
        <v>0</v>
      </c>
      <c r="R112" s="169">
        <v>0</v>
      </c>
      <c r="S112" s="169">
        <v>0</v>
      </c>
      <c r="T112" s="169">
        <v>0</v>
      </c>
      <c r="U112" s="169">
        <v>0</v>
      </c>
      <c r="V112" s="169">
        <v>0</v>
      </c>
      <c r="W112" s="169">
        <v>0</v>
      </c>
      <c r="X112" s="169">
        <v>0</v>
      </c>
      <c r="Y112" s="169">
        <v>0</v>
      </c>
      <c r="Z112" s="169">
        <v>0</v>
      </c>
      <c r="AA112" s="169">
        <v>0</v>
      </c>
      <c r="AB112" s="169">
        <v>0</v>
      </c>
      <c r="AC112" s="169">
        <v>0</v>
      </c>
      <c r="AD112" s="169">
        <v>0</v>
      </c>
      <c r="AE112" s="169">
        <v>0</v>
      </c>
      <c r="AF112" s="169">
        <v>0</v>
      </c>
      <c r="AG112" s="169">
        <v>0</v>
      </c>
      <c r="AH112" s="169">
        <v>0</v>
      </c>
      <c r="AI112" s="169">
        <v>0</v>
      </c>
      <c r="AJ112" s="169">
        <v>0</v>
      </c>
      <c r="AK112" s="169">
        <v>0</v>
      </c>
      <c r="AL112" s="169">
        <v>0</v>
      </c>
      <c r="AM112" s="169">
        <v>0</v>
      </c>
      <c r="AN112" s="169">
        <v>0</v>
      </c>
      <c r="AO112" s="169">
        <v>0</v>
      </c>
      <c r="AP112" s="170">
        <v>0</v>
      </c>
    </row>
    <row r="113" spans="1:42" x14ac:dyDescent="0.35">
      <c r="A113" s="158" t="s">
        <v>199</v>
      </c>
      <c r="B113" s="158" t="s">
        <v>200</v>
      </c>
      <c r="C113" s="130" t="str">
        <f t="shared" si="1"/>
        <v>2.01.06.02.03Provisões para Passivos Ambientais e de Desativação</v>
      </c>
      <c r="D113" s="169">
        <v>0</v>
      </c>
      <c r="E113" s="169">
        <v>0</v>
      </c>
      <c r="F113" s="169">
        <v>0</v>
      </c>
      <c r="G113" s="169">
        <v>0</v>
      </c>
      <c r="H113" s="168">
        <v>0</v>
      </c>
      <c r="I113" s="168">
        <v>0</v>
      </c>
      <c r="J113" s="168">
        <v>0</v>
      </c>
      <c r="K113" s="169">
        <v>0</v>
      </c>
      <c r="L113" s="168">
        <v>0</v>
      </c>
      <c r="M113" s="169">
        <v>0</v>
      </c>
      <c r="N113" s="169">
        <v>0</v>
      </c>
      <c r="O113" s="169">
        <v>0</v>
      </c>
      <c r="P113" s="169">
        <v>0</v>
      </c>
      <c r="Q113" s="169">
        <v>0</v>
      </c>
      <c r="R113" s="169">
        <v>0</v>
      </c>
      <c r="S113" s="169">
        <v>0</v>
      </c>
      <c r="T113" s="169">
        <v>0</v>
      </c>
      <c r="U113" s="169">
        <v>0</v>
      </c>
      <c r="V113" s="169">
        <v>0</v>
      </c>
      <c r="W113" s="169">
        <v>0</v>
      </c>
      <c r="X113" s="169">
        <v>0</v>
      </c>
      <c r="Y113" s="169">
        <v>0</v>
      </c>
      <c r="Z113" s="169">
        <v>0</v>
      </c>
      <c r="AA113" s="169">
        <v>0</v>
      </c>
      <c r="AB113" s="169">
        <v>0</v>
      </c>
      <c r="AC113" s="169">
        <v>0</v>
      </c>
      <c r="AD113" s="169">
        <v>0</v>
      </c>
      <c r="AE113" s="169">
        <v>0</v>
      </c>
      <c r="AF113" s="169">
        <v>0</v>
      </c>
      <c r="AG113" s="169">
        <v>0</v>
      </c>
      <c r="AH113" s="169">
        <v>0</v>
      </c>
      <c r="AI113" s="169">
        <v>0</v>
      </c>
      <c r="AJ113" s="169">
        <v>0</v>
      </c>
      <c r="AK113" s="169">
        <v>0</v>
      </c>
      <c r="AL113" s="169">
        <v>0</v>
      </c>
      <c r="AM113" s="169">
        <v>0</v>
      </c>
      <c r="AN113" s="169">
        <v>0</v>
      </c>
      <c r="AO113" s="169">
        <v>0</v>
      </c>
      <c r="AP113" s="170">
        <v>0</v>
      </c>
    </row>
    <row r="114" spans="1:42" x14ac:dyDescent="0.35">
      <c r="A114" s="158" t="s">
        <v>201</v>
      </c>
      <c r="B114" s="158" t="s">
        <v>202</v>
      </c>
      <c r="C114" s="130" t="str">
        <f t="shared" si="1"/>
        <v>2.01.07Passivos sobre Ativos Não-Correntes a Venda e Descontinuados</v>
      </c>
      <c r="D114" s="169">
        <v>0</v>
      </c>
      <c r="E114" s="169">
        <v>0</v>
      </c>
      <c r="F114" s="169">
        <v>0</v>
      </c>
      <c r="G114" s="169">
        <v>0</v>
      </c>
      <c r="H114" s="168">
        <v>0</v>
      </c>
      <c r="I114" s="168">
        <v>0</v>
      </c>
      <c r="J114" s="168">
        <v>0</v>
      </c>
      <c r="K114" s="169">
        <v>0</v>
      </c>
      <c r="L114" s="168">
        <v>0</v>
      </c>
      <c r="M114" s="169">
        <v>0</v>
      </c>
      <c r="N114" s="169">
        <v>0</v>
      </c>
      <c r="O114" s="169">
        <v>0</v>
      </c>
      <c r="P114" s="169">
        <v>0</v>
      </c>
      <c r="Q114" s="169">
        <v>0</v>
      </c>
      <c r="R114" s="169">
        <v>0</v>
      </c>
      <c r="S114" s="169">
        <v>0</v>
      </c>
      <c r="T114" s="169">
        <v>0</v>
      </c>
      <c r="U114" s="169">
        <v>0</v>
      </c>
      <c r="V114" s="169">
        <v>0</v>
      </c>
      <c r="W114" s="169">
        <v>0</v>
      </c>
      <c r="X114" s="169">
        <v>0</v>
      </c>
      <c r="Y114" s="169">
        <v>0</v>
      </c>
      <c r="Z114" s="169">
        <v>0</v>
      </c>
      <c r="AA114" s="169">
        <v>0</v>
      </c>
      <c r="AB114" s="169">
        <v>0</v>
      </c>
      <c r="AC114" s="169">
        <v>0</v>
      </c>
      <c r="AD114" s="169">
        <v>0</v>
      </c>
      <c r="AE114" s="169">
        <v>0</v>
      </c>
      <c r="AF114" s="169">
        <v>0</v>
      </c>
      <c r="AG114" s="169">
        <v>0</v>
      </c>
      <c r="AH114" s="169">
        <v>0</v>
      </c>
      <c r="AI114" s="169">
        <v>0</v>
      </c>
      <c r="AJ114" s="169">
        <v>0</v>
      </c>
      <c r="AK114" s="169">
        <v>0</v>
      </c>
      <c r="AL114" s="169">
        <v>0</v>
      </c>
      <c r="AM114" s="169">
        <v>0</v>
      </c>
      <c r="AN114" s="169">
        <v>0</v>
      </c>
      <c r="AO114" s="169">
        <v>0</v>
      </c>
      <c r="AP114" s="170">
        <v>0</v>
      </c>
    </row>
    <row r="115" spans="1:42" x14ac:dyDescent="0.35">
      <c r="A115" s="158" t="s">
        <v>203</v>
      </c>
      <c r="B115" s="158" t="s">
        <v>204</v>
      </c>
      <c r="C115" s="130" t="str">
        <f t="shared" si="1"/>
        <v>2.01.07.01Passivos sobre Ativos Não-Correntes a Venda</v>
      </c>
      <c r="D115" s="169">
        <v>0</v>
      </c>
      <c r="E115" s="169">
        <v>0</v>
      </c>
      <c r="F115" s="169">
        <v>0</v>
      </c>
      <c r="G115" s="169">
        <v>0</v>
      </c>
      <c r="H115" s="168">
        <v>0</v>
      </c>
      <c r="I115" s="168">
        <v>0</v>
      </c>
      <c r="J115" s="168">
        <v>0</v>
      </c>
      <c r="K115" s="169">
        <v>0</v>
      </c>
      <c r="L115" s="168">
        <v>0</v>
      </c>
      <c r="M115" s="169">
        <v>0</v>
      </c>
      <c r="N115" s="169">
        <v>0</v>
      </c>
      <c r="O115" s="169">
        <v>0</v>
      </c>
      <c r="P115" s="169">
        <v>0</v>
      </c>
      <c r="Q115" s="169">
        <v>0</v>
      </c>
      <c r="R115" s="169">
        <v>0</v>
      </c>
      <c r="S115" s="169">
        <v>0</v>
      </c>
      <c r="T115" s="169">
        <v>0</v>
      </c>
      <c r="U115" s="169">
        <v>0</v>
      </c>
      <c r="V115" s="169">
        <v>0</v>
      </c>
      <c r="W115" s="169">
        <v>0</v>
      </c>
      <c r="X115" s="169">
        <v>0</v>
      </c>
      <c r="Y115" s="169">
        <v>0</v>
      </c>
      <c r="Z115" s="169">
        <v>0</v>
      </c>
      <c r="AA115" s="169">
        <v>0</v>
      </c>
      <c r="AB115" s="169">
        <v>0</v>
      </c>
      <c r="AC115" s="169">
        <v>0</v>
      </c>
      <c r="AD115" s="169">
        <v>0</v>
      </c>
      <c r="AE115" s="169">
        <v>0</v>
      </c>
      <c r="AF115" s="169">
        <v>0</v>
      </c>
      <c r="AG115" s="169">
        <v>0</v>
      </c>
      <c r="AH115" s="169">
        <v>0</v>
      </c>
      <c r="AI115" s="169">
        <v>0</v>
      </c>
      <c r="AJ115" s="169">
        <v>0</v>
      </c>
      <c r="AK115" s="169">
        <v>0</v>
      </c>
      <c r="AL115" s="169">
        <v>0</v>
      </c>
      <c r="AM115" s="169">
        <v>0</v>
      </c>
      <c r="AN115" s="169">
        <v>0</v>
      </c>
      <c r="AO115" s="169">
        <v>0</v>
      </c>
      <c r="AP115" s="170">
        <v>0</v>
      </c>
    </row>
    <row r="116" spans="1:42" x14ac:dyDescent="0.35">
      <c r="A116" s="158" t="s">
        <v>205</v>
      </c>
      <c r="B116" s="158" t="s">
        <v>206</v>
      </c>
      <c r="C116" s="130" t="str">
        <f t="shared" si="1"/>
        <v>2.01.07.02Passivos sobre Ativos de Operações Descontinuadas</v>
      </c>
      <c r="D116" s="169">
        <v>0</v>
      </c>
      <c r="E116" s="169">
        <v>0</v>
      </c>
      <c r="F116" s="169">
        <v>0</v>
      </c>
      <c r="G116" s="169">
        <v>0</v>
      </c>
      <c r="H116" s="168">
        <v>0</v>
      </c>
      <c r="I116" s="168">
        <v>0</v>
      </c>
      <c r="J116" s="168">
        <v>0</v>
      </c>
      <c r="K116" s="169">
        <v>0</v>
      </c>
      <c r="L116" s="168">
        <v>0</v>
      </c>
      <c r="M116" s="169">
        <v>0</v>
      </c>
      <c r="N116" s="169">
        <v>0</v>
      </c>
      <c r="O116" s="169">
        <v>0</v>
      </c>
      <c r="P116" s="169">
        <v>0</v>
      </c>
      <c r="Q116" s="169">
        <v>0</v>
      </c>
      <c r="R116" s="169">
        <v>0</v>
      </c>
      <c r="S116" s="169">
        <v>0</v>
      </c>
      <c r="T116" s="169">
        <v>0</v>
      </c>
      <c r="U116" s="169">
        <v>0</v>
      </c>
      <c r="V116" s="169">
        <v>0</v>
      </c>
      <c r="W116" s="169">
        <v>0</v>
      </c>
      <c r="X116" s="169">
        <v>0</v>
      </c>
      <c r="Y116" s="169">
        <v>0</v>
      </c>
      <c r="Z116" s="169">
        <v>0</v>
      </c>
      <c r="AA116" s="169">
        <v>0</v>
      </c>
      <c r="AB116" s="169">
        <v>0</v>
      </c>
      <c r="AC116" s="169">
        <v>0</v>
      </c>
      <c r="AD116" s="169">
        <v>0</v>
      </c>
      <c r="AE116" s="169">
        <v>0</v>
      </c>
      <c r="AF116" s="169">
        <v>0</v>
      </c>
      <c r="AG116" s="169">
        <v>0</v>
      </c>
      <c r="AH116" s="169">
        <v>0</v>
      </c>
      <c r="AI116" s="169">
        <v>0</v>
      </c>
      <c r="AJ116" s="169">
        <v>0</v>
      </c>
      <c r="AK116" s="169">
        <v>0</v>
      </c>
      <c r="AL116" s="169">
        <v>0</v>
      </c>
      <c r="AM116" s="169">
        <v>0</v>
      </c>
      <c r="AN116" s="169">
        <v>0</v>
      </c>
      <c r="AO116" s="169">
        <v>0</v>
      </c>
      <c r="AP116" s="170">
        <v>0</v>
      </c>
    </row>
    <row r="117" spans="1:42" x14ac:dyDescent="0.35">
      <c r="A117" s="158" t="s">
        <v>207</v>
      </c>
      <c r="B117" s="158" t="s">
        <v>208</v>
      </c>
      <c r="C117" s="130" t="str">
        <f t="shared" si="1"/>
        <v>2.02Passivo Não Circulante</v>
      </c>
      <c r="D117" s="169">
        <v>6122093</v>
      </c>
      <c r="E117" s="169">
        <v>6149269</v>
      </c>
      <c r="F117" s="169">
        <v>6041771</v>
      </c>
      <c r="G117" s="169">
        <v>5995344</v>
      </c>
      <c r="H117" s="222">
        <v>6030232</v>
      </c>
      <c r="I117" s="168">
        <v>6089856</v>
      </c>
      <c r="J117" s="168">
        <v>6584230</v>
      </c>
      <c r="K117" s="169">
        <v>5912668</v>
      </c>
      <c r="L117" s="168">
        <v>6041173</v>
      </c>
      <c r="M117" s="169">
        <v>5576321</v>
      </c>
      <c r="N117" s="169">
        <v>5831701</v>
      </c>
      <c r="O117" s="169">
        <v>5769244</v>
      </c>
      <c r="P117" s="169">
        <v>5050638</v>
      </c>
      <c r="Q117" s="169">
        <v>5595392</v>
      </c>
      <c r="R117" s="169">
        <v>6134185</v>
      </c>
      <c r="S117" s="169">
        <v>5710593</v>
      </c>
      <c r="T117" s="169">
        <v>5570996</v>
      </c>
      <c r="U117" s="169">
        <v>4467776</v>
      </c>
      <c r="V117" s="169">
        <v>4954683</v>
      </c>
      <c r="W117" s="169">
        <v>4765666</v>
      </c>
      <c r="X117" s="169">
        <v>4528308</v>
      </c>
      <c r="Y117" s="169">
        <v>3363226</v>
      </c>
      <c r="Z117" s="169">
        <v>4256591</v>
      </c>
      <c r="AA117" s="169">
        <v>4161611</v>
      </c>
      <c r="AB117" s="169">
        <v>4245199</v>
      </c>
      <c r="AC117" s="169">
        <v>3838516</v>
      </c>
      <c r="AD117" s="169">
        <v>3294817</v>
      </c>
      <c r="AE117" s="169">
        <v>3480830</v>
      </c>
      <c r="AF117" s="169">
        <v>3053548</v>
      </c>
      <c r="AG117" s="169">
        <v>3126464</v>
      </c>
      <c r="AH117" s="169">
        <v>2558834</v>
      </c>
      <c r="AI117" s="169">
        <v>2676599</v>
      </c>
      <c r="AJ117" s="169">
        <v>2661630</v>
      </c>
      <c r="AK117" s="169">
        <v>2624237</v>
      </c>
      <c r="AL117" s="169">
        <v>2230889</v>
      </c>
      <c r="AM117" s="169">
        <v>2341898</v>
      </c>
      <c r="AN117" s="169">
        <v>2411440</v>
      </c>
      <c r="AO117" s="169">
        <v>2669804</v>
      </c>
      <c r="AP117" s="170">
        <v>2518319</v>
      </c>
    </row>
    <row r="118" spans="1:42" x14ac:dyDescent="0.35">
      <c r="A118" s="158" t="s">
        <v>209</v>
      </c>
      <c r="B118" s="158" t="s">
        <v>150</v>
      </c>
      <c r="C118" s="130" t="str">
        <f t="shared" si="1"/>
        <v>2.02.01Empréstimos e Financiamentos</v>
      </c>
      <c r="D118" s="169">
        <v>5398534</v>
      </c>
      <c r="E118" s="169">
        <v>5428057</v>
      </c>
      <c r="F118" s="169">
        <v>5275350</v>
      </c>
      <c r="G118" s="169">
        <v>5240584</v>
      </c>
      <c r="H118" s="222">
        <v>5240740</v>
      </c>
      <c r="I118" s="168">
        <v>5314654</v>
      </c>
      <c r="J118" s="168">
        <v>5774050</v>
      </c>
      <c r="K118" s="169">
        <v>5144601</v>
      </c>
      <c r="L118" s="168">
        <v>5244652</v>
      </c>
      <c r="M118" s="169">
        <v>4875884</v>
      </c>
      <c r="N118" s="169">
        <v>5133934</v>
      </c>
      <c r="O118" s="169">
        <v>5092090</v>
      </c>
      <c r="P118" s="169">
        <v>4382987</v>
      </c>
      <c r="Q118" s="169">
        <v>4924655</v>
      </c>
      <c r="R118" s="169">
        <v>5433377</v>
      </c>
      <c r="S118" s="169">
        <v>4930359</v>
      </c>
      <c r="T118" s="169">
        <v>4738829</v>
      </c>
      <c r="U118" s="169">
        <v>3665709</v>
      </c>
      <c r="V118" s="169">
        <v>4050429</v>
      </c>
      <c r="W118" s="169">
        <v>3765622</v>
      </c>
      <c r="X118" s="169">
        <v>3574364</v>
      </c>
      <c r="Y118" s="169">
        <v>2263046</v>
      </c>
      <c r="Z118" s="169">
        <v>3212825</v>
      </c>
      <c r="AA118" s="169">
        <v>3043845</v>
      </c>
      <c r="AB118" s="169">
        <v>3200463</v>
      </c>
      <c r="AC118" s="169">
        <v>2837467</v>
      </c>
      <c r="AD118" s="169">
        <v>2412886</v>
      </c>
      <c r="AE118" s="169">
        <v>2634029</v>
      </c>
      <c r="AF118" s="169">
        <v>2249630</v>
      </c>
      <c r="AG118" s="169">
        <v>2294307</v>
      </c>
      <c r="AH118" s="169">
        <v>1737556</v>
      </c>
      <c r="AI118" s="169">
        <v>1820902</v>
      </c>
      <c r="AJ118" s="169">
        <v>1841657</v>
      </c>
      <c r="AK118" s="169">
        <v>1878280</v>
      </c>
      <c r="AL118" s="169">
        <v>1490732</v>
      </c>
      <c r="AM118" s="169">
        <v>1635279</v>
      </c>
      <c r="AN118" s="169">
        <v>1707481</v>
      </c>
      <c r="AO118" s="169">
        <v>2030521</v>
      </c>
      <c r="AP118" s="170">
        <v>1877277</v>
      </c>
    </row>
    <row r="119" spans="1:42" x14ac:dyDescent="0.35">
      <c r="A119" s="158" t="s">
        <v>210</v>
      </c>
      <c r="B119" s="158" t="s">
        <v>150</v>
      </c>
      <c r="C119" s="130" t="str">
        <f t="shared" si="1"/>
        <v>2.02.01.01Empréstimos e Financiamentos</v>
      </c>
      <c r="D119" s="169">
        <v>3104429</v>
      </c>
      <c r="E119" s="169">
        <v>3134609</v>
      </c>
      <c r="F119" s="169">
        <v>2982560</v>
      </c>
      <c r="G119" s="169">
        <v>2948451</v>
      </c>
      <c r="H119" s="222">
        <v>2948103</v>
      </c>
      <c r="I119" s="168">
        <v>3320394</v>
      </c>
      <c r="J119" s="168">
        <v>3580547</v>
      </c>
      <c r="K119" s="169">
        <v>3698460</v>
      </c>
      <c r="L119" s="168">
        <v>3798731</v>
      </c>
      <c r="M119" s="169">
        <v>3427934</v>
      </c>
      <c r="N119" s="169">
        <v>3686550</v>
      </c>
      <c r="O119" s="169">
        <v>3645274</v>
      </c>
      <c r="P119" s="169">
        <v>3636257</v>
      </c>
      <c r="Q119" s="169">
        <v>3895915</v>
      </c>
      <c r="R119" s="169">
        <v>4237537</v>
      </c>
      <c r="S119" s="169">
        <v>3737169</v>
      </c>
      <c r="T119" s="169">
        <v>3373338</v>
      </c>
      <c r="U119" s="169">
        <v>3047073</v>
      </c>
      <c r="V119" s="169">
        <v>3041332</v>
      </c>
      <c r="W119" s="169">
        <v>2761160</v>
      </c>
      <c r="X119" s="169">
        <v>2574417</v>
      </c>
      <c r="Y119" s="169">
        <v>1255255</v>
      </c>
      <c r="Z119" s="169">
        <v>1983098</v>
      </c>
      <c r="AA119" s="169">
        <v>1808730</v>
      </c>
      <c r="AB119" s="169">
        <v>1959363</v>
      </c>
      <c r="AC119" s="169">
        <v>1597034</v>
      </c>
      <c r="AD119" s="169">
        <v>1173173</v>
      </c>
      <c r="AE119" s="169">
        <v>1394744</v>
      </c>
      <c r="AF119" s="169">
        <v>1358854</v>
      </c>
      <c r="AG119" s="169">
        <v>1404227</v>
      </c>
      <c r="AH119" s="169">
        <v>1291758</v>
      </c>
      <c r="AI119" s="169">
        <v>1375449</v>
      </c>
      <c r="AJ119" s="169">
        <v>1396560</v>
      </c>
      <c r="AK119" s="169">
        <v>1276149</v>
      </c>
      <c r="AL119" s="169">
        <v>1333735</v>
      </c>
      <c r="AM119" s="169">
        <v>1478406</v>
      </c>
      <c r="AN119" s="169">
        <v>1555088</v>
      </c>
      <c r="AO119" s="169">
        <v>1724672</v>
      </c>
      <c r="AP119" s="170">
        <v>1381843</v>
      </c>
    </row>
    <row r="120" spans="1:42" x14ac:dyDescent="0.35">
      <c r="A120" s="158" t="s">
        <v>211</v>
      </c>
      <c r="B120" s="158" t="s">
        <v>153</v>
      </c>
      <c r="C120" s="130" t="str">
        <f t="shared" si="1"/>
        <v>2.02.01.01.01Em Moeda Nacional</v>
      </c>
      <c r="D120" s="169">
        <v>200177</v>
      </c>
      <c r="E120" s="169">
        <v>201992</v>
      </c>
      <c r="F120" s="169">
        <v>793536</v>
      </c>
      <c r="G120" s="169">
        <v>65284</v>
      </c>
      <c r="H120" s="222">
        <v>115224</v>
      </c>
      <c r="I120" s="168">
        <v>270813</v>
      </c>
      <c r="J120" s="168">
        <v>214451</v>
      </c>
      <c r="K120" s="169">
        <v>242566</v>
      </c>
      <c r="L120" s="168">
        <v>241008</v>
      </c>
      <c r="M120" s="169">
        <v>355890</v>
      </c>
      <c r="N120" s="169">
        <v>632794</v>
      </c>
      <c r="O120" s="169">
        <v>629267</v>
      </c>
      <c r="P120" s="169">
        <v>696107</v>
      </c>
      <c r="Q120" s="169">
        <v>850378</v>
      </c>
      <c r="R120" s="169">
        <v>1057546</v>
      </c>
      <c r="S120" s="169">
        <v>1058654</v>
      </c>
      <c r="T120" s="169">
        <v>971319</v>
      </c>
      <c r="U120" s="169">
        <v>743940</v>
      </c>
      <c r="V120" s="169">
        <v>463327</v>
      </c>
      <c r="W120" s="169">
        <v>323714</v>
      </c>
      <c r="X120" s="169">
        <v>320685</v>
      </c>
      <c r="Y120" s="169">
        <v>710</v>
      </c>
      <c r="Z120" s="169">
        <v>1421</v>
      </c>
      <c r="AA120" s="169">
        <v>2131</v>
      </c>
      <c r="AB120" s="169">
        <v>2840</v>
      </c>
      <c r="AC120" s="169">
        <v>103552</v>
      </c>
      <c r="AD120" s="169">
        <v>4262</v>
      </c>
      <c r="AE120" s="169">
        <v>12882</v>
      </c>
      <c r="AF120" s="169">
        <v>15179</v>
      </c>
      <c r="AG120" s="169">
        <v>17975</v>
      </c>
      <c r="AH120" s="169">
        <v>20007</v>
      </c>
      <c r="AI120" s="169">
        <v>22982</v>
      </c>
      <c r="AJ120" s="169">
        <v>26873</v>
      </c>
      <c r="AK120" s="169">
        <v>30321</v>
      </c>
      <c r="AL120" s="169">
        <v>33619</v>
      </c>
      <c r="AM120" s="169">
        <v>38895</v>
      </c>
      <c r="AN120" s="169">
        <v>80607</v>
      </c>
      <c r="AO120" s="169">
        <v>144832</v>
      </c>
      <c r="AP120" s="170">
        <v>184455</v>
      </c>
    </row>
    <row r="121" spans="1:42" x14ac:dyDescent="0.35">
      <c r="A121" s="158" t="s">
        <v>212</v>
      </c>
      <c r="B121" s="158" t="s">
        <v>155</v>
      </c>
      <c r="C121" s="130" t="str">
        <f t="shared" si="1"/>
        <v>2.02.01.01.02Em Moeda Estrangeira</v>
      </c>
      <c r="D121" s="169">
        <v>2904252</v>
      </c>
      <c r="E121" s="169">
        <v>2932617</v>
      </c>
      <c r="F121" s="169">
        <v>2189024</v>
      </c>
      <c r="G121" s="169">
        <v>2883167</v>
      </c>
      <c r="H121" s="222">
        <v>2832879</v>
      </c>
      <c r="I121" s="168">
        <v>3049581</v>
      </c>
      <c r="J121" s="168">
        <v>3366096</v>
      </c>
      <c r="K121" s="169">
        <v>3455894</v>
      </c>
      <c r="L121" s="168">
        <v>3557723</v>
      </c>
      <c r="M121" s="169">
        <v>3072044</v>
      </c>
      <c r="N121" s="169">
        <v>3053756</v>
      </c>
      <c r="O121" s="169">
        <v>3016007</v>
      </c>
      <c r="P121" s="169">
        <v>2940150</v>
      </c>
      <c r="Q121" s="169">
        <v>3045537</v>
      </c>
      <c r="R121" s="169">
        <v>3179991</v>
      </c>
      <c r="S121" s="169">
        <v>2678515</v>
      </c>
      <c r="T121" s="169">
        <v>2402019</v>
      </c>
      <c r="U121" s="169">
        <v>2303133</v>
      </c>
      <c r="V121" s="169">
        <v>2578005</v>
      </c>
      <c r="W121" s="169">
        <v>2437446</v>
      </c>
      <c r="X121" s="169">
        <v>2253732</v>
      </c>
      <c r="Y121" s="169">
        <v>1254545</v>
      </c>
      <c r="Z121" s="169">
        <v>1981677</v>
      </c>
      <c r="AA121" s="169">
        <v>1806599</v>
      </c>
      <c r="AB121" s="169">
        <v>1956523</v>
      </c>
      <c r="AC121" s="169">
        <v>1493482</v>
      </c>
      <c r="AD121" s="169">
        <v>1168911</v>
      </c>
      <c r="AE121" s="169">
        <v>1381862</v>
      </c>
      <c r="AF121" s="169">
        <v>1343675</v>
      </c>
      <c r="AG121" s="169">
        <v>1386252</v>
      </c>
      <c r="AH121" s="169">
        <v>1271751</v>
      </c>
      <c r="AI121" s="169">
        <v>1352467</v>
      </c>
      <c r="AJ121" s="169">
        <v>1369687</v>
      </c>
      <c r="AK121" s="169">
        <v>1245828</v>
      </c>
      <c r="AL121" s="169">
        <v>1300116</v>
      </c>
      <c r="AM121" s="169">
        <v>1439511</v>
      </c>
      <c r="AN121" s="169">
        <v>1474481</v>
      </c>
      <c r="AO121" s="169">
        <v>1579840</v>
      </c>
      <c r="AP121" s="170">
        <v>1197388</v>
      </c>
    </row>
    <row r="122" spans="1:42" x14ac:dyDescent="0.35">
      <c r="A122" s="158" t="s">
        <v>213</v>
      </c>
      <c r="B122" s="158" t="s">
        <v>157</v>
      </c>
      <c r="C122" s="130" t="str">
        <f t="shared" si="1"/>
        <v>2.02.01.02Debêntures</v>
      </c>
      <c r="D122" s="169">
        <v>2294105</v>
      </c>
      <c r="E122" s="169">
        <v>2293448</v>
      </c>
      <c r="F122" s="169">
        <v>2292790</v>
      </c>
      <c r="G122" s="169">
        <v>2292133</v>
      </c>
      <c r="H122" s="222">
        <v>2292637</v>
      </c>
      <c r="I122" s="168">
        <v>1994260</v>
      </c>
      <c r="J122" s="168">
        <v>2193503</v>
      </c>
      <c r="K122" s="169">
        <v>1446141</v>
      </c>
      <c r="L122" s="168">
        <v>1445921</v>
      </c>
      <c r="M122" s="169">
        <v>1447950</v>
      </c>
      <c r="N122" s="169">
        <v>1447384</v>
      </c>
      <c r="O122" s="169">
        <v>1446816</v>
      </c>
      <c r="P122" s="169">
        <v>746730</v>
      </c>
      <c r="Q122" s="169">
        <v>1028740</v>
      </c>
      <c r="R122" s="169">
        <v>1195840</v>
      </c>
      <c r="S122" s="169">
        <v>1193190</v>
      </c>
      <c r="T122" s="169">
        <v>1365491</v>
      </c>
      <c r="U122" s="169">
        <v>618636</v>
      </c>
      <c r="V122" s="169">
        <v>1009097</v>
      </c>
      <c r="W122" s="169">
        <v>1004462</v>
      </c>
      <c r="X122" s="169">
        <v>999947</v>
      </c>
      <c r="Y122" s="169">
        <v>1007791</v>
      </c>
      <c r="Z122" s="169">
        <v>1229727</v>
      </c>
      <c r="AA122" s="169">
        <v>1235115</v>
      </c>
      <c r="AB122" s="169">
        <v>1241100</v>
      </c>
      <c r="AC122" s="169">
        <v>1240433</v>
      </c>
      <c r="AD122" s="169">
        <v>1239713</v>
      </c>
      <c r="AE122" s="169">
        <v>1239285</v>
      </c>
      <c r="AF122" s="169">
        <v>890776</v>
      </c>
      <c r="AG122" s="169">
        <v>890080</v>
      </c>
      <c r="AH122" s="169">
        <v>445798</v>
      </c>
      <c r="AI122" s="169">
        <v>445453</v>
      </c>
      <c r="AJ122" s="169">
        <v>445097</v>
      </c>
      <c r="AK122" s="169">
        <v>602131</v>
      </c>
      <c r="AL122" s="169">
        <v>156997</v>
      </c>
      <c r="AM122" s="169">
        <v>156873</v>
      </c>
      <c r="AN122" s="169">
        <v>152393</v>
      </c>
      <c r="AO122" s="169">
        <v>305849</v>
      </c>
      <c r="AP122" s="170">
        <v>495434</v>
      </c>
    </row>
    <row r="123" spans="1:42" x14ac:dyDescent="0.35">
      <c r="A123" s="158" t="s">
        <v>214</v>
      </c>
      <c r="B123" s="158" t="s">
        <v>159</v>
      </c>
      <c r="C123" s="130" t="str">
        <f t="shared" si="1"/>
        <v>2.02.01.03Financiamento por Arrendamento</v>
      </c>
      <c r="D123" s="169">
        <v>0</v>
      </c>
      <c r="E123" s="169">
        <v>0</v>
      </c>
      <c r="F123" s="169">
        <v>0</v>
      </c>
      <c r="G123" s="169">
        <v>0</v>
      </c>
      <c r="H123" s="224">
        <v>0</v>
      </c>
      <c r="I123" s="168">
        <v>0</v>
      </c>
      <c r="J123" s="168">
        <v>0</v>
      </c>
      <c r="K123" s="169">
        <v>0</v>
      </c>
      <c r="L123" s="168">
        <v>0</v>
      </c>
      <c r="M123" s="169">
        <v>0</v>
      </c>
      <c r="N123" s="169">
        <v>0</v>
      </c>
      <c r="O123" s="169">
        <v>0</v>
      </c>
      <c r="P123" s="169">
        <v>0</v>
      </c>
      <c r="Q123" s="169">
        <v>0</v>
      </c>
      <c r="R123" s="169">
        <v>0</v>
      </c>
      <c r="S123" s="169">
        <v>0</v>
      </c>
      <c r="T123" s="169">
        <v>0</v>
      </c>
      <c r="U123" s="169">
        <v>0</v>
      </c>
      <c r="V123" s="169">
        <v>0</v>
      </c>
      <c r="W123" s="169">
        <v>0</v>
      </c>
      <c r="X123" s="169">
        <v>0</v>
      </c>
      <c r="Y123" s="169">
        <v>0</v>
      </c>
      <c r="Z123" s="169">
        <v>0</v>
      </c>
      <c r="AA123" s="169">
        <v>0</v>
      </c>
      <c r="AB123" s="169">
        <v>0</v>
      </c>
      <c r="AC123" s="169">
        <v>0</v>
      </c>
      <c r="AD123" s="169">
        <v>0</v>
      </c>
      <c r="AE123" s="169">
        <v>0</v>
      </c>
      <c r="AF123" s="169">
        <v>0</v>
      </c>
      <c r="AG123" s="169">
        <v>0</v>
      </c>
      <c r="AH123" s="169">
        <v>0</v>
      </c>
      <c r="AI123" s="169">
        <v>0</v>
      </c>
      <c r="AJ123" s="169">
        <v>0</v>
      </c>
      <c r="AK123" s="169">
        <v>0</v>
      </c>
      <c r="AL123" s="169">
        <v>0</v>
      </c>
      <c r="AM123" s="169">
        <v>0</v>
      </c>
      <c r="AN123" s="169">
        <v>0</v>
      </c>
      <c r="AO123" s="169">
        <v>0</v>
      </c>
      <c r="AP123" s="170">
        <v>0</v>
      </c>
    </row>
    <row r="124" spans="1:42" x14ac:dyDescent="0.35">
      <c r="A124" s="158" t="s">
        <v>215</v>
      </c>
      <c r="B124" s="158" t="s">
        <v>161</v>
      </c>
      <c r="C124" s="130" t="str">
        <f t="shared" si="1"/>
        <v>2.02.02Outras Obrigações</v>
      </c>
      <c r="D124" s="169">
        <v>198369</v>
      </c>
      <c r="E124" s="169">
        <v>208688</v>
      </c>
      <c r="F124" s="169">
        <v>243662</v>
      </c>
      <c r="G124" s="169">
        <v>169008</v>
      </c>
      <c r="H124" s="224">
        <v>170753</v>
      </c>
      <c r="I124" s="168">
        <v>193529</v>
      </c>
      <c r="J124" s="168">
        <v>194328</v>
      </c>
      <c r="K124" s="169">
        <v>184520</v>
      </c>
      <c r="L124" s="168">
        <v>182034</v>
      </c>
      <c r="M124" s="169">
        <v>156044</v>
      </c>
      <c r="N124" s="169">
        <v>147012</v>
      </c>
      <c r="O124" s="169">
        <v>126059</v>
      </c>
      <c r="P124" s="169">
        <v>117794</v>
      </c>
      <c r="Q124" s="169">
        <v>136452</v>
      </c>
      <c r="R124" s="169">
        <v>117071</v>
      </c>
      <c r="S124" s="169">
        <v>102704</v>
      </c>
      <c r="T124" s="169">
        <v>110508</v>
      </c>
      <c r="U124" s="169">
        <v>108830</v>
      </c>
      <c r="V124" s="169">
        <v>75841</v>
      </c>
      <c r="W124" s="169">
        <v>56188</v>
      </c>
      <c r="X124" s="169">
        <v>64431</v>
      </c>
      <c r="Y124" s="169">
        <v>86951</v>
      </c>
      <c r="Z124" s="169">
        <v>87234</v>
      </c>
      <c r="AA124" s="169">
        <v>76049</v>
      </c>
      <c r="AB124" s="169">
        <v>78398</v>
      </c>
      <c r="AC124" s="169">
        <v>78463</v>
      </c>
      <c r="AD124" s="169">
        <v>107698</v>
      </c>
      <c r="AE124" s="169">
        <v>99275</v>
      </c>
      <c r="AF124" s="169">
        <v>94543</v>
      </c>
      <c r="AG124" s="169">
        <v>88021</v>
      </c>
      <c r="AH124" s="169">
        <v>45213</v>
      </c>
      <c r="AI124" s="169">
        <v>47899</v>
      </c>
      <c r="AJ124" s="169">
        <v>46583</v>
      </c>
      <c r="AK124" s="169">
        <v>46136</v>
      </c>
      <c r="AL124" s="169">
        <v>49227</v>
      </c>
      <c r="AM124" s="169">
        <v>36168</v>
      </c>
      <c r="AN124" s="169">
        <v>28358</v>
      </c>
      <c r="AO124" s="169">
        <v>24579</v>
      </c>
      <c r="AP124" s="170">
        <v>24352</v>
      </c>
    </row>
    <row r="125" spans="1:42" x14ac:dyDescent="0.35">
      <c r="A125" s="158" t="s">
        <v>216</v>
      </c>
      <c r="B125" s="158" t="s">
        <v>163</v>
      </c>
      <c r="C125" s="130" t="str">
        <f t="shared" si="1"/>
        <v>2.02.02.01Passivos com Partes Relacionadas</v>
      </c>
      <c r="D125" s="169">
        <v>0</v>
      </c>
      <c r="E125" s="169">
        <v>0</v>
      </c>
      <c r="F125" s="169">
        <v>0</v>
      </c>
      <c r="G125" s="169">
        <v>0</v>
      </c>
      <c r="H125" s="224">
        <v>0</v>
      </c>
      <c r="I125" s="168">
        <v>0</v>
      </c>
      <c r="J125" s="168">
        <v>0</v>
      </c>
      <c r="K125" s="169">
        <v>0</v>
      </c>
      <c r="L125" s="168">
        <v>0</v>
      </c>
      <c r="M125" s="169">
        <v>0</v>
      </c>
      <c r="N125" s="169">
        <v>0</v>
      </c>
      <c r="O125" s="169">
        <v>0</v>
      </c>
      <c r="P125" s="169">
        <v>0</v>
      </c>
      <c r="Q125" s="169">
        <v>0</v>
      </c>
      <c r="R125" s="169">
        <v>0</v>
      </c>
      <c r="S125" s="169">
        <v>0</v>
      </c>
      <c r="T125" s="169">
        <v>0</v>
      </c>
      <c r="U125" s="169">
        <v>0</v>
      </c>
      <c r="V125" s="169">
        <v>0</v>
      </c>
      <c r="W125" s="169">
        <v>0</v>
      </c>
      <c r="X125" s="169">
        <v>0</v>
      </c>
      <c r="Y125" s="169">
        <v>0</v>
      </c>
      <c r="Z125" s="169">
        <v>0</v>
      </c>
      <c r="AA125" s="169">
        <v>0</v>
      </c>
      <c r="AB125" s="169">
        <v>0</v>
      </c>
      <c r="AC125" s="169">
        <v>0</v>
      </c>
      <c r="AD125" s="169">
        <v>0</v>
      </c>
      <c r="AE125" s="169">
        <v>0</v>
      </c>
      <c r="AF125" s="169">
        <v>0</v>
      </c>
      <c r="AG125" s="169">
        <v>0</v>
      </c>
      <c r="AH125" s="169">
        <v>0</v>
      </c>
      <c r="AI125" s="169">
        <v>0</v>
      </c>
      <c r="AJ125" s="169">
        <v>0</v>
      </c>
      <c r="AK125" s="169">
        <v>0</v>
      </c>
      <c r="AL125" s="169">
        <v>0</v>
      </c>
      <c r="AM125" s="169">
        <v>0</v>
      </c>
      <c r="AN125" s="169">
        <v>0</v>
      </c>
      <c r="AO125" s="169">
        <v>0</v>
      </c>
      <c r="AP125" s="170">
        <v>0</v>
      </c>
    </row>
    <row r="126" spans="1:42" x14ac:dyDescent="0.35">
      <c r="A126" s="158" t="s">
        <v>217</v>
      </c>
      <c r="B126" s="158" t="s">
        <v>165</v>
      </c>
      <c r="C126" s="130" t="str">
        <f t="shared" si="1"/>
        <v>2.02.02.01.01Débitos com Coligadas</v>
      </c>
      <c r="D126" s="169">
        <v>0</v>
      </c>
      <c r="E126" s="169">
        <v>0</v>
      </c>
      <c r="F126" s="169">
        <v>0</v>
      </c>
      <c r="G126" s="169">
        <v>0</v>
      </c>
      <c r="H126" s="224">
        <v>0</v>
      </c>
      <c r="I126" s="168">
        <v>0</v>
      </c>
      <c r="J126" s="168">
        <v>0</v>
      </c>
      <c r="K126" s="169">
        <v>0</v>
      </c>
      <c r="L126" s="168">
        <v>0</v>
      </c>
      <c r="M126" s="169">
        <v>0</v>
      </c>
      <c r="N126" s="169">
        <v>0</v>
      </c>
      <c r="O126" s="169">
        <v>0</v>
      </c>
      <c r="P126" s="169">
        <v>0</v>
      </c>
      <c r="Q126" s="169">
        <v>0</v>
      </c>
      <c r="R126" s="169">
        <v>0</v>
      </c>
      <c r="S126" s="169">
        <v>0</v>
      </c>
      <c r="T126" s="169">
        <v>0</v>
      </c>
      <c r="U126" s="169">
        <v>0</v>
      </c>
      <c r="V126" s="169">
        <v>0</v>
      </c>
      <c r="W126" s="169">
        <v>0</v>
      </c>
      <c r="X126" s="169">
        <v>0</v>
      </c>
      <c r="Y126" s="169">
        <v>0</v>
      </c>
      <c r="Z126" s="169">
        <v>0</v>
      </c>
      <c r="AA126" s="169">
        <v>0</v>
      </c>
      <c r="AB126" s="169">
        <v>0</v>
      </c>
      <c r="AC126" s="169">
        <v>0</v>
      </c>
      <c r="AD126" s="169">
        <v>0</v>
      </c>
      <c r="AE126" s="169">
        <v>0</v>
      </c>
      <c r="AF126" s="169">
        <v>0</v>
      </c>
      <c r="AG126" s="169">
        <v>0</v>
      </c>
      <c r="AH126" s="169">
        <v>0</v>
      </c>
      <c r="AI126" s="169">
        <v>0</v>
      </c>
      <c r="AJ126" s="169">
        <v>0</v>
      </c>
      <c r="AK126" s="169">
        <v>0</v>
      </c>
      <c r="AL126" s="169">
        <v>0</v>
      </c>
      <c r="AM126" s="169">
        <v>0</v>
      </c>
      <c r="AN126" s="169">
        <v>0</v>
      </c>
      <c r="AO126" s="169">
        <v>0</v>
      </c>
      <c r="AP126" s="170">
        <v>0</v>
      </c>
    </row>
    <row r="127" spans="1:42" x14ac:dyDescent="0.35">
      <c r="A127" s="158" t="s">
        <v>218</v>
      </c>
      <c r="B127" s="158" t="s">
        <v>167</v>
      </c>
      <c r="C127" s="130" t="str">
        <f t="shared" si="1"/>
        <v>2.02.02.01.03Débitos com Controladores</v>
      </c>
      <c r="D127" s="169">
        <v>0</v>
      </c>
      <c r="E127" s="169">
        <v>0</v>
      </c>
      <c r="F127" s="169">
        <v>0</v>
      </c>
      <c r="G127" s="169">
        <v>0</v>
      </c>
      <c r="H127" s="224">
        <v>0</v>
      </c>
      <c r="I127" s="168">
        <v>0</v>
      </c>
      <c r="J127" s="168">
        <v>0</v>
      </c>
      <c r="K127" s="169">
        <v>0</v>
      </c>
      <c r="L127" s="168">
        <v>0</v>
      </c>
      <c r="M127" s="169">
        <v>0</v>
      </c>
      <c r="N127" s="169">
        <v>0</v>
      </c>
      <c r="O127" s="169">
        <v>0</v>
      </c>
      <c r="P127" s="169">
        <v>0</v>
      </c>
      <c r="Q127" s="169">
        <v>0</v>
      </c>
      <c r="R127" s="169">
        <v>0</v>
      </c>
      <c r="S127" s="169">
        <v>0</v>
      </c>
      <c r="T127" s="169">
        <v>0</v>
      </c>
      <c r="U127" s="169">
        <v>0</v>
      </c>
      <c r="V127" s="169">
        <v>0</v>
      </c>
      <c r="W127" s="169">
        <v>0</v>
      </c>
      <c r="X127" s="169">
        <v>0</v>
      </c>
      <c r="Y127" s="169">
        <v>0</v>
      </c>
      <c r="Z127" s="169">
        <v>0</v>
      </c>
      <c r="AA127" s="169">
        <v>0</v>
      </c>
      <c r="AB127" s="169">
        <v>0</v>
      </c>
      <c r="AC127" s="169">
        <v>0</v>
      </c>
      <c r="AD127" s="169">
        <v>0</v>
      </c>
      <c r="AE127" s="169">
        <v>0</v>
      </c>
      <c r="AF127" s="169">
        <v>0</v>
      </c>
      <c r="AG127" s="169">
        <v>0</v>
      </c>
      <c r="AH127" s="169">
        <v>0</v>
      </c>
      <c r="AI127" s="169">
        <v>0</v>
      </c>
      <c r="AJ127" s="169">
        <v>0</v>
      </c>
      <c r="AK127" s="169">
        <v>0</v>
      </c>
      <c r="AL127" s="169">
        <v>0</v>
      </c>
      <c r="AM127" s="169">
        <v>0</v>
      </c>
      <c r="AN127" s="169">
        <v>0</v>
      </c>
      <c r="AO127" s="169">
        <v>0</v>
      </c>
      <c r="AP127" s="170">
        <v>0</v>
      </c>
    </row>
    <row r="128" spans="1:42" x14ac:dyDescent="0.35">
      <c r="A128" s="158" t="s">
        <v>219</v>
      </c>
      <c r="B128" s="158" t="s">
        <v>169</v>
      </c>
      <c r="C128" s="130" t="str">
        <f t="shared" si="1"/>
        <v>2.02.02.01.04Débitos com Outras Partes Relacionadas</v>
      </c>
      <c r="D128" s="169">
        <v>0</v>
      </c>
      <c r="E128" s="169">
        <v>0</v>
      </c>
      <c r="F128" s="169">
        <v>0</v>
      </c>
      <c r="G128" s="169">
        <v>0</v>
      </c>
      <c r="H128" s="224">
        <v>0</v>
      </c>
      <c r="I128" s="168">
        <v>0</v>
      </c>
      <c r="J128" s="168">
        <v>0</v>
      </c>
      <c r="K128" s="169">
        <v>0</v>
      </c>
      <c r="L128" s="168">
        <v>0</v>
      </c>
      <c r="M128" s="169">
        <v>0</v>
      </c>
      <c r="N128" s="169">
        <v>0</v>
      </c>
      <c r="O128" s="169">
        <v>0</v>
      </c>
      <c r="P128" s="169">
        <v>0</v>
      </c>
      <c r="Q128" s="169">
        <v>0</v>
      </c>
      <c r="R128" s="169">
        <v>0</v>
      </c>
      <c r="S128" s="169">
        <v>0</v>
      </c>
      <c r="T128" s="169">
        <v>0</v>
      </c>
      <c r="U128" s="169">
        <v>0</v>
      </c>
      <c r="V128" s="169">
        <v>0</v>
      </c>
      <c r="W128" s="169">
        <v>0</v>
      </c>
      <c r="X128" s="169">
        <v>0</v>
      </c>
      <c r="Y128" s="169">
        <v>0</v>
      </c>
      <c r="Z128" s="169">
        <v>0</v>
      </c>
      <c r="AA128" s="169">
        <v>0</v>
      </c>
      <c r="AB128" s="169">
        <v>0</v>
      </c>
      <c r="AC128" s="169">
        <v>0</v>
      </c>
      <c r="AD128" s="169">
        <v>0</v>
      </c>
      <c r="AE128" s="169">
        <v>0</v>
      </c>
      <c r="AF128" s="169">
        <v>0</v>
      </c>
      <c r="AG128" s="169">
        <v>0</v>
      </c>
      <c r="AH128" s="169">
        <v>0</v>
      </c>
      <c r="AI128" s="169">
        <v>0</v>
      </c>
      <c r="AJ128" s="169">
        <v>0</v>
      </c>
      <c r="AK128" s="169">
        <v>0</v>
      </c>
      <c r="AL128" s="169">
        <v>0</v>
      </c>
      <c r="AM128" s="169">
        <v>0</v>
      </c>
      <c r="AN128" s="169">
        <v>0</v>
      </c>
      <c r="AO128" s="169">
        <v>0</v>
      </c>
      <c r="AP128" s="170">
        <v>0</v>
      </c>
    </row>
    <row r="129" spans="1:42" x14ac:dyDescent="0.35">
      <c r="A129" s="158" t="s">
        <v>220</v>
      </c>
      <c r="B129" s="158" t="s">
        <v>43</v>
      </c>
      <c r="C129" s="130" t="str">
        <f t="shared" si="1"/>
        <v>2.02.02.02Outros</v>
      </c>
      <c r="D129" s="169">
        <v>198369</v>
      </c>
      <c r="E129" s="169">
        <v>208688</v>
      </c>
      <c r="F129" s="169">
        <v>243662</v>
      </c>
      <c r="G129" s="169">
        <v>169008</v>
      </c>
      <c r="H129" s="224">
        <v>170753</v>
      </c>
      <c r="I129" s="168">
        <v>193529</v>
      </c>
      <c r="J129" s="168">
        <v>194328</v>
      </c>
      <c r="K129" s="169">
        <v>184520</v>
      </c>
      <c r="L129" s="168">
        <v>182034</v>
      </c>
      <c r="M129" s="169">
        <v>156044</v>
      </c>
      <c r="N129" s="169">
        <v>147012</v>
      </c>
      <c r="O129" s="169">
        <v>126059</v>
      </c>
      <c r="P129" s="169">
        <v>117794</v>
      </c>
      <c r="Q129" s="169">
        <v>136452</v>
      </c>
      <c r="R129" s="169">
        <v>117071</v>
      </c>
      <c r="S129" s="169">
        <v>102704</v>
      </c>
      <c r="T129" s="169">
        <v>110508</v>
      </c>
      <c r="U129" s="169">
        <v>108830</v>
      </c>
      <c r="V129" s="169">
        <v>75841</v>
      </c>
      <c r="W129" s="169">
        <v>56188</v>
      </c>
      <c r="X129" s="169">
        <v>64431</v>
      </c>
      <c r="Y129" s="169">
        <v>86951</v>
      </c>
      <c r="Z129" s="169">
        <v>87234</v>
      </c>
      <c r="AA129" s="169">
        <v>76049</v>
      </c>
      <c r="AB129" s="169">
        <v>78398</v>
      </c>
      <c r="AC129" s="169">
        <v>78463</v>
      </c>
      <c r="AD129" s="169">
        <v>107698</v>
      </c>
      <c r="AE129" s="169">
        <v>99275</v>
      </c>
      <c r="AF129" s="169">
        <v>94543</v>
      </c>
      <c r="AG129" s="169">
        <v>88021</v>
      </c>
      <c r="AH129" s="169">
        <v>45213</v>
      </c>
      <c r="AI129" s="169">
        <v>47899</v>
      </c>
      <c r="AJ129" s="169">
        <v>46583</v>
      </c>
      <c r="AK129" s="169">
        <v>46136</v>
      </c>
      <c r="AL129" s="169">
        <v>49227</v>
      </c>
      <c r="AM129" s="169">
        <v>36168</v>
      </c>
      <c r="AN129" s="169">
        <v>28358</v>
      </c>
      <c r="AO129" s="169">
        <v>24579</v>
      </c>
      <c r="AP129" s="170">
        <v>24352</v>
      </c>
    </row>
    <row r="130" spans="1:42" x14ac:dyDescent="0.35">
      <c r="A130" s="158" t="s">
        <v>221</v>
      </c>
      <c r="B130" s="158" t="s">
        <v>176</v>
      </c>
      <c r="C130" s="130" t="str">
        <f t="shared" si="1"/>
        <v>2.02.02.02.01Obrigações por Pagamentos Baseados em Ações</v>
      </c>
      <c r="D130" s="169">
        <v>0</v>
      </c>
      <c r="E130" s="169">
        <v>0</v>
      </c>
      <c r="F130" s="169">
        <v>0</v>
      </c>
      <c r="G130" s="169">
        <v>0</v>
      </c>
      <c r="H130" s="224">
        <v>0</v>
      </c>
      <c r="I130" s="168">
        <v>0</v>
      </c>
      <c r="J130" s="168">
        <v>0</v>
      </c>
      <c r="K130" s="169">
        <v>0</v>
      </c>
      <c r="L130" s="168">
        <v>0</v>
      </c>
      <c r="M130" s="169">
        <v>0</v>
      </c>
      <c r="N130" s="169">
        <v>0</v>
      </c>
      <c r="O130" s="169">
        <v>0</v>
      </c>
      <c r="P130" s="169">
        <v>0</v>
      </c>
      <c r="Q130" s="169">
        <v>0</v>
      </c>
      <c r="R130" s="169">
        <v>0</v>
      </c>
      <c r="S130" s="169">
        <v>0</v>
      </c>
      <c r="T130" s="169">
        <v>0</v>
      </c>
      <c r="U130" s="169">
        <v>0</v>
      </c>
      <c r="V130" s="169">
        <v>0</v>
      </c>
      <c r="W130" s="169">
        <v>0</v>
      </c>
      <c r="X130" s="169">
        <v>0</v>
      </c>
      <c r="Y130" s="169">
        <v>0</v>
      </c>
      <c r="Z130" s="169">
        <v>0</v>
      </c>
      <c r="AA130" s="169">
        <v>0</v>
      </c>
      <c r="AB130" s="169">
        <v>0</v>
      </c>
      <c r="AC130" s="169">
        <v>0</v>
      </c>
      <c r="AD130" s="169">
        <v>0</v>
      </c>
      <c r="AE130" s="169">
        <v>0</v>
      </c>
      <c r="AF130" s="169">
        <v>0</v>
      </c>
      <c r="AG130" s="169">
        <v>0</v>
      </c>
      <c r="AH130" s="169">
        <v>0</v>
      </c>
      <c r="AI130" s="169">
        <v>0</v>
      </c>
      <c r="AJ130" s="169">
        <v>0</v>
      </c>
      <c r="AK130" s="169">
        <v>0</v>
      </c>
      <c r="AL130" s="169">
        <v>0</v>
      </c>
      <c r="AM130" s="169">
        <v>0</v>
      </c>
      <c r="AN130" s="169">
        <v>0</v>
      </c>
      <c r="AO130" s="169">
        <v>0</v>
      </c>
      <c r="AP130" s="170">
        <v>0</v>
      </c>
    </row>
    <row r="131" spans="1:42" x14ac:dyDescent="0.35">
      <c r="A131" s="158" t="s">
        <v>222</v>
      </c>
      <c r="B131" s="158" t="s">
        <v>223</v>
      </c>
      <c r="C131" s="130" t="str">
        <f t="shared" si="1"/>
        <v>2.02.02.02.02Adiantamento para Futuro Aumento de Capital</v>
      </c>
      <c r="D131" s="169">
        <v>0</v>
      </c>
      <c r="E131" s="169">
        <v>0</v>
      </c>
      <c r="F131" s="169">
        <v>0</v>
      </c>
      <c r="G131" s="169">
        <v>0</v>
      </c>
      <c r="H131" s="224">
        <v>0</v>
      </c>
      <c r="I131" s="168">
        <v>0</v>
      </c>
      <c r="J131" s="168">
        <v>0</v>
      </c>
      <c r="K131" s="169">
        <v>0</v>
      </c>
      <c r="L131" s="168">
        <v>0</v>
      </c>
      <c r="M131" s="169">
        <v>0</v>
      </c>
      <c r="N131" s="169">
        <v>0</v>
      </c>
      <c r="O131" s="169">
        <v>0</v>
      </c>
      <c r="P131" s="169">
        <v>0</v>
      </c>
      <c r="Q131" s="169">
        <v>0</v>
      </c>
      <c r="R131" s="169">
        <v>0</v>
      </c>
      <c r="S131" s="169">
        <v>0</v>
      </c>
      <c r="T131" s="169">
        <v>0</v>
      </c>
      <c r="U131" s="169">
        <v>0</v>
      </c>
      <c r="V131" s="169">
        <v>0</v>
      </c>
      <c r="W131" s="169">
        <v>0</v>
      </c>
      <c r="X131" s="169">
        <v>0</v>
      </c>
      <c r="Y131" s="169">
        <v>0</v>
      </c>
      <c r="Z131" s="169">
        <v>0</v>
      </c>
      <c r="AA131" s="169">
        <v>0</v>
      </c>
      <c r="AB131" s="169">
        <v>0</v>
      </c>
      <c r="AC131" s="169">
        <v>0</v>
      </c>
      <c r="AD131" s="169">
        <v>0</v>
      </c>
      <c r="AE131" s="169">
        <v>0</v>
      </c>
      <c r="AF131" s="169">
        <v>0</v>
      </c>
      <c r="AG131" s="169">
        <v>0</v>
      </c>
      <c r="AH131" s="169">
        <v>0</v>
      </c>
      <c r="AI131" s="169">
        <v>0</v>
      </c>
      <c r="AJ131" s="169">
        <v>0</v>
      </c>
      <c r="AK131" s="169">
        <v>0</v>
      </c>
      <c r="AL131" s="169">
        <v>0</v>
      </c>
      <c r="AM131" s="169">
        <v>0</v>
      </c>
      <c r="AN131" s="169">
        <v>0</v>
      </c>
      <c r="AO131" s="169">
        <v>0</v>
      </c>
      <c r="AP131" s="170">
        <v>0</v>
      </c>
    </row>
    <row r="132" spans="1:42" x14ac:dyDescent="0.35">
      <c r="A132" s="158" t="s">
        <v>224</v>
      </c>
      <c r="B132" s="158" t="s">
        <v>225</v>
      </c>
      <c r="C132" s="130" t="str">
        <f t="shared" ref="C132:C186" si="2">CONCATENATE(A132,B132)</f>
        <v>2.02.02.02.03Outras Contas a Pagar</v>
      </c>
      <c r="D132" s="169">
        <v>198369</v>
      </c>
      <c r="E132" s="169">
        <v>208688</v>
      </c>
      <c r="F132" s="169">
        <v>243662</v>
      </c>
      <c r="G132" s="169">
        <v>169008</v>
      </c>
      <c r="H132" s="224">
        <v>170753</v>
      </c>
      <c r="I132" s="168">
        <v>193529</v>
      </c>
      <c r="J132" s="168">
        <v>194328</v>
      </c>
      <c r="K132" s="169">
        <v>184417</v>
      </c>
      <c r="L132" s="168">
        <v>181828</v>
      </c>
      <c r="M132" s="169">
        <v>155594</v>
      </c>
      <c r="N132" s="169">
        <v>146523</v>
      </c>
      <c r="O132" s="169">
        <v>126059</v>
      </c>
      <c r="P132" s="169">
        <v>117794</v>
      </c>
      <c r="Q132" s="169">
        <v>136452</v>
      </c>
      <c r="R132" s="169">
        <v>115480</v>
      </c>
      <c r="S132" s="169">
        <v>102704</v>
      </c>
      <c r="T132" s="169">
        <v>105044</v>
      </c>
      <c r="U132" s="169">
        <v>107452</v>
      </c>
      <c r="V132" s="169">
        <v>75841</v>
      </c>
      <c r="W132" s="169">
        <v>56188</v>
      </c>
      <c r="X132" s="169">
        <v>64431</v>
      </c>
      <c r="Y132" s="169">
        <v>86951</v>
      </c>
      <c r="Z132" s="169">
        <v>87234</v>
      </c>
      <c r="AA132" s="169">
        <v>76049</v>
      </c>
      <c r="AB132" s="169">
        <v>78398</v>
      </c>
      <c r="AC132" s="169">
        <v>78463</v>
      </c>
      <c r="AD132" s="169">
        <v>107698</v>
      </c>
      <c r="AE132" s="169">
        <v>99275</v>
      </c>
      <c r="AF132" s="169">
        <v>94543</v>
      </c>
      <c r="AG132" s="169">
        <v>88021</v>
      </c>
      <c r="AH132" s="169">
        <v>45213</v>
      </c>
      <c r="AI132" s="169">
        <v>47899</v>
      </c>
      <c r="AJ132" s="169">
        <v>46583</v>
      </c>
      <c r="AK132" s="169">
        <v>46136</v>
      </c>
      <c r="AL132" s="169">
        <v>49227</v>
      </c>
      <c r="AM132" s="169">
        <v>36168</v>
      </c>
      <c r="AN132" s="169">
        <v>28358</v>
      </c>
      <c r="AO132" s="169">
        <v>24579</v>
      </c>
      <c r="AP132" s="170">
        <v>24352</v>
      </c>
    </row>
    <row r="133" spans="1:42" x14ac:dyDescent="0.35">
      <c r="A133" s="158" t="s">
        <v>226</v>
      </c>
      <c r="B133" s="158" t="s">
        <v>376</v>
      </c>
      <c r="C133" s="130" t="str">
        <f t="shared" si="2"/>
        <v>2.02.02.02.04Passivo a descoberto de controladas em conjunto</v>
      </c>
      <c r="D133" s="169">
        <v>0</v>
      </c>
      <c r="E133" s="169">
        <v>0</v>
      </c>
      <c r="F133" s="169">
        <v>0</v>
      </c>
      <c r="G133" s="169">
        <v>0</v>
      </c>
      <c r="H133" s="224">
        <v>0</v>
      </c>
      <c r="I133" s="168">
        <v>0</v>
      </c>
      <c r="J133" s="168">
        <v>0</v>
      </c>
      <c r="K133" s="169">
        <v>0</v>
      </c>
      <c r="L133" s="168">
        <v>0</v>
      </c>
      <c r="M133" s="169">
        <v>0</v>
      </c>
      <c r="N133" s="169">
        <v>0</v>
      </c>
      <c r="O133" s="169">
        <v>0</v>
      </c>
      <c r="P133" s="169">
        <v>0</v>
      </c>
      <c r="Q133" s="169">
        <v>0</v>
      </c>
      <c r="R133" s="169">
        <v>0</v>
      </c>
      <c r="S133" s="169">
        <v>0</v>
      </c>
      <c r="T133" s="169">
        <v>0</v>
      </c>
      <c r="U133" s="169">
        <v>0</v>
      </c>
      <c r="V133" s="169">
        <v>0</v>
      </c>
      <c r="W133" s="169">
        <v>0</v>
      </c>
      <c r="X133" s="169">
        <v>0</v>
      </c>
      <c r="Y133" s="169">
        <v>0</v>
      </c>
      <c r="Z133" s="169">
        <v>0</v>
      </c>
      <c r="AA133" s="169">
        <v>0</v>
      </c>
      <c r="AB133" s="169">
        <v>0</v>
      </c>
      <c r="AC133" s="169">
        <v>0</v>
      </c>
      <c r="AD133" s="169">
        <v>0</v>
      </c>
      <c r="AE133" s="169">
        <v>0</v>
      </c>
      <c r="AF133" s="169">
        <v>0</v>
      </c>
      <c r="AG133" s="169">
        <v>0</v>
      </c>
      <c r="AH133" s="169">
        <v>0</v>
      </c>
      <c r="AI133" s="169">
        <v>0</v>
      </c>
      <c r="AJ133" s="169">
        <v>0</v>
      </c>
      <c r="AK133" s="169">
        <v>0</v>
      </c>
      <c r="AL133" s="169">
        <v>0</v>
      </c>
      <c r="AM133" s="169">
        <v>0</v>
      </c>
      <c r="AN133" s="169">
        <v>0</v>
      </c>
      <c r="AO133" s="169">
        <v>0</v>
      </c>
      <c r="AP133" s="170">
        <v>0</v>
      </c>
    </row>
    <row r="134" spans="1:42" x14ac:dyDescent="0.35">
      <c r="A134" s="158" t="s">
        <v>227</v>
      </c>
      <c r="B134" s="158" t="s">
        <v>49</v>
      </c>
      <c r="C134" s="130" t="s">
        <v>425</v>
      </c>
      <c r="D134" s="169">
        <v>0</v>
      </c>
      <c r="E134" s="169">
        <v>0</v>
      </c>
      <c r="F134" s="169">
        <v>0</v>
      </c>
      <c r="G134" s="169">
        <v>0</v>
      </c>
      <c r="H134" s="224">
        <v>0</v>
      </c>
      <c r="I134" s="168">
        <v>0</v>
      </c>
      <c r="J134" s="168">
        <v>0</v>
      </c>
      <c r="K134" s="169">
        <v>103</v>
      </c>
      <c r="L134" s="168">
        <v>206</v>
      </c>
      <c r="M134" s="169">
        <v>450</v>
      </c>
      <c r="N134" s="169">
        <v>489</v>
      </c>
      <c r="O134" s="169">
        <v>0</v>
      </c>
      <c r="P134" s="169">
        <v>0</v>
      </c>
      <c r="Q134" s="169">
        <v>0</v>
      </c>
      <c r="R134" s="169">
        <v>1591</v>
      </c>
      <c r="S134" s="169">
        <v>0</v>
      </c>
      <c r="T134" s="169">
        <v>5464</v>
      </c>
      <c r="U134" s="169">
        <v>1378</v>
      </c>
      <c r="V134" s="169">
        <v>0</v>
      </c>
      <c r="W134" s="169">
        <v>0</v>
      </c>
      <c r="X134" s="169">
        <v>0</v>
      </c>
      <c r="Y134" s="169">
        <v>0</v>
      </c>
      <c r="Z134" s="169">
        <v>0</v>
      </c>
      <c r="AA134" s="169">
        <v>0</v>
      </c>
      <c r="AB134" s="169">
        <v>0</v>
      </c>
      <c r="AC134" s="169">
        <v>0</v>
      </c>
      <c r="AD134" s="169">
        <v>0</v>
      </c>
      <c r="AE134" s="169">
        <v>0</v>
      </c>
      <c r="AF134" s="169">
        <v>0</v>
      </c>
      <c r="AG134" s="169">
        <v>0</v>
      </c>
      <c r="AH134" s="169">
        <v>0</v>
      </c>
      <c r="AI134" s="169">
        <v>0</v>
      </c>
      <c r="AJ134" s="169">
        <v>0</v>
      </c>
      <c r="AK134" s="169">
        <v>0</v>
      </c>
      <c r="AL134" s="169">
        <v>0</v>
      </c>
      <c r="AM134" s="169">
        <v>0</v>
      </c>
      <c r="AN134" s="169">
        <v>0</v>
      </c>
      <c r="AO134" s="169">
        <v>0</v>
      </c>
      <c r="AP134" s="170">
        <v>0</v>
      </c>
    </row>
    <row r="135" spans="1:42" x14ac:dyDescent="0.35">
      <c r="A135" s="158" t="s">
        <v>228</v>
      </c>
      <c r="B135" s="158" t="s">
        <v>64</v>
      </c>
      <c r="C135" s="130" t="str">
        <f t="shared" si="2"/>
        <v>2.02.03Tributos Diferidos</v>
      </c>
      <c r="D135" s="169">
        <v>34595</v>
      </c>
      <c r="E135" s="169">
        <v>35498</v>
      </c>
      <c r="F135" s="169">
        <v>40968</v>
      </c>
      <c r="G135" s="169">
        <v>60833</v>
      </c>
      <c r="H135" s="224">
        <v>77302</v>
      </c>
      <c r="I135" s="168">
        <v>69199</v>
      </c>
      <c r="J135" s="168">
        <v>75899</v>
      </c>
      <c r="K135" s="169">
        <v>57485</v>
      </c>
      <c r="L135" s="168">
        <v>69025</v>
      </c>
      <c r="M135" s="169">
        <v>37286</v>
      </c>
      <c r="N135" s="169">
        <v>47568</v>
      </c>
      <c r="O135" s="169">
        <v>52221</v>
      </c>
      <c r="P135" s="169">
        <v>52507</v>
      </c>
      <c r="Q135" s="169">
        <v>19869</v>
      </c>
      <c r="R135" s="169">
        <v>42904</v>
      </c>
      <c r="S135" s="169">
        <v>82710</v>
      </c>
      <c r="T135" s="169">
        <v>109058</v>
      </c>
      <c r="U135" s="169">
        <v>88254</v>
      </c>
      <c r="V135" s="169">
        <v>120725</v>
      </c>
      <c r="W135" s="169">
        <v>166283</v>
      </c>
      <c r="X135" s="169">
        <v>160053</v>
      </c>
      <c r="Y135" s="169">
        <v>192230</v>
      </c>
      <c r="Z135" s="169">
        <v>175180</v>
      </c>
      <c r="AA135" s="169">
        <v>221660</v>
      </c>
      <c r="AB135" s="169">
        <v>203951</v>
      </c>
      <c r="AC135" s="169">
        <v>198721</v>
      </c>
      <c r="AD135" s="169">
        <v>174548</v>
      </c>
      <c r="AE135" s="169">
        <v>182911</v>
      </c>
      <c r="AF135" s="169">
        <v>165427</v>
      </c>
      <c r="AG135" s="169">
        <v>178767</v>
      </c>
      <c r="AH135" s="169">
        <v>199862</v>
      </c>
      <c r="AI135" s="169">
        <v>221847</v>
      </c>
      <c r="AJ135" s="169">
        <v>201689</v>
      </c>
      <c r="AK135" s="169">
        <v>163462</v>
      </c>
      <c r="AL135" s="169">
        <v>169030</v>
      </c>
      <c r="AM135" s="169">
        <v>176300</v>
      </c>
      <c r="AN135" s="169">
        <v>181786</v>
      </c>
      <c r="AO135" s="169">
        <v>164849</v>
      </c>
      <c r="AP135" s="170">
        <v>162883</v>
      </c>
    </row>
    <row r="136" spans="1:42" x14ac:dyDescent="0.35">
      <c r="A136" s="158" t="s">
        <v>229</v>
      </c>
      <c r="B136" s="158" t="s">
        <v>66</v>
      </c>
      <c r="C136" s="130" t="str">
        <f t="shared" si="2"/>
        <v>2.02.03.01Imposto de Renda e Contribuição Social Diferidos</v>
      </c>
      <c r="D136" s="169">
        <v>34595</v>
      </c>
      <c r="E136" s="169">
        <v>35498</v>
      </c>
      <c r="F136" s="169">
        <v>40968</v>
      </c>
      <c r="G136" s="169">
        <v>60833</v>
      </c>
      <c r="H136" s="224">
        <v>77302</v>
      </c>
      <c r="I136" s="168">
        <v>69199</v>
      </c>
      <c r="J136" s="168">
        <v>75899</v>
      </c>
      <c r="K136" s="169">
        <v>57485</v>
      </c>
      <c r="L136" s="168">
        <v>69025</v>
      </c>
      <c r="M136" s="169">
        <v>37286</v>
      </c>
      <c r="N136" s="169">
        <v>47568</v>
      </c>
      <c r="O136" s="169">
        <v>52221</v>
      </c>
      <c r="P136" s="169">
        <v>52507</v>
      </c>
      <c r="Q136" s="169">
        <v>19869</v>
      </c>
      <c r="R136" s="169">
        <v>42904</v>
      </c>
      <c r="S136" s="169">
        <v>82710</v>
      </c>
      <c r="T136" s="169">
        <v>109058</v>
      </c>
      <c r="U136" s="169">
        <v>88254</v>
      </c>
      <c r="V136" s="169">
        <v>120725</v>
      </c>
      <c r="W136" s="169">
        <v>166283</v>
      </c>
      <c r="X136" s="169">
        <v>160053</v>
      </c>
      <c r="Y136" s="169">
        <v>192230</v>
      </c>
      <c r="Z136" s="169">
        <v>175180</v>
      </c>
      <c r="AA136" s="169">
        <v>221660</v>
      </c>
      <c r="AB136" s="169">
        <v>203951</v>
      </c>
      <c r="AC136" s="169">
        <v>198721</v>
      </c>
      <c r="AD136" s="169">
        <v>174548</v>
      </c>
      <c r="AE136" s="169">
        <v>182911</v>
      </c>
      <c r="AF136" s="169">
        <v>165427</v>
      </c>
      <c r="AG136" s="169">
        <v>178767</v>
      </c>
      <c r="AH136" s="169">
        <v>199862</v>
      </c>
      <c r="AI136" s="169">
        <v>221847</v>
      </c>
      <c r="AJ136" s="169">
        <v>201689</v>
      </c>
      <c r="AK136" s="169">
        <v>163462</v>
      </c>
      <c r="AL136" s="169">
        <v>169030</v>
      </c>
      <c r="AM136" s="169">
        <v>176300</v>
      </c>
      <c r="AN136" s="169">
        <v>181786</v>
      </c>
      <c r="AO136" s="169">
        <v>164849</v>
      </c>
      <c r="AP136" s="170">
        <v>162883</v>
      </c>
    </row>
    <row r="137" spans="1:42" x14ac:dyDescent="0.35">
      <c r="A137" s="158" t="s">
        <v>230</v>
      </c>
      <c r="B137" s="158" t="s">
        <v>182</v>
      </c>
      <c r="C137" s="130" t="str">
        <f t="shared" si="2"/>
        <v>2.02.04Provisões</v>
      </c>
      <c r="D137" s="169">
        <v>490595</v>
      </c>
      <c r="E137" s="169">
        <v>477026</v>
      </c>
      <c r="F137" s="169">
        <v>481791</v>
      </c>
      <c r="G137" s="169">
        <v>524919</v>
      </c>
      <c r="H137" s="224">
        <v>541437</v>
      </c>
      <c r="I137" s="168">
        <v>512474</v>
      </c>
      <c r="J137" s="168">
        <v>539953</v>
      </c>
      <c r="K137" s="169">
        <v>526062</v>
      </c>
      <c r="L137" s="168">
        <v>545462</v>
      </c>
      <c r="M137" s="169">
        <v>507107</v>
      </c>
      <c r="N137" s="169">
        <v>503187</v>
      </c>
      <c r="O137" s="169">
        <v>498874</v>
      </c>
      <c r="P137" s="169">
        <v>497350</v>
      </c>
      <c r="Q137" s="169">
        <v>514416</v>
      </c>
      <c r="R137" s="169">
        <v>540833</v>
      </c>
      <c r="S137" s="169">
        <v>594820</v>
      </c>
      <c r="T137" s="169">
        <v>612601</v>
      </c>
      <c r="U137" s="169">
        <v>604983</v>
      </c>
      <c r="V137" s="169">
        <v>707688</v>
      </c>
      <c r="W137" s="169">
        <v>777573</v>
      </c>
      <c r="X137" s="169">
        <v>729460</v>
      </c>
      <c r="Y137" s="169">
        <v>820999</v>
      </c>
      <c r="Z137" s="169">
        <v>781352</v>
      </c>
      <c r="AA137" s="169">
        <v>820057</v>
      </c>
      <c r="AB137" s="169">
        <v>762387</v>
      </c>
      <c r="AC137" s="169">
        <v>723865</v>
      </c>
      <c r="AD137" s="169">
        <v>599685</v>
      </c>
      <c r="AE137" s="169">
        <v>564615</v>
      </c>
      <c r="AF137" s="169">
        <v>543948</v>
      </c>
      <c r="AG137" s="169">
        <v>565369</v>
      </c>
      <c r="AH137" s="169">
        <v>576203</v>
      </c>
      <c r="AI137" s="169">
        <v>585951</v>
      </c>
      <c r="AJ137" s="169">
        <v>571701</v>
      </c>
      <c r="AK137" s="169">
        <v>536359</v>
      </c>
      <c r="AL137" s="169">
        <v>521900</v>
      </c>
      <c r="AM137" s="169">
        <v>494151</v>
      </c>
      <c r="AN137" s="169">
        <v>493815</v>
      </c>
      <c r="AO137" s="169">
        <v>449855</v>
      </c>
      <c r="AP137" s="170">
        <v>453807</v>
      </c>
    </row>
    <row r="138" spans="1:42" x14ac:dyDescent="0.35">
      <c r="A138" s="158" t="s">
        <v>231</v>
      </c>
      <c r="B138" s="158" t="s">
        <v>184</v>
      </c>
      <c r="C138" s="130" t="str">
        <f t="shared" si="2"/>
        <v>2.02.04.01Provisões Fiscais Previdenciárias Trabalhistas e Cíveis</v>
      </c>
      <c r="D138" s="169">
        <v>65991</v>
      </c>
      <c r="E138" s="169">
        <v>45656</v>
      </c>
      <c r="F138" s="169">
        <v>42040</v>
      </c>
      <c r="G138" s="169">
        <v>61031</v>
      </c>
      <c r="H138" s="224">
        <v>62266</v>
      </c>
      <c r="I138" s="168">
        <v>61878</v>
      </c>
      <c r="J138" s="168">
        <v>62577</v>
      </c>
      <c r="K138" s="169">
        <v>65433</v>
      </c>
      <c r="L138" s="168">
        <v>85485</v>
      </c>
      <c r="M138" s="169">
        <v>83760</v>
      </c>
      <c r="N138" s="169">
        <v>78965</v>
      </c>
      <c r="O138" s="169">
        <v>78045</v>
      </c>
      <c r="P138" s="169">
        <v>79259</v>
      </c>
      <c r="Q138" s="169">
        <v>77939</v>
      </c>
      <c r="R138" s="169">
        <v>78574</v>
      </c>
      <c r="S138" s="169">
        <v>79580</v>
      </c>
      <c r="T138" s="169">
        <v>77558</v>
      </c>
      <c r="U138" s="169">
        <v>92759</v>
      </c>
      <c r="V138" s="169">
        <v>90893</v>
      </c>
      <c r="W138" s="169">
        <v>100176</v>
      </c>
      <c r="X138" s="169">
        <v>86108</v>
      </c>
      <c r="Y138" s="169">
        <v>90726</v>
      </c>
      <c r="Z138" s="169">
        <v>79423</v>
      </c>
      <c r="AA138" s="169">
        <v>104246</v>
      </c>
      <c r="AB138" s="169">
        <v>84136</v>
      </c>
      <c r="AC138" s="169">
        <v>82744</v>
      </c>
      <c r="AD138" s="169">
        <v>83753</v>
      </c>
      <c r="AE138" s="169">
        <v>86542</v>
      </c>
      <c r="AF138" s="169">
        <v>84568</v>
      </c>
      <c r="AG138" s="169">
        <v>101410</v>
      </c>
      <c r="AH138" s="169">
        <v>105150</v>
      </c>
      <c r="AI138" s="169">
        <v>111900</v>
      </c>
      <c r="AJ138" s="169">
        <v>104829</v>
      </c>
      <c r="AK138" s="169">
        <v>106686</v>
      </c>
      <c r="AL138" s="169">
        <v>100663</v>
      </c>
      <c r="AM138" s="169">
        <v>89573</v>
      </c>
      <c r="AN138" s="169">
        <v>80842</v>
      </c>
      <c r="AO138" s="169">
        <v>74973</v>
      </c>
      <c r="AP138" s="170">
        <v>70650</v>
      </c>
    </row>
    <row r="139" spans="1:42" x14ac:dyDescent="0.35">
      <c r="A139" s="158" t="s">
        <v>232</v>
      </c>
      <c r="B139" s="158" t="s">
        <v>186</v>
      </c>
      <c r="C139" s="130" t="str">
        <f t="shared" si="2"/>
        <v>2.02.04.01.01Provisões Fiscais</v>
      </c>
      <c r="D139" s="169">
        <v>50481</v>
      </c>
      <c r="E139" s="169">
        <v>30512</v>
      </c>
      <c r="F139" s="169">
        <v>27699</v>
      </c>
      <c r="G139" s="169">
        <v>47452</v>
      </c>
      <c r="H139" s="224">
        <v>50326</v>
      </c>
      <c r="I139" s="168">
        <v>49490</v>
      </c>
      <c r="J139" s="168">
        <v>48633</v>
      </c>
      <c r="K139" s="169">
        <v>50516</v>
      </c>
      <c r="L139" s="168">
        <v>69051</v>
      </c>
      <c r="M139" s="169">
        <v>67204</v>
      </c>
      <c r="N139" s="169">
        <v>64760</v>
      </c>
      <c r="O139" s="169">
        <v>63171</v>
      </c>
      <c r="P139" s="169">
        <v>61069</v>
      </c>
      <c r="Q139" s="169">
        <v>59091</v>
      </c>
      <c r="R139" s="169">
        <v>59213</v>
      </c>
      <c r="S139" s="169">
        <v>57485</v>
      </c>
      <c r="T139" s="169">
        <v>55920</v>
      </c>
      <c r="U139" s="169">
        <v>58610</v>
      </c>
      <c r="V139" s="169">
        <v>56195</v>
      </c>
      <c r="W139" s="169">
        <v>55332</v>
      </c>
      <c r="X139" s="169">
        <v>54715</v>
      </c>
      <c r="Y139" s="169">
        <v>56470</v>
      </c>
      <c r="Z139" s="169">
        <v>53452</v>
      </c>
      <c r="AA139" s="169">
        <v>75998</v>
      </c>
      <c r="AB139" s="169">
        <v>55896</v>
      </c>
      <c r="AC139" s="169">
        <v>54570</v>
      </c>
      <c r="AD139" s="169">
        <v>50594</v>
      </c>
      <c r="AE139" s="169">
        <v>48448</v>
      </c>
      <c r="AF139" s="169">
        <v>46873</v>
      </c>
      <c r="AG139" s="169">
        <v>52892</v>
      </c>
      <c r="AH139" s="169">
        <v>51393</v>
      </c>
      <c r="AI139" s="169">
        <v>49515</v>
      </c>
      <c r="AJ139" s="169">
        <v>47144</v>
      </c>
      <c r="AK139" s="169">
        <v>44613</v>
      </c>
      <c r="AL139" s="169">
        <v>39362</v>
      </c>
      <c r="AM139" s="169">
        <v>38340</v>
      </c>
      <c r="AN139" s="169">
        <v>38815</v>
      </c>
      <c r="AO139" s="169">
        <v>36906</v>
      </c>
      <c r="AP139" s="170">
        <v>36380</v>
      </c>
    </row>
    <row r="140" spans="1:42" x14ac:dyDescent="0.35">
      <c r="A140" s="158" t="s">
        <v>233</v>
      </c>
      <c r="B140" s="158" t="s">
        <v>188</v>
      </c>
      <c r="C140" s="130" t="str">
        <f t="shared" si="2"/>
        <v>2.02.04.01.02Provisões Previdenciárias e Trabalhistas</v>
      </c>
      <c r="D140" s="169">
        <v>15299</v>
      </c>
      <c r="E140" s="169">
        <v>14942</v>
      </c>
      <c r="F140" s="169">
        <v>14147</v>
      </c>
      <c r="G140" s="169">
        <v>13192</v>
      </c>
      <c r="H140" s="224">
        <v>11369</v>
      </c>
      <c r="I140" s="168">
        <v>11836</v>
      </c>
      <c r="J140" s="168">
        <v>13369</v>
      </c>
      <c r="K140" s="169">
        <v>14355</v>
      </c>
      <c r="L140" s="168">
        <v>15887</v>
      </c>
      <c r="M140" s="169">
        <v>16020</v>
      </c>
      <c r="N140" s="169">
        <v>13682</v>
      </c>
      <c r="O140" s="169">
        <v>14341</v>
      </c>
      <c r="P140" s="169">
        <v>17673</v>
      </c>
      <c r="Q140" s="169">
        <v>18333</v>
      </c>
      <c r="R140" s="169">
        <v>18804</v>
      </c>
      <c r="S140" s="169">
        <v>19649</v>
      </c>
      <c r="T140" s="169">
        <v>19389</v>
      </c>
      <c r="U140" s="169">
        <v>24027</v>
      </c>
      <c r="V140" s="169">
        <v>23727</v>
      </c>
      <c r="W140" s="169">
        <v>21107</v>
      </c>
      <c r="X140" s="169">
        <v>18874</v>
      </c>
      <c r="Y140" s="169">
        <v>20804</v>
      </c>
      <c r="Z140" s="169">
        <v>21217</v>
      </c>
      <c r="AA140" s="169">
        <v>23557</v>
      </c>
      <c r="AB140" s="169">
        <v>23593</v>
      </c>
      <c r="AC140" s="169">
        <v>23537</v>
      </c>
      <c r="AD140" s="169">
        <v>28628</v>
      </c>
      <c r="AE140" s="169">
        <v>33930</v>
      </c>
      <c r="AF140" s="169">
        <v>33699</v>
      </c>
      <c r="AG140" s="169">
        <v>36308</v>
      </c>
      <c r="AH140" s="169">
        <v>39767</v>
      </c>
      <c r="AI140" s="169">
        <v>46642</v>
      </c>
      <c r="AJ140" s="169">
        <v>41984</v>
      </c>
      <c r="AK140" s="169">
        <v>45806</v>
      </c>
      <c r="AL140" s="169">
        <v>44983</v>
      </c>
      <c r="AM140" s="169">
        <v>37308</v>
      </c>
      <c r="AN140" s="169">
        <v>30225</v>
      </c>
      <c r="AO140" s="169">
        <v>26267</v>
      </c>
      <c r="AP140" s="170">
        <v>23308</v>
      </c>
    </row>
    <row r="141" spans="1:42" x14ac:dyDescent="0.35">
      <c r="A141" s="158" t="s">
        <v>234</v>
      </c>
      <c r="B141" s="158" t="s">
        <v>190</v>
      </c>
      <c r="C141" s="130" t="str">
        <f t="shared" si="2"/>
        <v>2.02.04.01.03Provisões para Benefícios a Empregados</v>
      </c>
      <c r="D141" s="169">
        <v>0</v>
      </c>
      <c r="E141" s="169">
        <v>0</v>
      </c>
      <c r="F141" s="169">
        <v>0</v>
      </c>
      <c r="G141" s="169">
        <v>0</v>
      </c>
      <c r="H141" s="224">
        <v>0</v>
      </c>
      <c r="I141" s="168">
        <v>0</v>
      </c>
      <c r="J141" s="168">
        <v>0</v>
      </c>
      <c r="K141" s="169">
        <v>0</v>
      </c>
      <c r="L141" s="168">
        <v>0</v>
      </c>
      <c r="M141" s="169">
        <v>0</v>
      </c>
      <c r="N141" s="169">
        <v>0</v>
      </c>
      <c r="O141" s="169">
        <v>0</v>
      </c>
      <c r="P141" s="169">
        <v>0</v>
      </c>
      <c r="Q141" s="169">
        <v>0</v>
      </c>
      <c r="R141" s="169">
        <v>0</v>
      </c>
      <c r="S141" s="169">
        <v>0</v>
      </c>
      <c r="T141" s="169">
        <v>0</v>
      </c>
      <c r="U141" s="169">
        <v>0</v>
      </c>
      <c r="V141" s="169">
        <v>0</v>
      </c>
      <c r="W141" s="169">
        <v>0</v>
      </c>
      <c r="X141" s="169">
        <v>0</v>
      </c>
      <c r="Y141" s="169">
        <v>0</v>
      </c>
      <c r="Z141" s="169">
        <v>0</v>
      </c>
      <c r="AA141" s="169">
        <v>0</v>
      </c>
      <c r="AB141" s="169">
        <v>0</v>
      </c>
      <c r="AC141" s="169">
        <v>0</v>
      </c>
      <c r="AD141" s="169">
        <v>0</v>
      </c>
      <c r="AE141" s="169">
        <v>0</v>
      </c>
      <c r="AF141" s="169">
        <v>0</v>
      </c>
      <c r="AG141" s="169">
        <v>0</v>
      </c>
      <c r="AH141" s="169">
        <v>0</v>
      </c>
      <c r="AI141" s="169">
        <v>0</v>
      </c>
      <c r="AJ141" s="169">
        <v>0</v>
      </c>
      <c r="AK141" s="169">
        <v>0</v>
      </c>
      <c r="AL141" s="169">
        <v>0</v>
      </c>
      <c r="AM141" s="169">
        <v>0</v>
      </c>
      <c r="AN141" s="169">
        <v>0</v>
      </c>
      <c r="AO141" s="169">
        <v>0</v>
      </c>
      <c r="AP141" s="170">
        <v>0</v>
      </c>
    </row>
    <row r="142" spans="1:42" x14ac:dyDescent="0.35">
      <c r="A142" s="158" t="s">
        <v>235</v>
      </c>
      <c r="B142" s="158" t="s">
        <v>192</v>
      </c>
      <c r="C142" s="130" t="str">
        <f t="shared" si="2"/>
        <v>2.02.04.01.04Provisões Cíveis</v>
      </c>
      <c r="D142" s="169">
        <v>211</v>
      </c>
      <c r="E142" s="169">
        <v>202</v>
      </c>
      <c r="F142" s="169">
        <v>194</v>
      </c>
      <c r="G142" s="169">
        <v>387</v>
      </c>
      <c r="H142" s="224">
        <v>571</v>
      </c>
      <c r="I142" s="168">
        <v>552</v>
      </c>
      <c r="J142" s="168">
        <v>575</v>
      </c>
      <c r="K142" s="169">
        <v>562</v>
      </c>
      <c r="L142" s="168">
        <v>547</v>
      </c>
      <c r="M142" s="169">
        <v>536</v>
      </c>
      <c r="N142" s="169">
        <v>523</v>
      </c>
      <c r="O142" s="169">
        <v>533</v>
      </c>
      <c r="P142" s="169">
        <v>517</v>
      </c>
      <c r="Q142" s="169">
        <v>515</v>
      </c>
      <c r="R142" s="169">
        <v>557</v>
      </c>
      <c r="S142" s="169">
        <v>2446</v>
      </c>
      <c r="T142" s="169">
        <v>2249</v>
      </c>
      <c r="U142" s="169">
        <v>10122</v>
      </c>
      <c r="V142" s="169">
        <v>10971</v>
      </c>
      <c r="W142" s="169">
        <v>23737</v>
      </c>
      <c r="X142" s="169">
        <v>12519</v>
      </c>
      <c r="Y142" s="169">
        <v>13452</v>
      </c>
      <c r="Z142" s="169">
        <v>4754</v>
      </c>
      <c r="AA142" s="169">
        <v>4691</v>
      </c>
      <c r="AB142" s="169">
        <v>4647</v>
      </c>
      <c r="AC142" s="169">
        <v>4637</v>
      </c>
      <c r="AD142" s="169">
        <v>4531</v>
      </c>
      <c r="AE142" s="169">
        <v>4164</v>
      </c>
      <c r="AF142" s="169">
        <v>3996</v>
      </c>
      <c r="AG142" s="169">
        <v>12210</v>
      </c>
      <c r="AH142" s="169">
        <v>13990</v>
      </c>
      <c r="AI142" s="169">
        <v>15743</v>
      </c>
      <c r="AJ142" s="169">
        <v>15701</v>
      </c>
      <c r="AK142" s="169">
        <v>16267</v>
      </c>
      <c r="AL142" s="169">
        <v>16318</v>
      </c>
      <c r="AM142" s="169">
        <v>13925</v>
      </c>
      <c r="AN142" s="169">
        <v>11802</v>
      </c>
      <c r="AO142" s="169">
        <v>11800</v>
      </c>
      <c r="AP142" s="170">
        <v>10962</v>
      </c>
    </row>
    <row r="143" spans="1:42" x14ac:dyDescent="0.35">
      <c r="A143" s="158" t="s">
        <v>236</v>
      </c>
      <c r="B143" s="158" t="s">
        <v>194</v>
      </c>
      <c r="C143" s="130" t="str">
        <f t="shared" si="2"/>
        <v>2.02.04.02Outras Provisões</v>
      </c>
      <c r="D143" s="169">
        <v>424604</v>
      </c>
      <c r="E143" s="169">
        <v>431370</v>
      </c>
      <c r="F143" s="169">
        <v>439751</v>
      </c>
      <c r="G143" s="169">
        <v>463888</v>
      </c>
      <c r="H143" s="224">
        <v>479171</v>
      </c>
      <c r="I143" s="168">
        <v>450596</v>
      </c>
      <c r="J143" s="168">
        <v>477376</v>
      </c>
      <c r="K143" s="169">
        <v>460629</v>
      </c>
      <c r="L143" s="168">
        <v>459977</v>
      </c>
      <c r="M143" s="169">
        <v>423347</v>
      </c>
      <c r="N143" s="169">
        <v>424222</v>
      </c>
      <c r="O143" s="169">
        <v>420829</v>
      </c>
      <c r="P143" s="169">
        <v>418091</v>
      </c>
      <c r="Q143" s="169">
        <v>436477</v>
      </c>
      <c r="R143" s="169">
        <v>462259</v>
      </c>
      <c r="S143" s="169">
        <v>515240</v>
      </c>
      <c r="T143" s="169">
        <v>535043</v>
      </c>
      <c r="U143" s="169">
        <v>512224</v>
      </c>
      <c r="V143" s="169">
        <v>616795</v>
      </c>
      <c r="W143" s="169">
        <v>677397</v>
      </c>
      <c r="X143" s="169">
        <v>643352</v>
      </c>
      <c r="Y143" s="169">
        <v>730273</v>
      </c>
      <c r="Z143" s="169">
        <v>701929</v>
      </c>
      <c r="AA143" s="169">
        <v>715811</v>
      </c>
      <c r="AB143" s="169">
        <v>678251</v>
      </c>
      <c r="AC143" s="169">
        <v>641121</v>
      </c>
      <c r="AD143" s="169">
        <v>515932</v>
      </c>
      <c r="AE143" s="169">
        <v>478073</v>
      </c>
      <c r="AF143" s="169">
        <v>459380</v>
      </c>
      <c r="AG143" s="169">
        <v>463959</v>
      </c>
      <c r="AH143" s="169">
        <v>471053</v>
      </c>
      <c r="AI143" s="169">
        <v>474051</v>
      </c>
      <c r="AJ143" s="169">
        <v>466872</v>
      </c>
      <c r="AK143" s="169">
        <v>429673</v>
      </c>
      <c r="AL143" s="169">
        <v>421237</v>
      </c>
      <c r="AM143" s="169">
        <v>404578</v>
      </c>
      <c r="AN143" s="169">
        <v>412973</v>
      </c>
      <c r="AO143" s="169">
        <v>374882</v>
      </c>
      <c r="AP143" s="170">
        <v>383157</v>
      </c>
    </row>
    <row r="144" spans="1:42" x14ac:dyDescent="0.35">
      <c r="A144" s="158" t="s">
        <v>237</v>
      </c>
      <c r="B144" s="158" t="s">
        <v>196</v>
      </c>
      <c r="C144" s="130" t="str">
        <f t="shared" si="2"/>
        <v>2.02.04.02.01Provisões para Garantias</v>
      </c>
      <c r="D144" s="169">
        <v>0</v>
      </c>
      <c r="E144" s="169">
        <v>0</v>
      </c>
      <c r="F144" s="169">
        <v>0</v>
      </c>
      <c r="G144" s="169">
        <v>0</v>
      </c>
      <c r="H144" s="224">
        <v>0</v>
      </c>
      <c r="I144" s="168">
        <v>0</v>
      </c>
      <c r="J144" s="168">
        <v>0</v>
      </c>
      <c r="K144" s="169">
        <v>0</v>
      </c>
      <c r="L144" s="168">
        <v>0</v>
      </c>
      <c r="M144" s="169">
        <v>0</v>
      </c>
      <c r="N144" s="169">
        <v>0</v>
      </c>
      <c r="O144" s="169">
        <v>0</v>
      </c>
      <c r="P144" s="169">
        <v>0</v>
      </c>
      <c r="Q144" s="169">
        <v>0</v>
      </c>
      <c r="R144" s="169">
        <v>0</v>
      </c>
      <c r="S144" s="169">
        <v>0</v>
      </c>
      <c r="T144" s="169">
        <v>0</v>
      </c>
      <c r="U144" s="169">
        <v>0</v>
      </c>
      <c r="V144" s="169">
        <v>0</v>
      </c>
      <c r="W144" s="169">
        <v>0</v>
      </c>
      <c r="X144" s="169">
        <v>0</v>
      </c>
      <c r="Y144" s="169">
        <v>0</v>
      </c>
      <c r="Z144" s="169">
        <v>0</v>
      </c>
      <c r="AA144" s="169">
        <v>0</v>
      </c>
      <c r="AB144" s="169">
        <v>0</v>
      </c>
      <c r="AC144" s="169">
        <v>0</v>
      </c>
      <c r="AD144" s="169">
        <v>0</v>
      </c>
      <c r="AE144" s="169">
        <v>0</v>
      </c>
      <c r="AF144" s="169">
        <v>0</v>
      </c>
      <c r="AG144" s="169">
        <v>0</v>
      </c>
      <c r="AH144" s="169">
        <v>0</v>
      </c>
      <c r="AI144" s="169">
        <v>0</v>
      </c>
      <c r="AJ144" s="169">
        <v>0</v>
      </c>
      <c r="AK144" s="169">
        <v>0</v>
      </c>
      <c r="AL144" s="169">
        <v>0</v>
      </c>
      <c r="AM144" s="169">
        <v>0</v>
      </c>
      <c r="AN144" s="169">
        <v>0</v>
      </c>
      <c r="AO144" s="169">
        <v>0</v>
      </c>
      <c r="AP144" s="170">
        <v>0</v>
      </c>
    </row>
    <row r="145" spans="1:42" x14ac:dyDescent="0.35">
      <c r="A145" s="158" t="s">
        <v>238</v>
      </c>
      <c r="B145" s="158" t="s">
        <v>198</v>
      </c>
      <c r="C145" s="130" t="str">
        <f t="shared" si="2"/>
        <v>2.02.04.02.02Provisões para Reestruturação</v>
      </c>
      <c r="D145" s="169">
        <v>0</v>
      </c>
      <c r="E145" s="169">
        <v>0</v>
      </c>
      <c r="F145" s="169">
        <v>0</v>
      </c>
      <c r="G145" s="169">
        <v>0</v>
      </c>
      <c r="H145" s="224">
        <v>0</v>
      </c>
      <c r="I145" s="168">
        <v>0</v>
      </c>
      <c r="J145" s="168">
        <v>0</v>
      </c>
      <c r="K145" s="169">
        <v>0</v>
      </c>
      <c r="L145" s="168">
        <v>0</v>
      </c>
      <c r="M145" s="169">
        <v>0</v>
      </c>
      <c r="N145" s="169">
        <v>0</v>
      </c>
      <c r="O145" s="169">
        <v>0</v>
      </c>
      <c r="P145" s="169">
        <v>0</v>
      </c>
      <c r="Q145" s="169">
        <v>0</v>
      </c>
      <c r="R145" s="169">
        <v>0</v>
      </c>
      <c r="S145" s="169">
        <v>0</v>
      </c>
      <c r="T145" s="169">
        <v>0</v>
      </c>
      <c r="U145" s="169">
        <v>0</v>
      </c>
      <c r="V145" s="169">
        <v>0</v>
      </c>
      <c r="W145" s="169">
        <v>0</v>
      </c>
      <c r="X145" s="169">
        <v>0</v>
      </c>
      <c r="Y145" s="169">
        <v>0</v>
      </c>
      <c r="Z145" s="169">
        <v>0</v>
      </c>
      <c r="AA145" s="169">
        <v>0</v>
      </c>
      <c r="AB145" s="169">
        <v>0</v>
      </c>
      <c r="AC145" s="169">
        <v>0</v>
      </c>
      <c r="AD145" s="169">
        <v>0</v>
      </c>
      <c r="AE145" s="169">
        <v>0</v>
      </c>
      <c r="AF145" s="169">
        <v>0</v>
      </c>
      <c r="AG145" s="169">
        <v>0</v>
      </c>
      <c r="AH145" s="169">
        <v>0</v>
      </c>
      <c r="AI145" s="169">
        <v>0</v>
      </c>
      <c r="AJ145" s="169">
        <v>0</v>
      </c>
      <c r="AK145" s="169">
        <v>0</v>
      </c>
      <c r="AL145" s="169">
        <v>0</v>
      </c>
      <c r="AM145" s="169">
        <v>0</v>
      </c>
      <c r="AN145" s="169">
        <v>0</v>
      </c>
      <c r="AO145" s="169">
        <v>0</v>
      </c>
      <c r="AP145" s="170">
        <v>0</v>
      </c>
    </row>
    <row r="146" spans="1:42" x14ac:dyDescent="0.35">
      <c r="A146" s="158" t="s">
        <v>239</v>
      </c>
      <c r="B146" s="158" t="s">
        <v>200</v>
      </c>
      <c r="C146" s="130" t="str">
        <f t="shared" si="2"/>
        <v>2.02.04.02.03Provisões para Passivos Ambientais e de Desativação</v>
      </c>
      <c r="D146" s="169">
        <v>0</v>
      </c>
      <c r="E146" s="169">
        <v>0</v>
      </c>
      <c r="F146" s="169">
        <v>0</v>
      </c>
      <c r="G146" s="169">
        <v>0</v>
      </c>
      <c r="H146" s="224">
        <v>0</v>
      </c>
      <c r="I146" s="168">
        <v>0</v>
      </c>
      <c r="J146" s="168">
        <v>0</v>
      </c>
      <c r="K146" s="169">
        <v>0</v>
      </c>
      <c r="L146" s="168">
        <v>0</v>
      </c>
      <c r="M146" s="169">
        <v>0</v>
      </c>
      <c r="N146" s="169">
        <v>0</v>
      </c>
      <c r="O146" s="169">
        <v>0</v>
      </c>
      <c r="P146" s="169">
        <v>0</v>
      </c>
      <c r="Q146" s="169">
        <v>0</v>
      </c>
      <c r="R146" s="169">
        <v>0</v>
      </c>
      <c r="S146" s="169">
        <v>0</v>
      </c>
      <c r="T146" s="169">
        <v>0</v>
      </c>
      <c r="U146" s="169">
        <v>0</v>
      </c>
      <c r="V146" s="169">
        <v>0</v>
      </c>
      <c r="W146" s="169">
        <v>0</v>
      </c>
      <c r="X146" s="169">
        <v>0</v>
      </c>
      <c r="Y146" s="169">
        <v>0</v>
      </c>
      <c r="Z146" s="169">
        <v>0</v>
      </c>
      <c r="AA146" s="169">
        <v>0</v>
      </c>
      <c r="AB146" s="169">
        <v>0</v>
      </c>
      <c r="AC146" s="169">
        <v>0</v>
      </c>
      <c r="AD146" s="169">
        <v>0</v>
      </c>
      <c r="AE146" s="169">
        <v>0</v>
      </c>
      <c r="AF146" s="169">
        <v>0</v>
      </c>
      <c r="AG146" s="169">
        <v>0</v>
      </c>
      <c r="AH146" s="169">
        <v>0</v>
      </c>
      <c r="AI146" s="169">
        <v>0</v>
      </c>
      <c r="AJ146" s="169">
        <v>0</v>
      </c>
      <c r="AK146" s="169">
        <v>0</v>
      </c>
      <c r="AL146" s="169">
        <v>0</v>
      </c>
      <c r="AM146" s="169">
        <v>0</v>
      </c>
      <c r="AN146" s="169">
        <v>0</v>
      </c>
      <c r="AO146" s="169">
        <v>0</v>
      </c>
      <c r="AP146" s="170">
        <v>0</v>
      </c>
    </row>
    <row r="147" spans="1:42" x14ac:dyDescent="0.35">
      <c r="A147" s="158" t="s">
        <v>377</v>
      </c>
      <c r="B147" s="158" t="s">
        <v>378</v>
      </c>
      <c r="C147" s="130" t="str">
        <f t="shared" si="2"/>
        <v>2.02.04.02.04Passivo atuarial de planos de pensão</v>
      </c>
      <c r="D147" s="169">
        <v>424604</v>
      </c>
      <c r="E147" s="169">
        <v>431370</v>
      </c>
      <c r="F147" s="169">
        <v>439751</v>
      </c>
      <c r="G147" s="169">
        <v>463888</v>
      </c>
      <c r="H147" s="224">
        <v>479171</v>
      </c>
      <c r="I147" s="168">
        <v>450596</v>
      </c>
      <c r="J147" s="168">
        <v>477376</v>
      </c>
      <c r="K147" s="169">
        <v>460629</v>
      </c>
      <c r="L147" s="168">
        <v>459977</v>
      </c>
      <c r="M147" s="169">
        <v>423347</v>
      </c>
      <c r="N147" s="169">
        <v>424222</v>
      </c>
      <c r="O147" s="169">
        <v>420829</v>
      </c>
      <c r="P147" s="169">
        <v>418091</v>
      </c>
      <c r="Q147" s="169">
        <v>436477</v>
      </c>
      <c r="R147" s="169">
        <v>462259</v>
      </c>
      <c r="S147" s="169">
        <v>515240</v>
      </c>
      <c r="T147" s="169">
        <v>535043</v>
      </c>
      <c r="U147" s="169">
        <v>512224</v>
      </c>
      <c r="V147" s="169">
        <v>616795</v>
      </c>
      <c r="W147" s="169">
        <v>677397</v>
      </c>
      <c r="X147" s="169">
        <v>643352</v>
      </c>
      <c r="Y147" s="169">
        <v>730273</v>
      </c>
      <c r="Z147" s="169">
        <v>701929</v>
      </c>
      <c r="AA147" s="169">
        <v>715811</v>
      </c>
      <c r="AB147" s="169">
        <v>678251</v>
      </c>
      <c r="AC147" s="169">
        <v>641121</v>
      </c>
      <c r="AD147" s="169">
        <v>515932</v>
      </c>
      <c r="AE147" s="169">
        <v>478073</v>
      </c>
      <c r="AF147" s="169">
        <v>459380</v>
      </c>
      <c r="AG147" s="169">
        <v>463959</v>
      </c>
      <c r="AH147" s="169">
        <v>471053</v>
      </c>
      <c r="AI147" s="169">
        <v>474051</v>
      </c>
      <c r="AJ147" s="169">
        <v>466872</v>
      </c>
      <c r="AK147" s="169">
        <v>429673</v>
      </c>
      <c r="AL147" s="169">
        <v>421237</v>
      </c>
      <c r="AM147" s="169">
        <v>404578</v>
      </c>
      <c r="AN147" s="169">
        <v>412973</v>
      </c>
      <c r="AO147" s="169">
        <v>374882</v>
      </c>
      <c r="AP147" s="170">
        <v>383157</v>
      </c>
    </row>
    <row r="148" spans="1:42" x14ac:dyDescent="0.35">
      <c r="A148" s="158" t="s">
        <v>240</v>
      </c>
      <c r="B148" s="158" t="s">
        <v>202</v>
      </c>
      <c r="C148" s="130" t="str">
        <f t="shared" si="2"/>
        <v>2.02.05Passivos sobre Ativos Não-Correntes a Venda e Descontinuados</v>
      </c>
      <c r="D148" s="169">
        <v>0</v>
      </c>
      <c r="E148" s="169">
        <v>0</v>
      </c>
      <c r="F148" s="169">
        <v>0</v>
      </c>
      <c r="G148" s="169">
        <v>0</v>
      </c>
      <c r="H148" s="168">
        <v>0</v>
      </c>
      <c r="I148" s="168">
        <v>0</v>
      </c>
      <c r="J148" s="168">
        <v>0</v>
      </c>
      <c r="K148" s="169">
        <v>0</v>
      </c>
      <c r="L148" s="168">
        <v>0</v>
      </c>
      <c r="M148" s="169">
        <v>0</v>
      </c>
      <c r="N148" s="169">
        <v>0</v>
      </c>
      <c r="O148" s="169">
        <v>0</v>
      </c>
      <c r="P148" s="169">
        <v>0</v>
      </c>
      <c r="Q148" s="169">
        <v>0</v>
      </c>
      <c r="R148" s="169">
        <v>0</v>
      </c>
      <c r="S148" s="169">
        <v>0</v>
      </c>
      <c r="T148" s="169">
        <v>0</v>
      </c>
      <c r="U148" s="169">
        <v>0</v>
      </c>
      <c r="V148" s="169">
        <v>0</v>
      </c>
      <c r="W148" s="169">
        <v>0</v>
      </c>
      <c r="X148" s="169">
        <v>0</v>
      </c>
      <c r="Y148" s="169">
        <v>0</v>
      </c>
      <c r="Z148" s="169">
        <v>0</v>
      </c>
      <c r="AA148" s="169">
        <v>0</v>
      </c>
      <c r="AB148" s="169">
        <v>0</v>
      </c>
      <c r="AC148" s="169">
        <v>0</v>
      </c>
      <c r="AD148" s="169">
        <v>0</v>
      </c>
      <c r="AE148" s="169">
        <v>0</v>
      </c>
      <c r="AF148" s="169">
        <v>0</v>
      </c>
      <c r="AG148" s="169">
        <v>0</v>
      </c>
      <c r="AH148" s="169">
        <v>0</v>
      </c>
      <c r="AI148" s="169">
        <v>0</v>
      </c>
      <c r="AJ148" s="169">
        <v>0</v>
      </c>
      <c r="AK148" s="169">
        <v>0</v>
      </c>
      <c r="AL148" s="169">
        <v>0</v>
      </c>
      <c r="AM148" s="169">
        <v>0</v>
      </c>
      <c r="AN148" s="169">
        <v>0</v>
      </c>
      <c r="AO148" s="169">
        <v>0</v>
      </c>
      <c r="AP148" s="170">
        <v>0</v>
      </c>
    </row>
    <row r="149" spans="1:42" x14ac:dyDescent="0.35">
      <c r="A149" s="158" t="s">
        <v>241</v>
      </c>
      <c r="B149" s="158" t="s">
        <v>204</v>
      </c>
      <c r="C149" s="130" t="str">
        <f t="shared" si="2"/>
        <v>2.02.05.01Passivos sobre Ativos Não-Correntes a Venda</v>
      </c>
      <c r="D149" s="169">
        <v>0</v>
      </c>
      <c r="E149" s="169">
        <v>0</v>
      </c>
      <c r="F149" s="169">
        <v>0</v>
      </c>
      <c r="G149" s="169">
        <v>0</v>
      </c>
      <c r="H149" s="168">
        <v>0</v>
      </c>
      <c r="I149" s="168">
        <v>0</v>
      </c>
      <c r="J149" s="168">
        <v>0</v>
      </c>
      <c r="K149" s="169">
        <v>0</v>
      </c>
      <c r="L149" s="168">
        <v>0</v>
      </c>
      <c r="M149" s="169">
        <v>0</v>
      </c>
      <c r="N149" s="169">
        <v>0</v>
      </c>
      <c r="O149" s="169">
        <v>0</v>
      </c>
      <c r="P149" s="169">
        <v>0</v>
      </c>
      <c r="Q149" s="169">
        <v>0</v>
      </c>
      <c r="R149" s="169">
        <v>0</v>
      </c>
      <c r="S149" s="169">
        <v>0</v>
      </c>
      <c r="T149" s="169">
        <v>0</v>
      </c>
      <c r="U149" s="169">
        <v>0</v>
      </c>
      <c r="V149" s="169">
        <v>0</v>
      </c>
      <c r="W149" s="169">
        <v>0</v>
      </c>
      <c r="X149" s="169">
        <v>0</v>
      </c>
      <c r="Y149" s="169">
        <v>0</v>
      </c>
      <c r="Z149" s="169">
        <v>0</v>
      </c>
      <c r="AA149" s="169">
        <v>0</v>
      </c>
      <c r="AB149" s="169">
        <v>0</v>
      </c>
      <c r="AC149" s="169">
        <v>0</v>
      </c>
      <c r="AD149" s="169">
        <v>0</v>
      </c>
      <c r="AE149" s="169">
        <v>0</v>
      </c>
      <c r="AF149" s="169">
        <v>0</v>
      </c>
      <c r="AG149" s="169">
        <v>0</v>
      </c>
      <c r="AH149" s="169">
        <v>0</v>
      </c>
      <c r="AI149" s="169">
        <v>0</v>
      </c>
      <c r="AJ149" s="169">
        <v>0</v>
      </c>
      <c r="AK149" s="169">
        <v>0</v>
      </c>
      <c r="AL149" s="169">
        <v>0</v>
      </c>
      <c r="AM149" s="169">
        <v>0</v>
      </c>
      <c r="AN149" s="169">
        <v>0</v>
      </c>
      <c r="AO149" s="169">
        <v>0</v>
      </c>
      <c r="AP149" s="170">
        <v>0</v>
      </c>
    </row>
    <row r="150" spans="1:42" x14ac:dyDescent="0.35">
      <c r="A150" s="158" t="s">
        <v>242</v>
      </c>
      <c r="B150" s="158" t="s">
        <v>206</v>
      </c>
      <c r="C150" s="130" t="str">
        <f t="shared" si="2"/>
        <v>2.02.05.02Passivos sobre Ativos de Operações Descontinuadas</v>
      </c>
      <c r="D150" s="169">
        <v>0</v>
      </c>
      <c r="E150" s="169">
        <v>0</v>
      </c>
      <c r="F150" s="169">
        <v>0</v>
      </c>
      <c r="G150" s="169">
        <v>0</v>
      </c>
      <c r="H150" s="168">
        <v>0</v>
      </c>
      <c r="I150" s="168">
        <v>0</v>
      </c>
      <c r="J150" s="168">
        <v>0</v>
      </c>
      <c r="K150" s="169">
        <v>0</v>
      </c>
      <c r="L150" s="168">
        <v>0</v>
      </c>
      <c r="M150" s="169">
        <v>0</v>
      </c>
      <c r="N150" s="169">
        <v>0</v>
      </c>
      <c r="O150" s="169">
        <v>0</v>
      </c>
      <c r="P150" s="169">
        <v>0</v>
      </c>
      <c r="Q150" s="169">
        <v>0</v>
      </c>
      <c r="R150" s="169">
        <v>0</v>
      </c>
      <c r="S150" s="169">
        <v>0</v>
      </c>
      <c r="T150" s="169">
        <v>0</v>
      </c>
      <c r="U150" s="169">
        <v>0</v>
      </c>
      <c r="V150" s="169">
        <v>0</v>
      </c>
      <c r="W150" s="169">
        <v>0</v>
      </c>
      <c r="X150" s="169">
        <v>0</v>
      </c>
      <c r="Y150" s="169">
        <v>0</v>
      </c>
      <c r="Z150" s="169">
        <v>0</v>
      </c>
      <c r="AA150" s="169">
        <v>0</v>
      </c>
      <c r="AB150" s="169">
        <v>0</v>
      </c>
      <c r="AC150" s="169">
        <v>0</v>
      </c>
      <c r="AD150" s="169">
        <v>0</v>
      </c>
      <c r="AE150" s="169">
        <v>0</v>
      </c>
      <c r="AF150" s="169">
        <v>0</v>
      </c>
      <c r="AG150" s="169">
        <v>0</v>
      </c>
      <c r="AH150" s="169">
        <v>0</v>
      </c>
      <c r="AI150" s="169">
        <v>0</v>
      </c>
      <c r="AJ150" s="169">
        <v>0</v>
      </c>
      <c r="AK150" s="169">
        <v>0</v>
      </c>
      <c r="AL150" s="169">
        <v>0</v>
      </c>
      <c r="AM150" s="169">
        <v>0</v>
      </c>
      <c r="AN150" s="169">
        <v>0</v>
      </c>
      <c r="AO150" s="169">
        <v>0</v>
      </c>
      <c r="AP150" s="170">
        <v>0</v>
      </c>
    </row>
    <row r="151" spans="1:42" x14ac:dyDescent="0.35">
      <c r="A151" s="158" t="s">
        <v>243</v>
      </c>
      <c r="B151" s="158" t="s">
        <v>244</v>
      </c>
      <c r="C151" s="130" t="str">
        <f t="shared" si="2"/>
        <v>2.02.06Lucros e Receitas a Apropriar</v>
      </c>
      <c r="D151" s="169">
        <v>0</v>
      </c>
      <c r="E151" s="169">
        <v>0</v>
      </c>
      <c r="F151" s="169">
        <v>0</v>
      </c>
      <c r="G151" s="169">
        <v>0</v>
      </c>
      <c r="H151" s="168">
        <v>0</v>
      </c>
      <c r="I151" s="168">
        <v>0</v>
      </c>
      <c r="J151" s="168">
        <v>0</v>
      </c>
      <c r="K151" s="169">
        <v>0</v>
      </c>
      <c r="L151" s="168">
        <v>0</v>
      </c>
      <c r="M151" s="169">
        <v>0</v>
      </c>
      <c r="N151" s="169">
        <v>0</v>
      </c>
      <c r="O151" s="169">
        <v>0</v>
      </c>
      <c r="P151" s="169">
        <v>0</v>
      </c>
      <c r="Q151" s="169">
        <v>0</v>
      </c>
      <c r="R151" s="169">
        <v>0</v>
      </c>
      <c r="S151" s="169">
        <v>0</v>
      </c>
      <c r="T151" s="169">
        <v>0</v>
      </c>
      <c r="U151" s="169">
        <v>0</v>
      </c>
      <c r="V151" s="169">
        <v>0</v>
      </c>
      <c r="W151" s="169">
        <v>0</v>
      </c>
      <c r="X151" s="169">
        <v>0</v>
      </c>
      <c r="Y151" s="169">
        <v>0</v>
      </c>
      <c r="Z151" s="169">
        <v>0</v>
      </c>
      <c r="AA151" s="169">
        <v>0</v>
      </c>
      <c r="AB151" s="169">
        <v>0</v>
      </c>
      <c r="AC151" s="169">
        <v>0</v>
      </c>
      <c r="AD151" s="169">
        <v>0</v>
      </c>
      <c r="AE151" s="169">
        <v>0</v>
      </c>
      <c r="AF151" s="169">
        <v>0</v>
      </c>
      <c r="AG151" s="169">
        <v>0</v>
      </c>
      <c r="AH151" s="169">
        <v>0</v>
      </c>
      <c r="AI151" s="169">
        <v>0</v>
      </c>
      <c r="AJ151" s="169">
        <v>0</v>
      </c>
      <c r="AK151" s="169">
        <v>0</v>
      </c>
      <c r="AL151" s="169">
        <v>0</v>
      </c>
      <c r="AM151" s="169">
        <v>0</v>
      </c>
      <c r="AN151" s="169">
        <v>0</v>
      </c>
      <c r="AO151" s="169">
        <v>0</v>
      </c>
      <c r="AP151" s="170">
        <v>0</v>
      </c>
    </row>
    <row r="152" spans="1:42" x14ac:dyDescent="0.35">
      <c r="A152" s="158" t="s">
        <v>245</v>
      </c>
      <c r="B152" s="158" t="s">
        <v>246</v>
      </c>
      <c r="C152" s="130" t="str">
        <f t="shared" si="2"/>
        <v>2.02.06.01Lucros a Apropriar</v>
      </c>
      <c r="D152" s="169">
        <v>0</v>
      </c>
      <c r="E152" s="169">
        <v>0</v>
      </c>
      <c r="F152" s="169">
        <v>0</v>
      </c>
      <c r="G152" s="169">
        <v>0</v>
      </c>
      <c r="H152" s="168">
        <v>0</v>
      </c>
      <c r="I152" s="168">
        <v>0</v>
      </c>
      <c r="J152" s="168">
        <v>0</v>
      </c>
      <c r="K152" s="169">
        <v>0</v>
      </c>
      <c r="L152" s="168">
        <v>0</v>
      </c>
      <c r="M152" s="169">
        <v>0</v>
      </c>
      <c r="N152" s="169">
        <v>0</v>
      </c>
      <c r="O152" s="169">
        <v>0</v>
      </c>
      <c r="P152" s="169">
        <v>0</v>
      </c>
      <c r="Q152" s="169">
        <v>0</v>
      </c>
      <c r="R152" s="169">
        <v>0</v>
      </c>
      <c r="S152" s="169">
        <v>0</v>
      </c>
      <c r="T152" s="169">
        <v>0</v>
      </c>
      <c r="U152" s="169">
        <v>0</v>
      </c>
      <c r="V152" s="169">
        <v>0</v>
      </c>
      <c r="W152" s="169">
        <v>0</v>
      </c>
      <c r="X152" s="169">
        <v>0</v>
      </c>
      <c r="Y152" s="169">
        <v>0</v>
      </c>
      <c r="Z152" s="169">
        <v>0</v>
      </c>
      <c r="AA152" s="169">
        <v>0</v>
      </c>
      <c r="AB152" s="169">
        <v>0</v>
      </c>
      <c r="AC152" s="169">
        <v>0</v>
      </c>
      <c r="AD152" s="169">
        <v>0</v>
      </c>
      <c r="AE152" s="169">
        <v>0</v>
      </c>
      <c r="AF152" s="169">
        <v>0</v>
      </c>
      <c r="AG152" s="169">
        <v>0</v>
      </c>
      <c r="AH152" s="169">
        <v>0</v>
      </c>
      <c r="AI152" s="169">
        <v>0</v>
      </c>
      <c r="AJ152" s="169">
        <v>0</v>
      </c>
      <c r="AK152" s="169">
        <v>0</v>
      </c>
      <c r="AL152" s="169">
        <v>0</v>
      </c>
      <c r="AM152" s="169">
        <v>0</v>
      </c>
      <c r="AN152" s="169">
        <v>0</v>
      </c>
      <c r="AO152" s="169">
        <v>0</v>
      </c>
      <c r="AP152" s="170">
        <v>0</v>
      </c>
    </row>
    <row r="153" spans="1:42" x14ac:dyDescent="0.35">
      <c r="A153" s="158" t="s">
        <v>247</v>
      </c>
      <c r="B153" s="158" t="s">
        <v>248</v>
      </c>
      <c r="C153" s="130" t="str">
        <f t="shared" si="2"/>
        <v>2.02.06.02Receitas a Apropriar</v>
      </c>
      <c r="D153" s="169">
        <v>0</v>
      </c>
      <c r="E153" s="169">
        <v>0</v>
      </c>
      <c r="F153" s="169">
        <v>0</v>
      </c>
      <c r="G153" s="169">
        <v>0</v>
      </c>
      <c r="H153" s="168">
        <v>0</v>
      </c>
      <c r="I153" s="168">
        <v>0</v>
      </c>
      <c r="J153" s="168">
        <v>0</v>
      </c>
      <c r="K153" s="169">
        <v>0</v>
      </c>
      <c r="L153" s="168">
        <v>0</v>
      </c>
      <c r="M153" s="169">
        <v>0</v>
      </c>
      <c r="N153" s="169">
        <v>0</v>
      </c>
      <c r="O153" s="169">
        <v>0</v>
      </c>
      <c r="P153" s="169">
        <v>0</v>
      </c>
      <c r="Q153" s="169">
        <v>0</v>
      </c>
      <c r="R153" s="169">
        <v>0</v>
      </c>
      <c r="S153" s="169">
        <v>0</v>
      </c>
      <c r="T153" s="169">
        <v>0</v>
      </c>
      <c r="U153" s="169">
        <v>0</v>
      </c>
      <c r="V153" s="169">
        <v>0</v>
      </c>
      <c r="W153" s="169">
        <v>0</v>
      </c>
      <c r="X153" s="169">
        <v>0</v>
      </c>
      <c r="Y153" s="169">
        <v>0</v>
      </c>
      <c r="Z153" s="169">
        <v>0</v>
      </c>
      <c r="AA153" s="169">
        <v>0</v>
      </c>
      <c r="AB153" s="169">
        <v>0</v>
      </c>
      <c r="AC153" s="169">
        <v>0</v>
      </c>
      <c r="AD153" s="169">
        <v>0</v>
      </c>
      <c r="AE153" s="169">
        <v>0</v>
      </c>
      <c r="AF153" s="169">
        <v>0</v>
      </c>
      <c r="AG153" s="169">
        <v>0</v>
      </c>
      <c r="AH153" s="169">
        <v>0</v>
      </c>
      <c r="AI153" s="169">
        <v>0</v>
      </c>
      <c r="AJ153" s="169">
        <v>0</v>
      </c>
      <c r="AK153" s="169">
        <v>0</v>
      </c>
      <c r="AL153" s="169">
        <v>0</v>
      </c>
      <c r="AM153" s="169">
        <v>0</v>
      </c>
      <c r="AN153" s="169">
        <v>0</v>
      </c>
      <c r="AO153" s="169">
        <v>0</v>
      </c>
      <c r="AP153" s="170">
        <v>0</v>
      </c>
    </row>
    <row r="154" spans="1:42" x14ac:dyDescent="0.35">
      <c r="A154" s="158" t="s">
        <v>249</v>
      </c>
      <c r="B154" s="158" t="s">
        <v>250</v>
      </c>
      <c r="C154" s="130" t="str">
        <f t="shared" si="2"/>
        <v>2.02.06.03Subvenções de Investimento a Apropriar</v>
      </c>
      <c r="D154" s="169">
        <v>0</v>
      </c>
      <c r="E154" s="169">
        <v>0</v>
      </c>
      <c r="F154" s="169">
        <v>0</v>
      </c>
      <c r="G154" s="169">
        <v>0</v>
      </c>
      <c r="H154" s="168">
        <v>0</v>
      </c>
      <c r="I154" s="168">
        <v>0</v>
      </c>
      <c r="J154" s="168">
        <v>0</v>
      </c>
      <c r="K154" s="169">
        <v>0</v>
      </c>
      <c r="L154" s="168">
        <v>0</v>
      </c>
      <c r="M154" s="169">
        <v>0</v>
      </c>
      <c r="N154" s="169">
        <v>0</v>
      </c>
      <c r="O154" s="169">
        <v>0</v>
      </c>
      <c r="P154" s="169">
        <v>0</v>
      </c>
      <c r="Q154" s="169">
        <v>0</v>
      </c>
      <c r="R154" s="169">
        <v>0</v>
      </c>
      <c r="S154" s="169">
        <v>0</v>
      </c>
      <c r="T154" s="169">
        <v>0</v>
      </c>
      <c r="U154" s="169">
        <v>0</v>
      </c>
      <c r="V154" s="169">
        <v>0</v>
      </c>
      <c r="W154" s="169">
        <v>0</v>
      </c>
      <c r="X154" s="169">
        <v>0</v>
      </c>
      <c r="Y154" s="169">
        <v>0</v>
      </c>
      <c r="Z154" s="169">
        <v>0</v>
      </c>
      <c r="AA154" s="169">
        <v>0</v>
      </c>
      <c r="AB154" s="169">
        <v>0</v>
      </c>
      <c r="AC154" s="169">
        <v>0</v>
      </c>
      <c r="AD154" s="169">
        <v>0</v>
      </c>
      <c r="AE154" s="169">
        <v>0</v>
      </c>
      <c r="AF154" s="169">
        <v>0</v>
      </c>
      <c r="AG154" s="169">
        <v>0</v>
      </c>
      <c r="AH154" s="169">
        <v>0</v>
      </c>
      <c r="AI154" s="169">
        <v>0</v>
      </c>
      <c r="AJ154" s="169">
        <v>0</v>
      </c>
      <c r="AK154" s="169">
        <v>0</v>
      </c>
      <c r="AL154" s="169">
        <v>0</v>
      </c>
      <c r="AM154" s="169">
        <v>0</v>
      </c>
      <c r="AN154" s="169">
        <v>0</v>
      </c>
      <c r="AO154" s="169">
        <v>0</v>
      </c>
      <c r="AP154" s="170">
        <v>0</v>
      </c>
    </row>
    <row r="155" spans="1:42" collapsed="1" x14ac:dyDescent="0.35">
      <c r="A155" s="158" t="s">
        <v>251</v>
      </c>
      <c r="B155" s="158" t="s">
        <v>379</v>
      </c>
      <c r="C155" s="130" t="str">
        <f t="shared" si="2"/>
        <v>2.03Patrimônio Líquido Consolidado</v>
      </c>
      <c r="D155" s="169">
        <v>4685005</v>
      </c>
      <c r="E155" s="169">
        <v>4570248</v>
      </c>
      <c r="F155" s="169">
        <v>4851749</v>
      </c>
      <c r="G155" s="169">
        <v>4668767</v>
      </c>
      <c r="H155" s="222">
        <v>4761592</v>
      </c>
      <c r="I155" s="168">
        <v>4778210</v>
      </c>
      <c r="J155" s="168">
        <v>5070982</v>
      </c>
      <c r="K155" s="169">
        <v>4595651</v>
      </c>
      <c r="L155" s="168">
        <v>4544164</v>
      </c>
      <c r="M155" s="169">
        <v>4141054</v>
      </c>
      <c r="N155" s="169">
        <v>4085029</v>
      </c>
      <c r="O155" s="169">
        <v>4205664</v>
      </c>
      <c r="P155" s="169">
        <v>4145468</v>
      </c>
      <c r="Q155" s="169">
        <v>4216552</v>
      </c>
      <c r="R155" s="169">
        <v>4292807</v>
      </c>
      <c r="S155" s="169">
        <v>4411063</v>
      </c>
      <c r="T155" s="169">
        <v>4349692</v>
      </c>
      <c r="U155" s="169">
        <v>3883308</v>
      </c>
      <c r="V155" s="169">
        <v>4398119</v>
      </c>
      <c r="W155" s="169">
        <v>4414623</v>
      </c>
      <c r="X155" s="169">
        <v>3893193</v>
      </c>
      <c r="Y155" s="169">
        <v>4149529</v>
      </c>
      <c r="Z155" s="169">
        <v>3802761</v>
      </c>
      <c r="AA155" s="169">
        <v>4155750</v>
      </c>
      <c r="AB155" s="169">
        <v>4044674</v>
      </c>
      <c r="AC155" s="169">
        <v>4184368</v>
      </c>
      <c r="AD155" s="169">
        <v>3496976</v>
      </c>
      <c r="AE155" s="169">
        <v>3626370</v>
      </c>
      <c r="AF155" s="169">
        <v>3330064</v>
      </c>
      <c r="AG155" s="169">
        <v>3214234</v>
      </c>
      <c r="AH155" s="169">
        <v>3198527</v>
      </c>
      <c r="AI155" s="169">
        <v>3190245</v>
      </c>
      <c r="AJ155" s="169">
        <v>3038275</v>
      </c>
      <c r="AK155" s="169">
        <v>2776273</v>
      </c>
      <c r="AL155" s="169">
        <v>2630505</v>
      </c>
      <c r="AM155" s="169">
        <v>2515816</v>
      </c>
      <c r="AN155" s="169">
        <v>2592092</v>
      </c>
      <c r="AO155" s="169">
        <v>2490325</v>
      </c>
      <c r="AP155" s="170">
        <v>2017077</v>
      </c>
    </row>
    <row r="156" spans="1:42" x14ac:dyDescent="0.35">
      <c r="A156" s="158" t="s">
        <v>252</v>
      </c>
      <c r="B156" s="158" t="s">
        <v>253</v>
      </c>
      <c r="C156" s="130" t="str">
        <f t="shared" si="2"/>
        <v>2.03.01Capital Social Realizado</v>
      </c>
      <c r="D156" s="169">
        <v>1576954</v>
      </c>
      <c r="E156" s="169">
        <v>1576954</v>
      </c>
      <c r="F156" s="169">
        <v>1576954</v>
      </c>
      <c r="G156" s="169">
        <v>1576954</v>
      </c>
      <c r="H156" s="222">
        <v>1576954</v>
      </c>
      <c r="I156" s="168">
        <v>1576954</v>
      </c>
      <c r="J156" s="168">
        <v>1576954</v>
      </c>
      <c r="K156" s="169">
        <v>1576954</v>
      </c>
      <c r="L156" s="168">
        <v>1576954</v>
      </c>
      <c r="M156" s="169">
        <v>1576954</v>
      </c>
      <c r="N156" s="169">
        <v>1576954</v>
      </c>
      <c r="O156" s="169">
        <v>1576954</v>
      </c>
      <c r="P156" s="169">
        <v>1576954</v>
      </c>
      <c r="Q156" s="169">
        <v>1576954</v>
      </c>
      <c r="R156" s="169">
        <v>1576954</v>
      </c>
      <c r="S156" s="169">
        <v>1576954</v>
      </c>
      <c r="T156" s="169">
        <v>1576954</v>
      </c>
      <c r="U156" s="169">
        <v>1576954</v>
      </c>
      <c r="V156" s="169">
        <v>1576954</v>
      </c>
      <c r="W156" s="169">
        <v>1576954</v>
      </c>
      <c r="X156" s="169">
        <v>1576954</v>
      </c>
      <c r="Y156" s="169">
        <v>1576954</v>
      </c>
      <c r="Z156" s="169">
        <v>1576954</v>
      </c>
      <c r="AA156" s="169">
        <v>1576954</v>
      </c>
      <c r="AB156" s="169">
        <v>1576954</v>
      </c>
      <c r="AC156" s="169">
        <v>1576954</v>
      </c>
      <c r="AD156" s="169">
        <v>1576954</v>
      </c>
      <c r="AE156" s="169">
        <v>1447474</v>
      </c>
      <c r="AF156" s="169">
        <v>1447474</v>
      </c>
      <c r="AG156" s="169">
        <v>1407536</v>
      </c>
      <c r="AH156" s="169">
        <v>1407536</v>
      </c>
      <c r="AI156" s="169">
        <v>1407536</v>
      </c>
      <c r="AJ156" s="169">
        <v>1407536</v>
      </c>
      <c r="AK156" s="169">
        <v>1407536</v>
      </c>
      <c r="AL156" s="169">
        <v>1277398</v>
      </c>
      <c r="AM156" s="169">
        <v>1262653</v>
      </c>
      <c r="AN156" s="169">
        <v>1254422</v>
      </c>
      <c r="AO156" s="169">
        <v>1254323</v>
      </c>
      <c r="AP156" s="170">
        <v>700000</v>
      </c>
    </row>
    <row r="157" spans="1:42" x14ac:dyDescent="0.35">
      <c r="A157" s="158" t="s">
        <v>254</v>
      </c>
      <c r="B157" s="158" t="s">
        <v>255</v>
      </c>
      <c r="C157" s="130" t="str">
        <f t="shared" si="2"/>
        <v>2.03.02Reservas de Capital</v>
      </c>
      <c r="D157" s="169">
        <v>-59292</v>
      </c>
      <c r="E157" s="169">
        <v>-59292</v>
      </c>
      <c r="F157" s="169">
        <v>-59292</v>
      </c>
      <c r="G157" s="169">
        <v>-59292</v>
      </c>
      <c r="H157" s="222">
        <v>-59292</v>
      </c>
      <c r="I157" s="168">
        <v>-59292</v>
      </c>
      <c r="J157" s="168">
        <v>-59292</v>
      </c>
      <c r="K157" s="169">
        <v>-59292</v>
      </c>
      <c r="L157" s="168">
        <v>-59292</v>
      </c>
      <c r="M157" s="169">
        <v>-59292</v>
      </c>
      <c r="N157" s="169">
        <v>-52478</v>
      </c>
      <c r="O157" s="169">
        <v>-7264</v>
      </c>
      <c r="P157" s="169">
        <v>-7264</v>
      </c>
      <c r="Q157" s="169">
        <v>-10487</v>
      </c>
      <c r="R157" s="169">
        <v>-3903</v>
      </c>
      <c r="S157" s="169">
        <v>-3903</v>
      </c>
      <c r="T157" s="169">
        <v>-17086</v>
      </c>
      <c r="U157" s="169">
        <v>-17086</v>
      </c>
      <c r="V157" s="169">
        <v>-4532</v>
      </c>
      <c r="W157" s="169">
        <v>-13366</v>
      </c>
      <c r="X157" s="169">
        <v>-13366</v>
      </c>
      <c r="Y157" s="169">
        <v>-13366</v>
      </c>
      <c r="Z157" s="169">
        <v>-13366</v>
      </c>
      <c r="AA157" s="169">
        <v>-19833</v>
      </c>
      <c r="AB157" s="169">
        <v>-19833</v>
      </c>
      <c r="AC157" s="169">
        <v>-19833</v>
      </c>
      <c r="AD157" s="169">
        <v>-19849</v>
      </c>
      <c r="AE157" s="169">
        <v>113767</v>
      </c>
      <c r="AF157" s="169">
        <v>107225</v>
      </c>
      <c r="AG157" s="169">
        <v>101081</v>
      </c>
      <c r="AH157" s="169">
        <v>104068</v>
      </c>
      <c r="AI157" s="169">
        <v>93301</v>
      </c>
      <c r="AJ157" s="169">
        <v>93277</v>
      </c>
      <c r="AK157" s="169">
        <v>93179</v>
      </c>
      <c r="AL157" s="169">
        <v>-11547</v>
      </c>
      <c r="AM157" s="169">
        <v>-9878</v>
      </c>
      <c r="AN157" s="169">
        <v>-9920</v>
      </c>
      <c r="AO157" s="169">
        <v>-4977</v>
      </c>
      <c r="AP157" s="170">
        <v>-5308</v>
      </c>
    </row>
    <row r="158" spans="1:42" x14ac:dyDescent="0.35">
      <c r="A158" s="158" t="s">
        <v>256</v>
      </c>
      <c r="B158" s="158" t="s">
        <v>257</v>
      </c>
      <c r="C158" s="130" t="str">
        <f t="shared" si="2"/>
        <v>2.03.02.01Ágio na Emissão de Ações</v>
      </c>
      <c r="D158" s="169">
        <v>0</v>
      </c>
      <c r="E158" s="169">
        <v>0</v>
      </c>
      <c r="F158" s="169">
        <v>0</v>
      </c>
      <c r="G158" s="169">
        <v>0</v>
      </c>
      <c r="H158" s="168">
        <v>0</v>
      </c>
      <c r="I158" s="168">
        <v>0</v>
      </c>
      <c r="J158" s="168">
        <v>0</v>
      </c>
      <c r="K158" s="169">
        <v>0</v>
      </c>
      <c r="L158" s="168">
        <v>0</v>
      </c>
      <c r="M158" s="169">
        <v>0</v>
      </c>
      <c r="N158" s="169">
        <v>0</v>
      </c>
      <c r="O158" s="169">
        <v>0</v>
      </c>
      <c r="P158" s="169">
        <v>0</v>
      </c>
      <c r="Q158" s="169">
        <v>0</v>
      </c>
      <c r="R158" s="169">
        <v>0</v>
      </c>
      <c r="S158" s="169">
        <v>0</v>
      </c>
      <c r="T158" s="169">
        <v>0</v>
      </c>
      <c r="U158" s="169">
        <v>0</v>
      </c>
      <c r="V158" s="169">
        <v>0</v>
      </c>
      <c r="W158" s="169">
        <v>0</v>
      </c>
      <c r="X158" s="169">
        <v>0</v>
      </c>
      <c r="Y158" s="169">
        <v>0</v>
      </c>
      <c r="Z158" s="169">
        <v>0</v>
      </c>
      <c r="AA158" s="169">
        <v>0</v>
      </c>
      <c r="AB158" s="169">
        <v>0</v>
      </c>
      <c r="AC158" s="169">
        <v>0</v>
      </c>
      <c r="AD158" s="169">
        <v>0</v>
      </c>
      <c r="AE158" s="169">
        <v>0</v>
      </c>
      <c r="AF158" s="169">
        <v>0</v>
      </c>
      <c r="AG158" s="169">
        <v>0</v>
      </c>
      <c r="AH158" s="169">
        <v>0</v>
      </c>
      <c r="AI158" s="169">
        <v>0</v>
      </c>
      <c r="AJ158" s="169">
        <v>0</v>
      </c>
      <c r="AK158" s="169">
        <v>0</v>
      </c>
      <c r="AL158" s="169">
        <v>0</v>
      </c>
      <c r="AM158" s="169">
        <v>0</v>
      </c>
      <c r="AN158" s="169">
        <v>0</v>
      </c>
      <c r="AO158" s="169">
        <v>300</v>
      </c>
      <c r="AP158" s="170">
        <v>0</v>
      </c>
    </row>
    <row r="159" spans="1:42" x14ac:dyDescent="0.35">
      <c r="A159" s="158" t="s">
        <v>258</v>
      </c>
      <c r="B159" s="158" t="s">
        <v>259</v>
      </c>
      <c r="C159" s="130" t="str">
        <f t="shared" si="2"/>
        <v>2.03.02.02Reserva Especial de Ágio na Incorporação</v>
      </c>
      <c r="D159" s="169">
        <v>0</v>
      </c>
      <c r="E159" s="169">
        <v>0</v>
      </c>
      <c r="F159" s="169">
        <v>0</v>
      </c>
      <c r="G159" s="169">
        <v>0</v>
      </c>
      <c r="H159" s="168">
        <v>0</v>
      </c>
      <c r="I159" s="168">
        <v>0</v>
      </c>
      <c r="J159" s="168">
        <v>0</v>
      </c>
      <c r="K159" s="169">
        <v>0</v>
      </c>
      <c r="L159" s="168">
        <v>0</v>
      </c>
      <c r="M159" s="169">
        <v>0</v>
      </c>
      <c r="N159" s="169">
        <v>0</v>
      </c>
      <c r="O159" s="169">
        <v>0</v>
      </c>
      <c r="P159" s="169">
        <v>0</v>
      </c>
      <c r="Q159" s="169">
        <v>0</v>
      </c>
      <c r="R159" s="169">
        <v>0</v>
      </c>
      <c r="S159" s="169">
        <v>0</v>
      </c>
      <c r="T159" s="169">
        <v>0</v>
      </c>
      <c r="U159" s="169">
        <v>0</v>
      </c>
      <c r="V159" s="169">
        <v>0</v>
      </c>
      <c r="W159" s="169">
        <v>0</v>
      </c>
      <c r="X159" s="169">
        <v>0</v>
      </c>
      <c r="Y159" s="169">
        <v>0</v>
      </c>
      <c r="Z159" s="169">
        <v>0</v>
      </c>
      <c r="AA159" s="169">
        <v>0</v>
      </c>
      <c r="AB159" s="169">
        <v>0</v>
      </c>
      <c r="AC159" s="169">
        <v>0</v>
      </c>
      <c r="AD159" s="169">
        <v>0</v>
      </c>
      <c r="AE159" s="169">
        <v>0</v>
      </c>
      <c r="AF159" s="169">
        <v>0</v>
      </c>
      <c r="AG159" s="169">
        <v>0</v>
      </c>
      <c r="AH159" s="169">
        <v>0</v>
      </c>
      <c r="AI159" s="169">
        <v>0</v>
      </c>
      <c r="AJ159" s="169">
        <v>0</v>
      </c>
      <c r="AK159" s="169">
        <v>0</v>
      </c>
      <c r="AL159" s="169">
        <v>0</v>
      </c>
      <c r="AM159" s="169">
        <v>0</v>
      </c>
      <c r="AN159" s="169">
        <v>0</v>
      </c>
      <c r="AO159" s="169">
        <v>0</v>
      </c>
      <c r="AP159" s="170">
        <v>0</v>
      </c>
    </row>
    <row r="160" spans="1:42" x14ac:dyDescent="0.35">
      <c r="A160" s="158" t="s">
        <v>260</v>
      </c>
      <c r="B160" s="158" t="s">
        <v>261</v>
      </c>
      <c r="C160" s="130" t="str">
        <f t="shared" si="2"/>
        <v>2.03.02.03Alienação de Bônus de Subscrição</v>
      </c>
      <c r="D160" s="169">
        <v>0</v>
      </c>
      <c r="E160" s="169">
        <v>0</v>
      </c>
      <c r="F160" s="169">
        <v>0</v>
      </c>
      <c r="G160" s="169">
        <v>0</v>
      </c>
      <c r="H160" s="168">
        <v>0</v>
      </c>
      <c r="I160" s="168">
        <v>0</v>
      </c>
      <c r="J160" s="168">
        <v>0</v>
      </c>
      <c r="K160" s="169">
        <v>0</v>
      </c>
      <c r="L160" s="168">
        <v>0</v>
      </c>
      <c r="M160" s="169">
        <v>0</v>
      </c>
      <c r="N160" s="169">
        <v>0</v>
      </c>
      <c r="O160" s="169">
        <v>0</v>
      </c>
      <c r="P160" s="169">
        <v>0</v>
      </c>
      <c r="Q160" s="169">
        <v>0</v>
      </c>
      <c r="R160" s="169">
        <v>0</v>
      </c>
      <c r="S160" s="169">
        <v>0</v>
      </c>
      <c r="T160" s="169">
        <v>0</v>
      </c>
      <c r="U160" s="169">
        <v>0</v>
      </c>
      <c r="V160" s="169">
        <v>0</v>
      </c>
      <c r="W160" s="169">
        <v>0</v>
      </c>
      <c r="X160" s="169">
        <v>0</v>
      </c>
      <c r="Y160" s="169">
        <v>0</v>
      </c>
      <c r="Z160" s="169">
        <v>0</v>
      </c>
      <c r="AA160" s="169">
        <v>0</v>
      </c>
      <c r="AB160" s="169">
        <v>0</v>
      </c>
      <c r="AC160" s="169">
        <v>0</v>
      </c>
      <c r="AD160" s="169">
        <v>0</v>
      </c>
      <c r="AE160" s="169">
        <v>0</v>
      </c>
      <c r="AF160" s="169">
        <v>0</v>
      </c>
      <c r="AG160" s="169">
        <v>0</v>
      </c>
      <c r="AH160" s="169">
        <v>0</v>
      </c>
      <c r="AI160" s="169">
        <v>0</v>
      </c>
      <c r="AJ160" s="169">
        <v>0</v>
      </c>
      <c r="AK160" s="169">
        <v>0</v>
      </c>
      <c r="AL160" s="169">
        <v>0</v>
      </c>
      <c r="AM160" s="169">
        <v>0</v>
      </c>
      <c r="AN160" s="169">
        <v>0</v>
      </c>
      <c r="AO160" s="169">
        <v>0</v>
      </c>
      <c r="AP160" s="170">
        <v>0</v>
      </c>
    </row>
    <row r="161" spans="1:42" x14ac:dyDescent="0.35">
      <c r="A161" s="158" t="s">
        <v>262</v>
      </c>
      <c r="B161" s="158" t="s">
        <v>263</v>
      </c>
      <c r="C161" s="130" t="str">
        <f t="shared" si="2"/>
        <v>2.03.02.04Opções Outorgadas</v>
      </c>
      <c r="D161" s="169">
        <v>0</v>
      </c>
      <c r="E161" s="169">
        <v>0</v>
      </c>
      <c r="F161" s="169">
        <v>0</v>
      </c>
      <c r="G161" s="169">
        <v>0</v>
      </c>
      <c r="H161" s="168">
        <v>0</v>
      </c>
      <c r="I161" s="168">
        <v>0</v>
      </c>
      <c r="J161" s="168">
        <v>0</v>
      </c>
      <c r="K161" s="169">
        <v>0</v>
      </c>
      <c r="L161" s="168">
        <v>0</v>
      </c>
      <c r="M161" s="169">
        <v>0</v>
      </c>
      <c r="N161" s="169">
        <v>0</v>
      </c>
      <c r="O161" s="169">
        <v>0</v>
      </c>
      <c r="P161" s="169">
        <v>3061</v>
      </c>
      <c r="Q161" s="169">
        <v>3061</v>
      </c>
      <c r="R161" s="169">
        <v>3061</v>
      </c>
      <c r="S161" s="169">
        <v>3061</v>
      </c>
      <c r="T161" s="169">
        <v>3061</v>
      </c>
      <c r="U161" s="169">
        <v>3061</v>
      </c>
      <c r="V161" s="169">
        <v>3061</v>
      </c>
      <c r="W161" s="169">
        <v>3061</v>
      </c>
      <c r="X161" s="169">
        <v>3061</v>
      </c>
      <c r="Y161" s="169">
        <v>3061</v>
      </c>
      <c r="Z161" s="169">
        <v>3061</v>
      </c>
      <c r="AA161" s="169">
        <v>3061</v>
      </c>
      <c r="AB161" s="169">
        <v>3061</v>
      </c>
      <c r="AC161" s="169">
        <v>3061</v>
      </c>
      <c r="AD161" s="169">
        <v>3071</v>
      </c>
      <c r="AE161" s="169">
        <v>3071</v>
      </c>
      <c r="AF161" s="169">
        <v>3100</v>
      </c>
      <c r="AG161" s="169">
        <v>3084</v>
      </c>
      <c r="AH161" s="169">
        <v>3084</v>
      </c>
      <c r="AI161" s="169">
        <v>3049</v>
      </c>
      <c r="AJ161" s="169">
        <v>3025</v>
      </c>
      <c r="AK161" s="169">
        <v>3094</v>
      </c>
      <c r="AL161" s="169">
        <v>3080</v>
      </c>
      <c r="AM161" s="169">
        <v>3061</v>
      </c>
      <c r="AN161" s="169">
        <v>3019</v>
      </c>
      <c r="AO161" s="169">
        <v>2783</v>
      </c>
      <c r="AP161" s="170">
        <v>2783</v>
      </c>
    </row>
    <row r="162" spans="1:42" x14ac:dyDescent="0.35">
      <c r="A162" s="158" t="s">
        <v>264</v>
      </c>
      <c r="B162" s="158" t="s">
        <v>265</v>
      </c>
      <c r="C162" s="130" t="str">
        <f t="shared" si="2"/>
        <v>2.03.02.05Ações em Tesouraria</v>
      </c>
      <c r="D162" s="169">
        <v>-62353</v>
      </c>
      <c r="E162" s="169">
        <v>-62353</v>
      </c>
      <c r="F162" s="169">
        <v>-62353</v>
      </c>
      <c r="G162" s="169">
        <v>-62353</v>
      </c>
      <c r="H162" s="222">
        <v>-62353</v>
      </c>
      <c r="I162" s="168">
        <v>-62353</v>
      </c>
      <c r="J162" s="168">
        <v>-62353</v>
      </c>
      <c r="K162" s="169">
        <v>-62353</v>
      </c>
      <c r="L162" s="168">
        <v>-62353</v>
      </c>
      <c r="M162" s="169">
        <v>-62353</v>
      </c>
      <c r="N162" s="169">
        <v>-55539</v>
      </c>
      <c r="O162" s="169">
        <v>-55539</v>
      </c>
      <c r="P162" s="169">
        <v>-55539</v>
      </c>
      <c r="Q162" s="169">
        <v>-48032</v>
      </c>
      <c r="R162" s="169">
        <v>-41448</v>
      </c>
      <c r="S162" s="169">
        <v>-41448</v>
      </c>
      <c r="T162" s="169">
        <v>-41448</v>
      </c>
      <c r="U162" s="169">
        <v>-41448</v>
      </c>
      <c r="V162" s="169">
        <v>-28894</v>
      </c>
      <c r="W162" s="169">
        <v>-28894</v>
      </c>
      <c r="X162" s="169">
        <v>-28894</v>
      </c>
      <c r="Y162" s="169">
        <v>-28894</v>
      </c>
      <c r="Z162" s="169">
        <v>-28894</v>
      </c>
      <c r="AA162" s="169">
        <v>-28894</v>
      </c>
      <c r="AB162" s="169">
        <v>-28894</v>
      </c>
      <c r="AC162" s="169">
        <v>-28894</v>
      </c>
      <c r="AD162" s="169">
        <v>-28920</v>
      </c>
      <c r="AE162" s="169">
        <v>-28920</v>
      </c>
      <c r="AF162" s="169">
        <v>-28988</v>
      </c>
      <c r="AG162" s="169">
        <v>-29009</v>
      </c>
      <c r="AH162" s="169">
        <v>-26022</v>
      </c>
      <c r="AI162" s="169">
        <v>-26046</v>
      </c>
      <c r="AJ162" s="169">
        <v>-26046</v>
      </c>
      <c r="AK162" s="169">
        <v>-26213</v>
      </c>
      <c r="AL162" s="169">
        <v>-12880</v>
      </c>
      <c r="AM162" s="169">
        <v>-12939</v>
      </c>
      <c r="AN162" s="169">
        <v>-12939</v>
      </c>
      <c r="AO162" s="169">
        <v>-8060</v>
      </c>
      <c r="AP162" s="170">
        <v>-8091</v>
      </c>
    </row>
    <row r="163" spans="1:42" x14ac:dyDescent="0.35">
      <c r="A163" s="158" t="s">
        <v>266</v>
      </c>
      <c r="B163" s="158" t="s">
        <v>223</v>
      </c>
      <c r="C163" s="130" t="str">
        <f t="shared" si="2"/>
        <v>2.03.02.06Adiantamento para Futuro Aumento de Capital</v>
      </c>
      <c r="D163" s="169">
        <v>0</v>
      </c>
      <c r="E163" s="169">
        <v>0</v>
      </c>
      <c r="F163" s="169">
        <v>0</v>
      </c>
      <c r="G163" s="169">
        <v>0</v>
      </c>
      <c r="H163" s="168">
        <v>0</v>
      </c>
      <c r="I163" s="168">
        <v>0</v>
      </c>
      <c r="J163" s="168">
        <v>0</v>
      </c>
      <c r="K163" s="169">
        <v>0</v>
      </c>
      <c r="L163" s="168">
        <v>0</v>
      </c>
      <c r="M163" s="169">
        <v>0</v>
      </c>
      <c r="N163" s="169">
        <v>0</v>
      </c>
      <c r="O163" s="169">
        <v>0</v>
      </c>
      <c r="P163" s="169">
        <v>0</v>
      </c>
      <c r="Q163" s="169">
        <v>0</v>
      </c>
      <c r="R163" s="169">
        <v>0</v>
      </c>
      <c r="S163" s="169">
        <v>0</v>
      </c>
      <c r="T163" s="169">
        <v>0</v>
      </c>
      <c r="U163" s="169">
        <v>0</v>
      </c>
      <c r="V163" s="169">
        <v>0</v>
      </c>
      <c r="W163" s="169">
        <v>0</v>
      </c>
      <c r="X163" s="169">
        <v>0</v>
      </c>
      <c r="Y163" s="169">
        <v>0</v>
      </c>
      <c r="Z163" s="169">
        <v>0</v>
      </c>
      <c r="AA163" s="169">
        <v>0</v>
      </c>
      <c r="AB163" s="169">
        <v>0</v>
      </c>
      <c r="AC163" s="169">
        <v>0</v>
      </c>
      <c r="AD163" s="169">
        <v>0</v>
      </c>
      <c r="AE163" s="169">
        <v>0</v>
      </c>
      <c r="AF163" s="169">
        <v>0</v>
      </c>
      <c r="AG163" s="169">
        <v>0</v>
      </c>
      <c r="AH163" s="169">
        <v>0</v>
      </c>
      <c r="AI163" s="169">
        <v>0</v>
      </c>
      <c r="AJ163" s="169">
        <v>0</v>
      </c>
      <c r="AK163" s="169">
        <v>0</v>
      </c>
      <c r="AL163" s="169">
        <v>0</v>
      </c>
      <c r="AM163" s="169">
        <v>0</v>
      </c>
      <c r="AN163" s="169">
        <v>0</v>
      </c>
      <c r="AO163" s="169">
        <v>0</v>
      </c>
      <c r="AP163" s="170">
        <v>0</v>
      </c>
    </row>
    <row r="164" spans="1:42" x14ac:dyDescent="0.35">
      <c r="A164" s="158" t="s">
        <v>267</v>
      </c>
      <c r="B164" s="158" t="s">
        <v>268</v>
      </c>
      <c r="C164" s="130" t="str">
        <f t="shared" si="2"/>
        <v>2.03.02.07Reserva de capital</v>
      </c>
      <c r="D164" s="169">
        <v>3061</v>
      </c>
      <c r="E164" s="169">
        <v>3061</v>
      </c>
      <c r="F164" s="169">
        <v>3061</v>
      </c>
      <c r="G164" s="169">
        <v>3061</v>
      </c>
      <c r="H164" s="222">
        <v>3061</v>
      </c>
      <c r="I164" s="168">
        <v>3061</v>
      </c>
      <c r="J164" s="168">
        <v>3061</v>
      </c>
      <c r="K164" s="169">
        <v>3061</v>
      </c>
      <c r="L164" s="168">
        <v>3061</v>
      </c>
      <c r="M164" s="169">
        <v>3061</v>
      </c>
      <c r="N164" s="169">
        <v>3061</v>
      </c>
      <c r="O164" s="169">
        <v>48275</v>
      </c>
      <c r="P164" s="169">
        <v>45214</v>
      </c>
      <c r="Q164" s="169">
        <v>34484</v>
      </c>
      <c r="R164" s="169">
        <v>34484</v>
      </c>
      <c r="S164" s="169">
        <v>34484</v>
      </c>
      <c r="T164" s="169">
        <v>21301</v>
      </c>
      <c r="U164" s="169">
        <v>21301</v>
      </c>
      <c r="V164" s="169">
        <v>21301</v>
      </c>
      <c r="W164" s="169">
        <v>12467</v>
      </c>
      <c r="X164" s="169">
        <v>12467</v>
      </c>
      <c r="Y164" s="169">
        <v>12467</v>
      </c>
      <c r="Z164" s="169">
        <v>12467</v>
      </c>
      <c r="AA164" s="169">
        <v>6000</v>
      </c>
      <c r="AB164" s="169">
        <v>6000</v>
      </c>
      <c r="AC164" s="169">
        <v>6000</v>
      </c>
      <c r="AD164" s="169">
        <v>6000</v>
      </c>
      <c r="AE164" s="169">
        <v>139616</v>
      </c>
      <c r="AF164" s="169">
        <v>133113</v>
      </c>
      <c r="AG164" s="169">
        <v>127006</v>
      </c>
      <c r="AH164" s="169">
        <v>127006</v>
      </c>
      <c r="AI164" s="169">
        <v>116298</v>
      </c>
      <c r="AJ164" s="169">
        <v>116298</v>
      </c>
      <c r="AK164" s="169">
        <v>116298</v>
      </c>
      <c r="AL164" s="169">
        <v>-1747</v>
      </c>
      <c r="AM164" s="169">
        <v>0</v>
      </c>
      <c r="AN164" s="169">
        <v>0</v>
      </c>
      <c r="AO164" s="169">
        <v>0</v>
      </c>
      <c r="AP164" s="170">
        <v>0</v>
      </c>
    </row>
    <row r="165" spans="1:42" x14ac:dyDescent="0.35">
      <c r="A165" s="158" t="s">
        <v>269</v>
      </c>
      <c r="B165" s="158" t="s">
        <v>270</v>
      </c>
      <c r="C165" s="130" t="str">
        <f t="shared" si="2"/>
        <v>2.03.03Reservas de Reavaliação</v>
      </c>
      <c r="D165" s="169">
        <v>0</v>
      </c>
      <c r="E165" s="169">
        <v>0</v>
      </c>
      <c r="F165" s="169">
        <v>0</v>
      </c>
      <c r="G165" s="169">
        <v>0</v>
      </c>
      <c r="H165" s="168">
        <v>0</v>
      </c>
      <c r="I165" s="168">
        <v>0</v>
      </c>
      <c r="J165" s="168">
        <v>0</v>
      </c>
      <c r="K165" s="169">
        <v>0</v>
      </c>
      <c r="L165" s="168">
        <v>0</v>
      </c>
      <c r="M165" s="169">
        <v>0</v>
      </c>
      <c r="N165" s="169">
        <v>0</v>
      </c>
      <c r="O165" s="169">
        <v>0</v>
      </c>
      <c r="P165" s="169">
        <v>0</v>
      </c>
      <c r="Q165" s="169">
        <v>0</v>
      </c>
      <c r="R165" s="169">
        <v>0</v>
      </c>
      <c r="S165" s="169">
        <v>0</v>
      </c>
      <c r="T165" s="169">
        <v>0</v>
      </c>
      <c r="U165" s="169">
        <v>0</v>
      </c>
      <c r="V165" s="169">
        <v>0</v>
      </c>
      <c r="W165" s="169">
        <v>0</v>
      </c>
      <c r="X165" s="169">
        <v>0</v>
      </c>
      <c r="Y165" s="169">
        <v>0</v>
      </c>
      <c r="Z165" s="169">
        <v>0</v>
      </c>
      <c r="AA165" s="169">
        <v>0</v>
      </c>
      <c r="AB165" s="169">
        <v>0</v>
      </c>
      <c r="AC165" s="169">
        <v>0</v>
      </c>
      <c r="AD165" s="169">
        <v>0</v>
      </c>
      <c r="AE165" s="169">
        <v>0</v>
      </c>
      <c r="AF165" s="169">
        <v>0</v>
      </c>
      <c r="AG165" s="169">
        <v>0</v>
      </c>
      <c r="AH165" s="169">
        <v>0</v>
      </c>
      <c r="AI165" s="169">
        <v>0</v>
      </c>
      <c r="AJ165" s="169">
        <v>0</v>
      </c>
      <c r="AK165" s="169">
        <v>0</v>
      </c>
      <c r="AL165" s="169">
        <v>0</v>
      </c>
      <c r="AM165" s="169">
        <v>0</v>
      </c>
      <c r="AN165" s="169">
        <v>0</v>
      </c>
      <c r="AO165" s="169">
        <v>0</v>
      </c>
      <c r="AP165" s="170">
        <v>0</v>
      </c>
    </row>
    <row r="166" spans="1:42" x14ac:dyDescent="0.35">
      <c r="A166" s="158" t="s">
        <v>271</v>
      </c>
      <c r="B166" s="158" t="s">
        <v>272</v>
      </c>
      <c r="C166" s="130" t="str">
        <f t="shared" si="2"/>
        <v>2.03.04Reservas de Lucros</v>
      </c>
      <c r="D166" s="169">
        <v>862297</v>
      </c>
      <c r="E166" s="169">
        <v>862297</v>
      </c>
      <c r="F166" s="169">
        <v>862297</v>
      </c>
      <c r="G166" s="169">
        <v>761705</v>
      </c>
      <c r="H166" s="222">
        <v>807705</v>
      </c>
      <c r="I166" s="168">
        <v>807705</v>
      </c>
      <c r="J166" s="168">
        <v>807705</v>
      </c>
      <c r="K166" s="169">
        <v>568358</v>
      </c>
      <c r="L166" s="168">
        <v>626617</v>
      </c>
      <c r="M166" s="169">
        <v>645808</v>
      </c>
      <c r="N166" s="169">
        <v>645808</v>
      </c>
      <c r="O166" s="169">
        <v>623446</v>
      </c>
      <c r="P166" s="169">
        <v>623446</v>
      </c>
      <c r="Q166" s="169">
        <v>623446</v>
      </c>
      <c r="R166" s="169">
        <v>623446</v>
      </c>
      <c r="S166" s="169">
        <v>384583</v>
      </c>
      <c r="T166" s="169">
        <v>414628</v>
      </c>
      <c r="U166" s="169">
        <v>450209</v>
      </c>
      <c r="V166" s="169">
        <v>450209</v>
      </c>
      <c r="W166" s="169">
        <v>120921</v>
      </c>
      <c r="X166" s="169">
        <v>120921</v>
      </c>
      <c r="Y166" s="169">
        <v>120921</v>
      </c>
      <c r="Z166" s="169">
        <v>120921</v>
      </c>
      <c r="AA166" s="169">
        <v>606530</v>
      </c>
      <c r="AB166" s="169">
        <v>606530</v>
      </c>
      <c r="AC166" s="169">
        <v>606530</v>
      </c>
      <c r="AD166" s="169">
        <v>606530</v>
      </c>
      <c r="AE166" s="169">
        <v>364959</v>
      </c>
      <c r="AF166" s="169">
        <v>393156</v>
      </c>
      <c r="AG166" s="169">
        <v>393156</v>
      </c>
      <c r="AH166" s="169">
        <v>393156</v>
      </c>
      <c r="AI166" s="169">
        <v>217899</v>
      </c>
      <c r="AJ166" s="169">
        <v>252380</v>
      </c>
      <c r="AK166" s="169">
        <v>287982</v>
      </c>
      <c r="AL166" s="169">
        <v>319033</v>
      </c>
      <c r="AM166" s="169">
        <v>310193</v>
      </c>
      <c r="AN166" s="169">
        <v>310193</v>
      </c>
      <c r="AO166" s="169">
        <v>309893</v>
      </c>
      <c r="AP166" s="170">
        <v>310193</v>
      </c>
    </row>
    <row r="167" spans="1:42" x14ac:dyDescent="0.35">
      <c r="A167" s="158" t="s">
        <v>273</v>
      </c>
      <c r="B167" s="158" t="s">
        <v>274</v>
      </c>
      <c r="C167" s="130" t="str">
        <f t="shared" si="2"/>
        <v>2.03.04.01Reserva Legal</v>
      </c>
      <c r="D167" s="169">
        <v>158250</v>
      </c>
      <c r="E167" s="169">
        <v>158250</v>
      </c>
      <c r="F167" s="169">
        <v>158250</v>
      </c>
      <c r="G167" s="169">
        <v>153220</v>
      </c>
      <c r="H167" s="222">
        <v>153220</v>
      </c>
      <c r="I167" s="168">
        <v>153220</v>
      </c>
      <c r="J167" s="168">
        <v>153220</v>
      </c>
      <c r="K167" s="169">
        <v>139795</v>
      </c>
      <c r="L167" s="168">
        <v>139796</v>
      </c>
      <c r="M167" s="169">
        <v>139796</v>
      </c>
      <c r="N167" s="169">
        <v>139795</v>
      </c>
      <c r="O167" s="169">
        <v>138020</v>
      </c>
      <c r="P167" s="169">
        <v>138020</v>
      </c>
      <c r="Q167" s="169">
        <v>138020</v>
      </c>
      <c r="R167" s="169">
        <v>138020</v>
      </c>
      <c r="S167" s="169">
        <v>123801</v>
      </c>
      <c r="T167" s="169">
        <v>123801</v>
      </c>
      <c r="U167" s="169">
        <v>123801</v>
      </c>
      <c r="V167" s="169">
        <v>123801</v>
      </c>
      <c r="W167" s="169">
        <v>96648</v>
      </c>
      <c r="X167" s="169">
        <v>96648</v>
      </c>
      <c r="Y167" s="169">
        <v>96648</v>
      </c>
      <c r="Z167" s="169">
        <v>96648</v>
      </c>
      <c r="AA167" s="169">
        <v>96648</v>
      </c>
      <c r="AB167" s="169">
        <v>96648</v>
      </c>
      <c r="AC167" s="169">
        <v>96648</v>
      </c>
      <c r="AD167" s="169">
        <v>96648</v>
      </c>
      <c r="AE167" s="169">
        <v>79510</v>
      </c>
      <c r="AF167" s="169">
        <v>79510</v>
      </c>
      <c r="AG167" s="169">
        <v>79510</v>
      </c>
      <c r="AH167" s="169">
        <v>79510</v>
      </c>
      <c r="AI167" s="169">
        <v>68816</v>
      </c>
      <c r="AJ167" s="169">
        <v>68816</v>
      </c>
      <c r="AK167" s="169">
        <v>68816</v>
      </c>
      <c r="AL167" s="169">
        <v>68816</v>
      </c>
      <c r="AM167" s="169">
        <v>68114</v>
      </c>
      <c r="AN167" s="169">
        <v>68114</v>
      </c>
      <c r="AO167" s="169">
        <v>68114</v>
      </c>
      <c r="AP167" s="170">
        <v>68114</v>
      </c>
    </row>
    <row r="168" spans="1:42" x14ac:dyDescent="0.35">
      <c r="A168" s="158" t="s">
        <v>275</v>
      </c>
      <c r="B168" s="158" t="s">
        <v>276</v>
      </c>
      <c r="C168" s="130" t="str">
        <f t="shared" si="2"/>
        <v>2.03.04.02Reserva Estatutária</v>
      </c>
      <c r="D168" s="169">
        <v>704047</v>
      </c>
      <c r="E168" s="169">
        <v>704047</v>
      </c>
      <c r="F168" s="169">
        <v>704047</v>
      </c>
      <c r="G168" s="169">
        <v>608485</v>
      </c>
      <c r="H168" s="222">
        <v>654485</v>
      </c>
      <c r="I168" s="168">
        <v>654485</v>
      </c>
      <c r="J168" s="168">
        <v>654485</v>
      </c>
      <c r="K168" s="169">
        <v>428563</v>
      </c>
      <c r="L168" s="168">
        <v>486821</v>
      </c>
      <c r="M168" s="169">
        <v>506012</v>
      </c>
      <c r="N168" s="169">
        <v>506013</v>
      </c>
      <c r="O168" s="169">
        <v>485426</v>
      </c>
      <c r="P168" s="169">
        <v>485426</v>
      </c>
      <c r="Q168" s="169">
        <v>485426</v>
      </c>
      <c r="R168" s="169">
        <v>485426</v>
      </c>
      <c r="S168" s="169">
        <v>260782</v>
      </c>
      <c r="T168" s="169">
        <v>290827</v>
      </c>
      <c r="U168" s="169">
        <v>326408</v>
      </c>
      <c r="V168" s="169">
        <v>326408</v>
      </c>
      <c r="W168" s="169">
        <v>24273</v>
      </c>
      <c r="X168" s="169">
        <v>24273</v>
      </c>
      <c r="Y168" s="169">
        <v>24273</v>
      </c>
      <c r="Z168" s="169">
        <v>24273</v>
      </c>
      <c r="AA168" s="169">
        <v>509882</v>
      </c>
      <c r="AB168" s="169">
        <v>509882</v>
      </c>
      <c r="AC168" s="169">
        <v>509882</v>
      </c>
      <c r="AD168" s="169">
        <v>509882</v>
      </c>
      <c r="AE168" s="169">
        <v>285449</v>
      </c>
      <c r="AF168" s="169">
        <v>313646</v>
      </c>
      <c r="AG168" s="169">
        <v>313646</v>
      </c>
      <c r="AH168" s="169">
        <v>313646</v>
      </c>
      <c r="AI168" s="169">
        <v>149083</v>
      </c>
      <c r="AJ168" s="169">
        <v>183564</v>
      </c>
      <c r="AK168" s="169">
        <v>219166</v>
      </c>
      <c r="AL168" s="169">
        <v>219166</v>
      </c>
      <c r="AM168" s="169">
        <v>242079</v>
      </c>
      <c r="AN168" s="169">
        <v>242079</v>
      </c>
      <c r="AO168" s="169">
        <v>241779</v>
      </c>
      <c r="AP168" s="170">
        <v>242079</v>
      </c>
    </row>
    <row r="169" spans="1:42" x14ac:dyDescent="0.35">
      <c r="A169" s="158" t="s">
        <v>277</v>
      </c>
      <c r="B169" s="158" t="s">
        <v>278</v>
      </c>
      <c r="C169" s="130" t="str">
        <f t="shared" si="2"/>
        <v>2.03.04.03Reserva para Contingências</v>
      </c>
      <c r="D169" s="169">
        <v>0</v>
      </c>
      <c r="E169" s="169">
        <v>0</v>
      </c>
      <c r="F169" s="169">
        <v>0</v>
      </c>
      <c r="G169" s="169">
        <v>0</v>
      </c>
      <c r="H169" s="168">
        <v>0</v>
      </c>
      <c r="I169" s="168">
        <v>0</v>
      </c>
      <c r="J169" s="168">
        <v>0</v>
      </c>
      <c r="K169" s="169">
        <v>0</v>
      </c>
      <c r="L169" s="168">
        <v>0</v>
      </c>
      <c r="M169" s="169">
        <v>0</v>
      </c>
      <c r="N169" s="169">
        <v>0</v>
      </c>
      <c r="O169" s="169">
        <v>0</v>
      </c>
      <c r="P169" s="169">
        <v>0</v>
      </c>
      <c r="Q169" s="169">
        <v>0</v>
      </c>
      <c r="R169" s="169">
        <v>0</v>
      </c>
      <c r="S169" s="169">
        <v>0</v>
      </c>
      <c r="T169" s="169">
        <v>0</v>
      </c>
      <c r="U169" s="169">
        <v>0</v>
      </c>
      <c r="V169" s="169">
        <v>0</v>
      </c>
      <c r="W169" s="169">
        <v>0</v>
      </c>
      <c r="X169" s="169">
        <v>0</v>
      </c>
      <c r="Y169" s="169">
        <v>0</v>
      </c>
      <c r="Z169" s="169">
        <v>0</v>
      </c>
      <c r="AA169" s="169">
        <v>0</v>
      </c>
      <c r="AB169" s="169">
        <v>0</v>
      </c>
      <c r="AC169" s="169">
        <v>0</v>
      </c>
      <c r="AD169" s="169">
        <v>0</v>
      </c>
      <c r="AE169" s="169">
        <v>0</v>
      </c>
      <c r="AF169" s="169">
        <v>0</v>
      </c>
      <c r="AG169" s="169">
        <v>0</v>
      </c>
      <c r="AH169" s="169">
        <v>0</v>
      </c>
      <c r="AI169" s="169">
        <v>0</v>
      </c>
      <c r="AJ169" s="169">
        <v>0</v>
      </c>
      <c r="AK169" s="169">
        <v>0</v>
      </c>
      <c r="AL169" s="169">
        <v>0</v>
      </c>
      <c r="AM169" s="169">
        <v>0</v>
      </c>
      <c r="AN169" s="169">
        <v>0</v>
      </c>
      <c r="AO169" s="169">
        <v>0</v>
      </c>
      <c r="AP169" s="170">
        <v>0</v>
      </c>
    </row>
    <row r="170" spans="1:42" x14ac:dyDescent="0.35">
      <c r="A170" s="158" t="s">
        <v>279</v>
      </c>
      <c r="B170" s="158" t="s">
        <v>280</v>
      </c>
      <c r="C170" s="130" t="str">
        <f t="shared" si="2"/>
        <v>2.03.04.04Reserva de Lucros a Realizar</v>
      </c>
      <c r="D170" s="169">
        <v>0</v>
      </c>
      <c r="E170" s="169">
        <v>0</v>
      </c>
      <c r="F170" s="169">
        <v>0</v>
      </c>
      <c r="G170" s="169">
        <v>0</v>
      </c>
      <c r="H170" s="168">
        <v>0</v>
      </c>
      <c r="I170" s="168">
        <v>0</v>
      </c>
      <c r="J170" s="168">
        <v>0</v>
      </c>
      <c r="K170" s="169">
        <v>0</v>
      </c>
      <c r="L170" s="168">
        <v>0</v>
      </c>
      <c r="M170" s="169">
        <v>0</v>
      </c>
      <c r="N170" s="169">
        <v>0</v>
      </c>
      <c r="O170" s="169">
        <v>0</v>
      </c>
      <c r="P170" s="169">
        <v>0</v>
      </c>
      <c r="Q170" s="169">
        <v>0</v>
      </c>
      <c r="R170" s="169">
        <v>0</v>
      </c>
      <c r="S170" s="169">
        <v>0</v>
      </c>
      <c r="T170" s="169">
        <v>0</v>
      </c>
      <c r="U170" s="169">
        <v>0</v>
      </c>
      <c r="V170" s="169">
        <v>0</v>
      </c>
      <c r="W170" s="169">
        <v>0</v>
      </c>
      <c r="X170" s="169">
        <v>0</v>
      </c>
      <c r="Y170" s="169">
        <v>0</v>
      </c>
      <c r="Z170" s="169">
        <v>0</v>
      </c>
      <c r="AA170" s="169">
        <v>0</v>
      </c>
      <c r="AB170" s="169">
        <v>0</v>
      </c>
      <c r="AC170" s="169">
        <v>0</v>
      </c>
      <c r="AD170" s="169">
        <v>0</v>
      </c>
      <c r="AE170" s="169">
        <v>0</v>
      </c>
      <c r="AF170" s="169">
        <v>0</v>
      </c>
      <c r="AG170" s="169">
        <v>0</v>
      </c>
      <c r="AH170" s="169">
        <v>0</v>
      </c>
      <c r="AI170" s="169">
        <v>0</v>
      </c>
      <c r="AJ170" s="169">
        <v>0</v>
      </c>
      <c r="AK170" s="169">
        <v>0</v>
      </c>
      <c r="AL170" s="169">
        <v>0</v>
      </c>
      <c r="AM170" s="169">
        <v>0</v>
      </c>
      <c r="AN170" s="169">
        <v>0</v>
      </c>
      <c r="AO170" s="169">
        <v>0</v>
      </c>
      <c r="AP170" s="170">
        <v>0</v>
      </c>
    </row>
    <row r="171" spans="1:42" x14ac:dyDescent="0.35">
      <c r="A171" s="158" t="s">
        <v>281</v>
      </c>
      <c r="B171" s="158" t="s">
        <v>282</v>
      </c>
      <c r="C171" s="130" t="str">
        <f t="shared" si="2"/>
        <v>2.03.04.05Reserva de Retenção de Lucros</v>
      </c>
      <c r="D171" s="169">
        <v>0</v>
      </c>
      <c r="E171" s="169">
        <v>0</v>
      </c>
      <c r="F171" s="169">
        <v>0</v>
      </c>
      <c r="G171" s="169">
        <v>0</v>
      </c>
      <c r="H171" s="168">
        <v>0</v>
      </c>
      <c r="I171" s="168">
        <v>0</v>
      </c>
      <c r="J171" s="168">
        <v>0</v>
      </c>
      <c r="K171" s="169">
        <v>0</v>
      </c>
      <c r="L171" s="168">
        <v>0</v>
      </c>
      <c r="M171" s="169">
        <v>0</v>
      </c>
      <c r="N171" s="169">
        <v>0</v>
      </c>
      <c r="O171" s="169">
        <v>0</v>
      </c>
      <c r="P171" s="169">
        <v>0</v>
      </c>
      <c r="Q171" s="169">
        <v>0</v>
      </c>
      <c r="R171" s="169">
        <v>0</v>
      </c>
      <c r="S171" s="169">
        <v>0</v>
      </c>
      <c r="T171" s="169">
        <v>0</v>
      </c>
      <c r="U171" s="169">
        <v>0</v>
      </c>
      <c r="V171" s="169">
        <v>0</v>
      </c>
      <c r="W171" s="169">
        <v>0</v>
      </c>
      <c r="X171" s="169">
        <v>0</v>
      </c>
      <c r="Y171" s="169">
        <v>0</v>
      </c>
      <c r="Z171" s="169">
        <v>0</v>
      </c>
      <c r="AA171" s="169">
        <v>0</v>
      </c>
      <c r="AB171" s="169">
        <v>0</v>
      </c>
      <c r="AC171" s="169">
        <v>0</v>
      </c>
      <c r="AD171" s="169">
        <v>0</v>
      </c>
      <c r="AE171" s="169">
        <v>0</v>
      </c>
      <c r="AF171" s="169">
        <v>0</v>
      </c>
      <c r="AG171" s="169">
        <v>0</v>
      </c>
      <c r="AH171" s="169">
        <v>0</v>
      </c>
      <c r="AI171" s="169">
        <v>0</v>
      </c>
      <c r="AJ171" s="169">
        <v>0</v>
      </c>
      <c r="AK171" s="169">
        <v>0</v>
      </c>
      <c r="AL171" s="169">
        <v>0</v>
      </c>
      <c r="AM171" s="169">
        <v>0</v>
      </c>
      <c r="AN171" s="169">
        <v>0</v>
      </c>
      <c r="AO171" s="169">
        <v>0</v>
      </c>
      <c r="AP171" s="170">
        <v>0</v>
      </c>
    </row>
    <row r="172" spans="1:42" x14ac:dyDescent="0.35">
      <c r="A172" s="158" t="s">
        <v>283</v>
      </c>
      <c r="B172" s="158" t="s">
        <v>284</v>
      </c>
      <c r="C172" s="130" t="str">
        <f t="shared" si="2"/>
        <v>2.03.04.06Reserva Especial para Dividendos Não Distribuídos</v>
      </c>
      <c r="D172" s="169">
        <v>0</v>
      </c>
      <c r="E172" s="169">
        <v>0</v>
      </c>
      <c r="F172" s="169">
        <v>0</v>
      </c>
      <c r="G172" s="169">
        <v>0</v>
      </c>
      <c r="H172" s="168">
        <v>0</v>
      </c>
      <c r="I172" s="168">
        <v>0</v>
      </c>
      <c r="J172" s="168">
        <v>0</v>
      </c>
      <c r="K172" s="169">
        <v>0</v>
      </c>
      <c r="L172" s="168">
        <v>0</v>
      </c>
      <c r="M172" s="169">
        <v>0</v>
      </c>
      <c r="N172" s="169">
        <v>0</v>
      </c>
      <c r="O172" s="169">
        <v>0</v>
      </c>
      <c r="P172" s="169">
        <v>0</v>
      </c>
      <c r="Q172" s="169">
        <v>0</v>
      </c>
      <c r="R172" s="169">
        <v>0</v>
      </c>
      <c r="S172" s="169">
        <v>0</v>
      </c>
      <c r="T172" s="169">
        <v>0</v>
      </c>
      <c r="U172" s="169">
        <v>0</v>
      </c>
      <c r="V172" s="169">
        <v>0</v>
      </c>
      <c r="W172" s="169">
        <v>0</v>
      </c>
      <c r="X172" s="169">
        <v>0</v>
      </c>
      <c r="Y172" s="169">
        <v>0</v>
      </c>
      <c r="Z172" s="169">
        <v>0</v>
      </c>
      <c r="AA172" s="169">
        <v>0</v>
      </c>
      <c r="AB172" s="169">
        <v>0</v>
      </c>
      <c r="AC172" s="169">
        <v>0</v>
      </c>
      <c r="AD172" s="169">
        <v>0</v>
      </c>
      <c r="AE172" s="169">
        <v>0</v>
      </c>
      <c r="AF172" s="169">
        <v>0</v>
      </c>
      <c r="AG172" s="169">
        <v>0</v>
      </c>
      <c r="AH172" s="169">
        <v>0</v>
      </c>
      <c r="AI172" s="169">
        <v>0</v>
      </c>
      <c r="AJ172" s="169">
        <v>0</v>
      </c>
      <c r="AK172" s="169">
        <v>0</v>
      </c>
      <c r="AL172" s="169">
        <v>0</v>
      </c>
      <c r="AM172" s="169">
        <v>0</v>
      </c>
      <c r="AN172" s="169">
        <v>0</v>
      </c>
      <c r="AO172" s="169">
        <v>0</v>
      </c>
      <c r="AP172" s="170">
        <v>0</v>
      </c>
    </row>
    <row r="173" spans="1:42" x14ac:dyDescent="0.35">
      <c r="A173" s="158" t="s">
        <v>285</v>
      </c>
      <c r="B173" s="158" t="s">
        <v>286</v>
      </c>
      <c r="C173" s="130" t="str">
        <f t="shared" si="2"/>
        <v>2.03.04.07Reserva de Incentivos Fiscais</v>
      </c>
      <c r="D173" s="169">
        <v>0</v>
      </c>
      <c r="E173" s="169">
        <v>0</v>
      </c>
      <c r="F173" s="169">
        <v>0</v>
      </c>
      <c r="G173" s="169">
        <v>0</v>
      </c>
      <c r="H173" s="168">
        <v>0</v>
      </c>
      <c r="I173" s="168">
        <v>0</v>
      </c>
      <c r="J173" s="168">
        <v>0</v>
      </c>
      <c r="K173" s="169">
        <v>0</v>
      </c>
      <c r="L173" s="168">
        <v>0</v>
      </c>
      <c r="M173" s="169">
        <v>0</v>
      </c>
      <c r="N173" s="169">
        <v>0</v>
      </c>
      <c r="O173" s="169">
        <v>0</v>
      </c>
      <c r="P173" s="169">
        <v>0</v>
      </c>
      <c r="Q173" s="169">
        <v>0</v>
      </c>
      <c r="R173" s="169">
        <v>0</v>
      </c>
      <c r="S173" s="169">
        <v>0</v>
      </c>
      <c r="T173" s="169">
        <v>0</v>
      </c>
      <c r="U173" s="169">
        <v>0</v>
      </c>
      <c r="V173" s="169">
        <v>0</v>
      </c>
      <c r="W173" s="169">
        <v>0</v>
      </c>
      <c r="X173" s="169">
        <v>0</v>
      </c>
      <c r="Y173" s="169">
        <v>0</v>
      </c>
      <c r="Z173" s="169">
        <v>0</v>
      </c>
      <c r="AA173" s="169">
        <v>0</v>
      </c>
      <c r="AB173" s="169">
        <v>0</v>
      </c>
      <c r="AC173" s="169">
        <v>0</v>
      </c>
      <c r="AD173" s="169">
        <v>0</v>
      </c>
      <c r="AE173" s="169">
        <v>0</v>
      </c>
      <c r="AF173" s="169">
        <v>0</v>
      </c>
      <c r="AG173" s="169">
        <v>0</v>
      </c>
      <c r="AH173" s="169">
        <v>0</v>
      </c>
      <c r="AI173" s="169">
        <v>0</v>
      </c>
      <c r="AJ173" s="169">
        <v>0</v>
      </c>
      <c r="AK173" s="169">
        <v>0</v>
      </c>
      <c r="AL173" s="169">
        <v>0</v>
      </c>
      <c r="AM173" s="169">
        <v>0</v>
      </c>
      <c r="AN173" s="169">
        <v>0</v>
      </c>
      <c r="AO173" s="169">
        <v>0</v>
      </c>
      <c r="AP173" s="170">
        <v>0</v>
      </c>
    </row>
    <row r="174" spans="1:42" x14ac:dyDescent="0.35">
      <c r="A174" s="158" t="s">
        <v>287</v>
      </c>
      <c r="B174" s="158" t="s">
        <v>288</v>
      </c>
      <c r="C174" s="130" t="str">
        <f t="shared" si="2"/>
        <v>2.03.04.08Dividendo Adicional Proposto</v>
      </c>
      <c r="D174" s="169">
        <v>0</v>
      </c>
      <c r="E174" s="169">
        <v>0</v>
      </c>
      <c r="F174" s="169">
        <v>0</v>
      </c>
      <c r="G174" s="169">
        <v>0</v>
      </c>
      <c r="H174" s="168">
        <v>0</v>
      </c>
      <c r="I174" s="168">
        <v>0</v>
      </c>
      <c r="J174" s="168">
        <v>0</v>
      </c>
      <c r="K174" s="169">
        <v>0</v>
      </c>
      <c r="L174" s="168">
        <v>0</v>
      </c>
      <c r="M174" s="169">
        <v>0</v>
      </c>
      <c r="N174" s="169">
        <v>0</v>
      </c>
      <c r="O174" s="169">
        <v>0</v>
      </c>
      <c r="P174" s="169">
        <v>0</v>
      </c>
      <c r="Q174" s="169">
        <v>0</v>
      </c>
      <c r="R174" s="169">
        <v>0</v>
      </c>
      <c r="S174" s="169">
        <v>0</v>
      </c>
      <c r="T174" s="169">
        <v>0</v>
      </c>
      <c r="U174" s="169">
        <v>0</v>
      </c>
      <c r="V174" s="169">
        <v>0</v>
      </c>
      <c r="W174" s="169">
        <v>0</v>
      </c>
      <c r="X174" s="169">
        <v>0</v>
      </c>
      <c r="Y174" s="169">
        <v>0</v>
      </c>
      <c r="Z174" s="169">
        <v>0</v>
      </c>
      <c r="AA174" s="169">
        <v>0</v>
      </c>
      <c r="AB174" s="169">
        <v>0</v>
      </c>
      <c r="AC174" s="169">
        <v>0</v>
      </c>
      <c r="AD174" s="169">
        <v>0</v>
      </c>
      <c r="AE174" s="169">
        <v>0</v>
      </c>
      <c r="AF174" s="169">
        <v>0</v>
      </c>
      <c r="AG174" s="169">
        <v>0</v>
      </c>
      <c r="AH174" s="169">
        <v>0</v>
      </c>
      <c r="AI174" s="169">
        <v>0</v>
      </c>
      <c r="AJ174" s="169">
        <v>0</v>
      </c>
      <c r="AK174" s="169">
        <v>0</v>
      </c>
      <c r="AL174" s="169">
        <v>0</v>
      </c>
      <c r="AM174" s="169">
        <v>0</v>
      </c>
      <c r="AN174" s="169">
        <v>0</v>
      </c>
      <c r="AO174" s="169">
        <v>0</v>
      </c>
      <c r="AP174" s="170">
        <v>0</v>
      </c>
    </row>
    <row r="175" spans="1:42" x14ac:dyDescent="0.35">
      <c r="A175" s="158" t="s">
        <v>289</v>
      </c>
      <c r="B175" s="158" t="s">
        <v>265</v>
      </c>
      <c r="C175" s="130" t="str">
        <f t="shared" si="2"/>
        <v>2.03.04.09Ações em Tesouraria</v>
      </c>
      <c r="D175" s="169">
        <v>0</v>
      </c>
      <c r="E175" s="169">
        <v>0</v>
      </c>
      <c r="F175" s="169">
        <v>0</v>
      </c>
      <c r="G175" s="169">
        <v>0</v>
      </c>
      <c r="H175" s="168">
        <v>0</v>
      </c>
      <c r="I175" s="168">
        <v>0</v>
      </c>
      <c r="J175" s="168">
        <v>0</v>
      </c>
      <c r="K175" s="169">
        <v>0</v>
      </c>
      <c r="L175" s="168">
        <v>0</v>
      </c>
      <c r="M175" s="169">
        <v>0</v>
      </c>
      <c r="N175" s="169">
        <v>0</v>
      </c>
      <c r="O175" s="169">
        <v>0</v>
      </c>
      <c r="P175" s="169">
        <v>0</v>
      </c>
      <c r="Q175" s="169">
        <v>0</v>
      </c>
      <c r="R175" s="169">
        <v>0</v>
      </c>
      <c r="S175" s="169">
        <v>0</v>
      </c>
      <c r="T175" s="169">
        <v>0</v>
      </c>
      <c r="U175" s="169">
        <v>0</v>
      </c>
      <c r="V175" s="169">
        <v>0</v>
      </c>
      <c r="W175" s="169">
        <v>0</v>
      </c>
      <c r="X175" s="169">
        <v>0</v>
      </c>
      <c r="Y175" s="169">
        <v>0</v>
      </c>
      <c r="Z175" s="169">
        <v>0</v>
      </c>
      <c r="AA175" s="169">
        <v>0</v>
      </c>
      <c r="AB175" s="169">
        <v>0</v>
      </c>
      <c r="AC175" s="169">
        <v>0</v>
      </c>
      <c r="AD175" s="169">
        <v>0</v>
      </c>
      <c r="AE175" s="169">
        <v>0</v>
      </c>
      <c r="AF175" s="169">
        <v>0</v>
      </c>
      <c r="AG175" s="169">
        <v>0</v>
      </c>
      <c r="AH175" s="169">
        <v>0</v>
      </c>
      <c r="AI175" s="169">
        <v>0</v>
      </c>
      <c r="AJ175" s="169">
        <v>0</v>
      </c>
      <c r="AK175" s="169">
        <v>0</v>
      </c>
      <c r="AL175" s="169">
        <v>0</v>
      </c>
      <c r="AM175" s="169">
        <v>0</v>
      </c>
      <c r="AN175" s="169">
        <v>0</v>
      </c>
      <c r="AO175" s="169">
        <v>0</v>
      </c>
      <c r="AP175" s="170">
        <v>0</v>
      </c>
    </row>
    <row r="176" spans="1:42" x14ac:dyDescent="0.35">
      <c r="A176" s="158" t="s">
        <v>290</v>
      </c>
      <c r="B176" s="158" t="s">
        <v>380</v>
      </c>
      <c r="C176" s="130" t="str">
        <f t="shared" si="2"/>
        <v>2.03.04.10Dividendos intermediários</v>
      </c>
      <c r="D176" s="169">
        <v>0</v>
      </c>
      <c r="E176" s="169">
        <v>0</v>
      </c>
      <c r="F176" s="169">
        <v>0</v>
      </c>
      <c r="G176" s="169">
        <v>0</v>
      </c>
      <c r="H176" s="168">
        <v>0</v>
      </c>
      <c r="I176" s="168">
        <v>0</v>
      </c>
      <c r="J176" s="168">
        <v>0</v>
      </c>
      <c r="K176" s="169">
        <v>0</v>
      </c>
      <c r="L176" s="168">
        <v>0</v>
      </c>
      <c r="M176" s="169">
        <v>0</v>
      </c>
      <c r="N176" s="169">
        <v>0</v>
      </c>
      <c r="O176" s="169">
        <v>0</v>
      </c>
      <c r="P176" s="169">
        <v>0</v>
      </c>
      <c r="Q176" s="169">
        <v>0</v>
      </c>
      <c r="R176" s="169">
        <v>0</v>
      </c>
      <c r="S176" s="169">
        <v>0</v>
      </c>
      <c r="T176" s="169">
        <v>0</v>
      </c>
      <c r="U176" s="169">
        <v>0</v>
      </c>
      <c r="V176" s="169">
        <v>0</v>
      </c>
      <c r="W176" s="169">
        <v>0</v>
      </c>
      <c r="X176" s="169">
        <v>0</v>
      </c>
      <c r="Y176" s="169">
        <v>0</v>
      </c>
      <c r="Z176" s="169">
        <v>0</v>
      </c>
      <c r="AA176" s="169">
        <v>0</v>
      </c>
      <c r="AB176" s="169">
        <v>0</v>
      </c>
      <c r="AC176" s="169">
        <v>0</v>
      </c>
      <c r="AD176" s="169">
        <v>0</v>
      </c>
      <c r="AE176" s="169">
        <v>0</v>
      </c>
      <c r="AF176" s="169">
        <v>0</v>
      </c>
      <c r="AG176" s="169">
        <v>0</v>
      </c>
      <c r="AH176" s="169">
        <v>0</v>
      </c>
      <c r="AI176" s="169">
        <v>0</v>
      </c>
      <c r="AJ176" s="169">
        <v>0</v>
      </c>
      <c r="AK176" s="169">
        <v>0</v>
      </c>
      <c r="AL176" s="169">
        <v>31051</v>
      </c>
      <c r="AM176" s="169">
        <v>0</v>
      </c>
      <c r="AN176" s="169">
        <v>0</v>
      </c>
      <c r="AO176" s="169">
        <v>0</v>
      </c>
      <c r="AP176" s="170">
        <v>0</v>
      </c>
    </row>
    <row r="177" spans="1:42" x14ac:dyDescent="0.35">
      <c r="A177" s="158" t="s">
        <v>291</v>
      </c>
      <c r="B177" s="158" t="s">
        <v>292</v>
      </c>
      <c r="C177" s="130" t="str">
        <f t="shared" si="2"/>
        <v>2.03.05Lucros/Prejuízos Acumulados</v>
      </c>
      <c r="D177" s="169">
        <v>91331</v>
      </c>
      <c r="E177" s="169">
        <v>4226</v>
      </c>
      <c r="F177" s="169">
        <v>0</v>
      </c>
      <c r="G177" s="169">
        <v>134591</v>
      </c>
      <c r="H177" s="222">
        <v>99004</v>
      </c>
      <c r="I177" s="168">
        <v>11575</v>
      </c>
      <c r="J177" s="168">
        <v>0</v>
      </c>
      <c r="K177" s="169">
        <v>199153</v>
      </c>
      <c r="L177" s="168">
        <v>88954</v>
      </c>
      <c r="M177" s="169">
        <v>51139</v>
      </c>
      <c r="N177" s="169">
        <v>0</v>
      </c>
      <c r="O177" s="169">
        <v>41943</v>
      </c>
      <c r="P177" s="169">
        <v>45580</v>
      </c>
      <c r="Q177" s="169">
        <v>-15039</v>
      </c>
      <c r="R177" s="169">
        <v>0</v>
      </c>
      <c r="S177" s="169">
        <v>424164</v>
      </c>
      <c r="T177" s="169">
        <v>353415</v>
      </c>
      <c r="U177" s="169">
        <v>161561</v>
      </c>
      <c r="V177" s="169">
        <v>0</v>
      </c>
      <c r="W177" s="169">
        <v>447745</v>
      </c>
      <c r="X177" s="169">
        <v>269323</v>
      </c>
      <c r="Y177" s="169">
        <v>53010</v>
      </c>
      <c r="Z177" s="169">
        <v>0</v>
      </c>
      <c r="AA177" s="169">
        <v>-357441</v>
      </c>
      <c r="AB177" s="169">
        <v>-340115</v>
      </c>
      <c r="AC177" s="169">
        <v>10686</v>
      </c>
      <c r="AD177" s="169">
        <v>0</v>
      </c>
      <c r="AE177" s="169">
        <v>301864</v>
      </c>
      <c r="AF177" s="169">
        <v>175221</v>
      </c>
      <c r="AG177" s="169">
        <v>65004</v>
      </c>
      <c r="AH177" s="169">
        <v>0</v>
      </c>
      <c r="AI177" s="169">
        <v>134494</v>
      </c>
      <c r="AJ177" s="169">
        <v>39255</v>
      </c>
      <c r="AK177" s="169">
        <v>-6696</v>
      </c>
      <c r="AL177" s="169">
        <v>0</v>
      </c>
      <c r="AM177" s="169">
        <v>177</v>
      </c>
      <c r="AN177" s="169">
        <v>27166</v>
      </c>
      <c r="AO177" s="169">
        <v>527</v>
      </c>
      <c r="AP177" s="170">
        <v>0</v>
      </c>
    </row>
    <row r="178" spans="1:42" x14ac:dyDescent="0.35">
      <c r="A178" s="158" t="s">
        <v>293</v>
      </c>
      <c r="B178" s="158" t="s">
        <v>294</v>
      </c>
      <c r="C178" s="130" t="str">
        <f t="shared" si="2"/>
        <v>2.03.06Ajustes de Avaliação Patrimonial</v>
      </c>
      <c r="D178" s="169">
        <v>43493</v>
      </c>
      <c r="E178" s="169">
        <v>43729</v>
      </c>
      <c r="F178" s="169">
        <v>44035</v>
      </c>
      <c r="G178" s="169">
        <v>44434</v>
      </c>
      <c r="H178" s="222">
        <v>44954</v>
      </c>
      <c r="I178" s="168">
        <v>45561</v>
      </c>
      <c r="J178" s="168">
        <v>46244</v>
      </c>
      <c r="K178" s="169">
        <v>47220</v>
      </c>
      <c r="L178" s="168">
        <v>48248</v>
      </c>
      <c r="M178" s="169">
        <v>49138</v>
      </c>
      <c r="N178" s="169">
        <v>50020</v>
      </c>
      <c r="O178" s="169">
        <v>51075</v>
      </c>
      <c r="P178" s="169">
        <v>52222</v>
      </c>
      <c r="Q178" s="169">
        <v>49649</v>
      </c>
      <c r="R178" s="169">
        <v>51040</v>
      </c>
      <c r="S178" s="169">
        <v>52503</v>
      </c>
      <c r="T178" s="169">
        <v>53957</v>
      </c>
      <c r="U178" s="169">
        <v>55419</v>
      </c>
      <c r="V178" s="169">
        <v>56867</v>
      </c>
      <c r="W178" s="169">
        <v>58365</v>
      </c>
      <c r="X178" s="169">
        <v>59868</v>
      </c>
      <c r="Y178" s="169">
        <v>61498</v>
      </c>
      <c r="Z178" s="169">
        <v>63109</v>
      </c>
      <c r="AA178" s="169">
        <v>64641</v>
      </c>
      <c r="AB178" s="169">
        <v>66298</v>
      </c>
      <c r="AC178" s="169">
        <v>67956</v>
      </c>
      <c r="AD178" s="169">
        <v>69597</v>
      </c>
      <c r="AE178" s="169">
        <v>71508</v>
      </c>
      <c r="AF178" s="169">
        <v>73437</v>
      </c>
      <c r="AG178" s="169">
        <v>73252</v>
      </c>
      <c r="AH178" s="169">
        <v>75288</v>
      </c>
      <c r="AI178" s="169">
        <v>78173</v>
      </c>
      <c r="AJ178" s="169">
        <v>80053</v>
      </c>
      <c r="AK178" s="169">
        <v>81993</v>
      </c>
      <c r="AL178" s="169">
        <v>88692</v>
      </c>
      <c r="AM178" s="169">
        <v>90891</v>
      </c>
      <c r="AN178" s="169">
        <v>92741</v>
      </c>
      <c r="AO178" s="169">
        <v>94951</v>
      </c>
      <c r="AP178" s="170">
        <v>96851</v>
      </c>
    </row>
    <row r="179" spans="1:42" x14ac:dyDescent="0.35">
      <c r="A179" s="158" t="s">
        <v>295</v>
      </c>
      <c r="B179" s="158" t="s">
        <v>296</v>
      </c>
      <c r="C179" s="130" t="str">
        <f t="shared" si="2"/>
        <v>2.03.06.01Ajuste de Custo Atribuído ao Imobilizado</v>
      </c>
      <c r="D179" s="169">
        <v>43493</v>
      </c>
      <c r="E179" s="169">
        <v>43729</v>
      </c>
      <c r="F179" s="169">
        <v>44035</v>
      </c>
      <c r="G179" s="169">
        <v>44434</v>
      </c>
      <c r="H179" s="222">
        <v>44954</v>
      </c>
      <c r="I179" s="168">
        <v>45561</v>
      </c>
      <c r="J179" s="168">
        <v>46244</v>
      </c>
      <c r="K179" s="169">
        <v>47220</v>
      </c>
      <c r="L179" s="168">
        <v>48248</v>
      </c>
      <c r="M179" s="169">
        <v>49138</v>
      </c>
      <c r="N179" s="169">
        <v>50020</v>
      </c>
      <c r="O179" s="169">
        <v>51075</v>
      </c>
      <c r="P179" s="169">
        <v>52222</v>
      </c>
      <c r="Q179" s="169">
        <v>49649</v>
      </c>
      <c r="R179" s="169">
        <v>51040</v>
      </c>
      <c r="S179" s="169">
        <v>52503</v>
      </c>
      <c r="T179" s="169">
        <v>53957</v>
      </c>
      <c r="U179" s="169">
        <v>55419</v>
      </c>
      <c r="V179" s="169">
        <v>56867</v>
      </c>
      <c r="W179" s="169">
        <v>58365</v>
      </c>
      <c r="X179" s="169">
        <v>59868</v>
      </c>
      <c r="Y179" s="169">
        <v>61498</v>
      </c>
      <c r="Z179" s="169">
        <v>63109</v>
      </c>
      <c r="AA179" s="169">
        <v>64641</v>
      </c>
      <c r="AB179" s="169">
        <v>66298</v>
      </c>
      <c r="AC179" s="169">
        <v>67956</v>
      </c>
      <c r="AD179" s="169">
        <v>69597</v>
      </c>
      <c r="AE179" s="169">
        <v>71508</v>
      </c>
      <c r="AF179" s="169">
        <v>73437</v>
      </c>
      <c r="AG179" s="169">
        <v>73252</v>
      </c>
      <c r="AH179" s="169">
        <v>75288</v>
      </c>
      <c r="AI179" s="169">
        <v>78173</v>
      </c>
      <c r="AJ179" s="169">
        <v>80053</v>
      </c>
      <c r="AK179" s="169">
        <v>81993</v>
      </c>
      <c r="AL179" s="169">
        <v>88692</v>
      </c>
      <c r="AM179" s="169">
        <v>90891</v>
      </c>
      <c r="AN179" s="169">
        <v>92741</v>
      </c>
      <c r="AO179" s="169">
        <v>94951</v>
      </c>
      <c r="AP179" s="170">
        <v>96851</v>
      </c>
    </row>
    <row r="180" spans="1:42" x14ac:dyDescent="0.35">
      <c r="A180" s="158" t="s">
        <v>297</v>
      </c>
      <c r="B180" s="158" t="s">
        <v>298</v>
      </c>
      <c r="C180" s="130" t="str">
        <f t="shared" si="2"/>
        <v>2.03.06.02Mensuração de Instrumentos Financeiros, líquidos</v>
      </c>
      <c r="D180" s="169">
        <v>0</v>
      </c>
      <c r="E180" s="169">
        <v>0</v>
      </c>
      <c r="F180" s="169">
        <v>0</v>
      </c>
      <c r="G180" s="169">
        <v>0</v>
      </c>
      <c r="H180" s="168">
        <v>0</v>
      </c>
      <c r="I180" s="168">
        <v>0</v>
      </c>
      <c r="J180" s="168">
        <v>0</v>
      </c>
      <c r="K180" s="169">
        <v>0</v>
      </c>
      <c r="L180" s="168">
        <v>0</v>
      </c>
      <c r="M180" s="169">
        <v>0</v>
      </c>
      <c r="N180" s="169">
        <v>0</v>
      </c>
      <c r="O180" s="169">
        <v>0</v>
      </c>
      <c r="P180" s="169">
        <v>0</v>
      </c>
      <c r="Q180" s="169">
        <v>0</v>
      </c>
      <c r="R180" s="169">
        <v>0</v>
      </c>
      <c r="S180" s="169">
        <v>0</v>
      </c>
      <c r="T180" s="169">
        <v>0</v>
      </c>
      <c r="U180" s="169">
        <v>0</v>
      </c>
      <c r="V180" s="169">
        <v>0</v>
      </c>
      <c r="W180" s="169">
        <v>0</v>
      </c>
      <c r="X180" s="169">
        <v>0</v>
      </c>
      <c r="Y180" s="169">
        <v>0</v>
      </c>
      <c r="Z180" s="169">
        <v>0</v>
      </c>
      <c r="AA180" s="169">
        <v>0</v>
      </c>
      <c r="AB180" s="169">
        <v>0</v>
      </c>
      <c r="AC180" s="169">
        <v>0</v>
      </c>
      <c r="AD180" s="169">
        <v>0</v>
      </c>
      <c r="AE180" s="169">
        <v>0</v>
      </c>
      <c r="AF180" s="169">
        <v>0</v>
      </c>
      <c r="AG180" s="169">
        <v>0</v>
      </c>
      <c r="AH180" s="169">
        <v>0</v>
      </c>
      <c r="AI180" s="169">
        <v>0</v>
      </c>
      <c r="AJ180" s="169">
        <v>0</v>
      </c>
      <c r="AK180" s="169">
        <v>0</v>
      </c>
      <c r="AL180" s="169">
        <v>0</v>
      </c>
      <c r="AM180" s="169">
        <v>0</v>
      </c>
      <c r="AN180" s="169">
        <v>0</v>
      </c>
      <c r="AO180" s="169">
        <v>0</v>
      </c>
      <c r="AP180" s="170">
        <v>0</v>
      </c>
    </row>
    <row r="181" spans="1:42" x14ac:dyDescent="0.35">
      <c r="A181" s="158" t="s">
        <v>299</v>
      </c>
      <c r="B181" s="158" t="s">
        <v>300</v>
      </c>
      <c r="C181" s="130" t="str">
        <f t="shared" si="2"/>
        <v>2.03.07Ajustes Acumulados de Conversão</v>
      </c>
      <c r="D181" s="169">
        <v>1699592</v>
      </c>
      <c r="E181" s="169">
        <v>1800338</v>
      </c>
      <c r="F181" s="169">
        <v>2027813</v>
      </c>
      <c r="G181" s="169">
        <v>1878492</v>
      </c>
      <c r="H181" s="222">
        <v>1976017</v>
      </c>
      <c r="I181" s="168">
        <v>2077846</v>
      </c>
      <c r="J181" s="168">
        <v>2308139</v>
      </c>
      <c r="K181" s="169">
        <v>1990266</v>
      </c>
      <c r="L181" s="168">
        <v>1897274</v>
      </c>
      <c r="M181" s="169">
        <v>1651062</v>
      </c>
      <c r="N181" s="169">
        <v>1584715</v>
      </c>
      <c r="O181" s="169">
        <v>1607360</v>
      </c>
      <c r="P181" s="169">
        <v>1383430</v>
      </c>
      <c r="Q181" s="169">
        <v>1528870</v>
      </c>
      <c r="R181" s="169">
        <v>1560488</v>
      </c>
      <c r="S181" s="169">
        <v>1606224</v>
      </c>
      <c r="T181" s="169">
        <v>1607579</v>
      </c>
      <c r="U181" s="169">
        <v>1321308</v>
      </c>
      <c r="V181" s="169">
        <v>1912937</v>
      </c>
      <c r="W181" s="169">
        <v>2033607</v>
      </c>
      <c r="X181" s="169">
        <v>1735611</v>
      </c>
      <c r="Y181" s="169">
        <v>2189580</v>
      </c>
      <c r="Z181" s="169">
        <v>1864725</v>
      </c>
      <c r="AA181" s="169">
        <v>2003067</v>
      </c>
      <c r="AB181" s="169">
        <v>1907486</v>
      </c>
      <c r="AC181" s="169">
        <v>1714474</v>
      </c>
      <c r="AD181" s="169">
        <v>1030163</v>
      </c>
      <c r="AE181" s="169">
        <v>1122513</v>
      </c>
      <c r="AF181" s="169">
        <v>960790</v>
      </c>
      <c r="AG181" s="169">
        <v>1019657</v>
      </c>
      <c r="AH181" s="169">
        <v>984374</v>
      </c>
      <c r="AI181" s="169">
        <v>1063459</v>
      </c>
      <c r="AJ181" s="169">
        <v>985392</v>
      </c>
      <c r="AK181" s="169">
        <v>743249</v>
      </c>
      <c r="AL181" s="169">
        <v>749982</v>
      </c>
      <c r="AM181" s="169">
        <v>673406</v>
      </c>
      <c r="AN181" s="169">
        <v>726298</v>
      </c>
      <c r="AO181" s="169">
        <v>650189</v>
      </c>
      <c r="AP181" s="170">
        <v>633408</v>
      </c>
    </row>
    <row r="182" spans="1:42" x14ac:dyDescent="0.35">
      <c r="A182" s="158" t="s">
        <v>301</v>
      </c>
      <c r="B182" s="158" t="s">
        <v>302</v>
      </c>
      <c r="C182" s="130" t="str">
        <f t="shared" si="2"/>
        <v>2.03.07.01Variação Cambial sobre Investimentos no Exterior</v>
      </c>
      <c r="D182" s="169">
        <v>1699592</v>
      </c>
      <c r="E182" s="169">
        <v>1800338</v>
      </c>
      <c r="F182" s="169">
        <v>2027813</v>
      </c>
      <c r="G182" s="169">
        <v>1878492</v>
      </c>
      <c r="H182" s="222">
        <v>1976017</v>
      </c>
      <c r="I182" s="168">
        <v>2077846</v>
      </c>
      <c r="J182" s="168">
        <v>2308139</v>
      </c>
      <c r="K182" s="169">
        <v>1990266</v>
      </c>
      <c r="L182" s="168">
        <v>1897274</v>
      </c>
      <c r="M182" s="169">
        <v>1651062</v>
      </c>
      <c r="N182" s="169">
        <v>1584715</v>
      </c>
      <c r="O182" s="169">
        <v>1607360</v>
      </c>
      <c r="P182" s="169">
        <v>1383430</v>
      </c>
      <c r="Q182" s="169">
        <v>1528870</v>
      </c>
      <c r="R182" s="169">
        <v>1560488</v>
      </c>
      <c r="S182" s="169">
        <v>1606224</v>
      </c>
      <c r="T182" s="169">
        <v>1607579</v>
      </c>
      <c r="U182" s="169">
        <v>1321308</v>
      </c>
      <c r="V182" s="169">
        <v>1912937</v>
      </c>
      <c r="W182" s="169">
        <v>2033607</v>
      </c>
      <c r="X182" s="169">
        <v>1735611</v>
      </c>
      <c r="Y182" s="169">
        <v>2189580</v>
      </c>
      <c r="Z182" s="169">
        <v>1864725</v>
      </c>
      <c r="AA182" s="169">
        <v>2003067</v>
      </c>
      <c r="AB182" s="169">
        <v>1907486</v>
      </c>
      <c r="AC182" s="169">
        <v>1714474</v>
      </c>
      <c r="AD182" s="169">
        <v>1030163</v>
      </c>
      <c r="AE182" s="169">
        <v>1122513</v>
      </c>
      <c r="AF182" s="169">
        <v>960790</v>
      </c>
      <c r="AG182" s="169">
        <v>1019657</v>
      </c>
      <c r="AH182" s="169">
        <v>984374</v>
      </c>
      <c r="AI182" s="169">
        <v>1063459</v>
      </c>
      <c r="AJ182" s="169">
        <v>985392</v>
      </c>
      <c r="AK182" s="169">
        <v>743249</v>
      </c>
      <c r="AL182" s="169">
        <v>749982</v>
      </c>
      <c r="AM182" s="169">
        <v>673406</v>
      </c>
      <c r="AN182" s="169">
        <v>726298</v>
      </c>
      <c r="AO182" s="169">
        <v>650189</v>
      </c>
      <c r="AP182" s="170">
        <v>633408</v>
      </c>
    </row>
    <row r="183" spans="1:42" x14ac:dyDescent="0.35">
      <c r="A183" s="158" t="s">
        <v>303</v>
      </c>
      <c r="B183" s="158" t="s">
        <v>304</v>
      </c>
      <c r="C183" s="130" t="str">
        <f t="shared" si="2"/>
        <v>2.03.08Outros Resultados Abrangentes</v>
      </c>
      <c r="D183" s="169">
        <v>-118639</v>
      </c>
      <c r="E183" s="169">
        <v>-130084</v>
      </c>
      <c r="F183" s="169">
        <v>-130084</v>
      </c>
      <c r="G183" s="169">
        <v>-138236</v>
      </c>
      <c r="H183" s="222">
        <v>-127576</v>
      </c>
      <c r="I183" s="168">
        <v>-153546</v>
      </c>
      <c r="J183" s="168">
        <v>-121845</v>
      </c>
      <c r="K183" s="169">
        <v>-181215</v>
      </c>
      <c r="L183" s="168">
        <v>-62353</v>
      </c>
      <c r="M183" s="169">
        <v>-127606</v>
      </c>
      <c r="N183" s="169">
        <v>-111393</v>
      </c>
      <c r="O183" s="169">
        <v>-59236</v>
      </c>
      <c r="P183" s="169">
        <v>111782</v>
      </c>
      <c r="Q183" s="169">
        <v>111782</v>
      </c>
      <c r="R183" s="169">
        <v>111782</v>
      </c>
      <c r="S183" s="169">
        <v>49309</v>
      </c>
      <c r="T183" s="169">
        <v>49309</v>
      </c>
      <c r="U183" s="169">
        <v>49309</v>
      </c>
      <c r="V183" s="169">
        <v>49309</v>
      </c>
      <c r="W183" s="169">
        <v>-150058</v>
      </c>
      <c r="X183" s="169">
        <v>-150058</v>
      </c>
      <c r="Y183" s="169">
        <v>-150058</v>
      </c>
      <c r="Z183" s="169">
        <v>-150058</v>
      </c>
      <c r="AA183" s="169">
        <v>-34917</v>
      </c>
      <c r="AB183" s="169">
        <v>-34917</v>
      </c>
      <c r="AC183" s="169">
        <v>-34917</v>
      </c>
      <c r="AD183" s="169">
        <v>-34917</v>
      </c>
      <c r="AE183" s="169">
        <v>-42472</v>
      </c>
      <c r="AF183" s="169">
        <v>-42472</v>
      </c>
      <c r="AG183" s="169">
        <v>-42472</v>
      </c>
      <c r="AH183" s="169">
        <v>-42472</v>
      </c>
      <c r="AI183" s="169">
        <v>-46662</v>
      </c>
      <c r="AJ183" s="169">
        <v>-37022</v>
      </c>
      <c r="AK183" s="169">
        <v>-7680</v>
      </c>
      <c r="AL183" s="169">
        <v>-35705</v>
      </c>
      <c r="AM183" s="169">
        <v>-19556</v>
      </c>
      <c r="AN183" s="169">
        <v>-25552</v>
      </c>
      <c r="AO183" s="169">
        <v>3705</v>
      </c>
      <c r="AP183" s="170">
        <v>48841</v>
      </c>
    </row>
    <row r="184" spans="1:42" x14ac:dyDescent="0.35">
      <c r="A184" s="158" t="s">
        <v>305</v>
      </c>
      <c r="B184" s="158" t="s">
        <v>306</v>
      </c>
      <c r="C184" s="130" t="str">
        <f t="shared" si="2"/>
        <v>2.03.08.01Outros Resultados Abrangentes - Hedge Accounting</v>
      </c>
      <c r="D184" s="169">
        <v>0</v>
      </c>
      <c r="E184" s="169">
        <v>0</v>
      </c>
      <c r="F184" s="169">
        <v>0</v>
      </c>
      <c r="G184" s="169">
        <v>0</v>
      </c>
      <c r="H184" s="168">
        <v>0</v>
      </c>
      <c r="I184" s="168">
        <v>0</v>
      </c>
      <c r="J184" s="168">
        <v>0</v>
      </c>
      <c r="K184" s="169">
        <v>0</v>
      </c>
      <c r="L184" s="168">
        <v>0</v>
      </c>
      <c r="M184" s="169">
        <v>0</v>
      </c>
      <c r="N184" s="169">
        <v>0</v>
      </c>
      <c r="O184" s="169">
        <v>0</v>
      </c>
      <c r="P184" s="169">
        <v>0</v>
      </c>
      <c r="Q184" s="169">
        <v>0</v>
      </c>
      <c r="R184" s="169">
        <v>0</v>
      </c>
      <c r="S184" s="169">
        <v>0</v>
      </c>
      <c r="T184" s="169">
        <v>0</v>
      </c>
      <c r="U184" s="169">
        <v>0</v>
      </c>
      <c r="V184" s="169">
        <v>0</v>
      </c>
      <c r="W184" s="169">
        <v>0</v>
      </c>
      <c r="X184" s="169">
        <v>0</v>
      </c>
      <c r="Y184" s="169">
        <v>0</v>
      </c>
      <c r="Z184" s="169">
        <v>0</v>
      </c>
      <c r="AA184" s="169">
        <v>0</v>
      </c>
      <c r="AB184" s="169">
        <v>0</v>
      </c>
      <c r="AC184" s="169">
        <v>0</v>
      </c>
      <c r="AD184" s="169">
        <v>0</v>
      </c>
      <c r="AE184" s="169">
        <v>0</v>
      </c>
      <c r="AF184" s="169">
        <v>0</v>
      </c>
      <c r="AG184" s="169">
        <v>0</v>
      </c>
      <c r="AH184" s="169">
        <v>0</v>
      </c>
      <c r="AI184" s="169">
        <v>0</v>
      </c>
      <c r="AJ184" s="169">
        <v>0</v>
      </c>
      <c r="AK184" s="169">
        <v>0</v>
      </c>
      <c r="AL184" s="169">
        <v>0</v>
      </c>
      <c r="AM184" s="169">
        <v>0</v>
      </c>
      <c r="AN184" s="169">
        <v>0</v>
      </c>
      <c r="AO184" s="169">
        <v>0</v>
      </c>
      <c r="AP184" s="170">
        <v>0</v>
      </c>
    </row>
    <row r="185" spans="1:42" x14ac:dyDescent="0.35">
      <c r="A185" s="158" t="s">
        <v>307</v>
      </c>
      <c r="B185" s="158" t="s">
        <v>304</v>
      </c>
      <c r="C185" s="130" t="str">
        <f t="shared" si="2"/>
        <v>2.03.08.02Outros Resultados Abrangentes</v>
      </c>
      <c r="D185" s="169">
        <v>-118639</v>
      </c>
      <c r="E185" s="169">
        <v>-130084</v>
      </c>
      <c r="F185" s="169">
        <v>-130084</v>
      </c>
      <c r="G185" s="169">
        <v>-138236</v>
      </c>
      <c r="H185" s="222">
        <v>-127576</v>
      </c>
      <c r="I185" s="168">
        <v>-153546</v>
      </c>
      <c r="J185" s="168">
        <v>-121845</v>
      </c>
      <c r="K185" s="169">
        <v>-181215</v>
      </c>
      <c r="L185" s="168">
        <v>-62353</v>
      </c>
      <c r="M185" s="169">
        <v>-127606</v>
      </c>
      <c r="N185" s="169">
        <v>-111393</v>
      </c>
      <c r="O185" s="169">
        <v>-59236</v>
      </c>
      <c r="P185" s="169">
        <v>111782</v>
      </c>
      <c r="Q185" s="169">
        <v>111782</v>
      </c>
      <c r="R185" s="169">
        <v>111782</v>
      </c>
      <c r="S185" s="169">
        <v>49309</v>
      </c>
      <c r="T185" s="169">
        <v>49309</v>
      </c>
      <c r="U185" s="169">
        <v>49309</v>
      </c>
      <c r="V185" s="169">
        <v>49309</v>
      </c>
      <c r="W185" s="169">
        <v>-150058</v>
      </c>
      <c r="X185" s="169">
        <v>-150058</v>
      </c>
      <c r="Y185" s="169">
        <v>-150058</v>
      </c>
      <c r="Z185" s="169">
        <v>-150058</v>
      </c>
      <c r="AA185" s="169">
        <v>-34917</v>
      </c>
      <c r="AB185" s="169">
        <v>-34917</v>
      </c>
      <c r="AC185" s="169">
        <v>-34917</v>
      </c>
      <c r="AD185" s="169">
        <v>-34917</v>
      </c>
      <c r="AE185" s="169">
        <v>-42472</v>
      </c>
      <c r="AF185" s="169">
        <v>-42472</v>
      </c>
      <c r="AG185" s="169">
        <v>-42472</v>
      </c>
      <c r="AH185" s="169">
        <v>-42472</v>
      </c>
      <c r="AI185" s="169">
        <v>-46662</v>
      </c>
      <c r="AJ185" s="169">
        <v>-37022</v>
      </c>
      <c r="AK185" s="169">
        <v>-7680</v>
      </c>
      <c r="AL185" s="169">
        <v>-35705</v>
      </c>
      <c r="AM185" s="169">
        <v>-19556</v>
      </c>
      <c r="AN185" s="169">
        <v>-25552</v>
      </c>
      <c r="AO185" s="169">
        <v>3705</v>
      </c>
      <c r="AP185" s="170">
        <v>48841</v>
      </c>
    </row>
    <row r="186" spans="1:42" ht="16.5" thickBot="1" x14ac:dyDescent="0.4">
      <c r="A186" s="159" t="s">
        <v>381</v>
      </c>
      <c r="B186" s="159" t="s">
        <v>382</v>
      </c>
      <c r="C186" s="130" t="str">
        <f t="shared" si="2"/>
        <v>2.03.09Participação dos Acionistas Não Controladores</v>
      </c>
      <c r="D186" s="174">
        <v>589269</v>
      </c>
      <c r="E186" s="174">
        <v>472080</v>
      </c>
      <c r="F186" s="174">
        <v>530026</v>
      </c>
      <c r="G186" s="174">
        <v>470119</v>
      </c>
      <c r="H186" s="223">
        <v>443826</v>
      </c>
      <c r="I186" s="173">
        <v>471407</v>
      </c>
      <c r="J186" s="173">
        <v>513077</v>
      </c>
      <c r="K186" s="174">
        <v>454207</v>
      </c>
      <c r="L186" s="173">
        <v>427762</v>
      </c>
      <c r="M186" s="174">
        <v>353851</v>
      </c>
      <c r="N186" s="174">
        <v>391403</v>
      </c>
      <c r="O186" s="174">
        <v>371386</v>
      </c>
      <c r="P186" s="174">
        <v>359318</v>
      </c>
      <c r="Q186" s="174">
        <v>351377</v>
      </c>
      <c r="R186" s="174">
        <v>373000</v>
      </c>
      <c r="S186" s="174">
        <v>321229</v>
      </c>
      <c r="T186" s="174">
        <v>310936</v>
      </c>
      <c r="U186" s="174">
        <v>285634</v>
      </c>
      <c r="V186" s="174">
        <v>356375</v>
      </c>
      <c r="W186" s="174">
        <v>340455</v>
      </c>
      <c r="X186" s="174">
        <v>293940</v>
      </c>
      <c r="Y186" s="174">
        <v>310990</v>
      </c>
      <c r="Z186" s="174">
        <v>340476</v>
      </c>
      <c r="AA186" s="174">
        <v>316749</v>
      </c>
      <c r="AB186" s="174">
        <v>282271</v>
      </c>
      <c r="AC186" s="174">
        <v>262518</v>
      </c>
      <c r="AD186" s="174">
        <v>268498</v>
      </c>
      <c r="AE186" s="174">
        <v>246757</v>
      </c>
      <c r="AF186" s="174">
        <v>215233</v>
      </c>
      <c r="AG186" s="174">
        <v>197020</v>
      </c>
      <c r="AH186" s="174">
        <v>276577</v>
      </c>
      <c r="AI186" s="174">
        <v>242045</v>
      </c>
      <c r="AJ186" s="174">
        <v>217404</v>
      </c>
      <c r="AK186" s="174">
        <v>176710</v>
      </c>
      <c r="AL186" s="174">
        <v>242652</v>
      </c>
      <c r="AM186" s="174">
        <v>207930</v>
      </c>
      <c r="AN186" s="174">
        <v>216744</v>
      </c>
      <c r="AO186" s="174">
        <v>181714</v>
      </c>
      <c r="AP186" s="175">
        <v>233092</v>
      </c>
    </row>
    <row r="187" spans="1:42" ht="16.5" thickTop="1" x14ac:dyDescent="0.35">
      <c r="G187" s="130"/>
      <c r="I187" s="132"/>
      <c r="J187" s="132"/>
      <c r="K187" s="130"/>
      <c r="L187" s="132"/>
      <c r="M187" s="133"/>
    </row>
    <row r="188" spans="1:42" x14ac:dyDescent="0.35">
      <c r="G188" s="218">
        <f t="shared" ref="G188" si="3">G3-G69</f>
        <v>0</v>
      </c>
      <c r="H188" s="218">
        <f t="shared" ref="H188:I188" si="4">H3-H69</f>
        <v>0</v>
      </c>
      <c r="I188" s="218">
        <f t="shared" si="4"/>
        <v>0</v>
      </c>
      <c r="J188" s="218">
        <f t="shared" ref="J188" si="5">J3-J69</f>
        <v>0</v>
      </c>
      <c r="K188" s="218">
        <f t="shared" ref="K188:L188" si="6">K3-K69</f>
        <v>0</v>
      </c>
      <c r="L188" s="218">
        <f t="shared" si="6"/>
        <v>0</v>
      </c>
      <c r="M188" s="218">
        <f t="shared" ref="M188" si="7">M3-M69</f>
        <v>0</v>
      </c>
      <c r="N188" s="133">
        <v>0</v>
      </c>
      <c r="O188" s="133">
        <v>0</v>
      </c>
      <c r="P188" s="134">
        <v>0</v>
      </c>
      <c r="Q188" s="133">
        <v>0</v>
      </c>
      <c r="R188" s="133">
        <v>0</v>
      </c>
      <c r="S188" s="134">
        <v>0</v>
      </c>
      <c r="T188" s="133">
        <v>0</v>
      </c>
      <c r="U188" s="133">
        <v>0</v>
      </c>
      <c r="V188" s="133">
        <v>0</v>
      </c>
      <c r="W188" s="133">
        <v>0</v>
      </c>
      <c r="X188" s="133">
        <v>0</v>
      </c>
      <c r="Y188" s="133">
        <v>0</v>
      </c>
      <c r="Z188" s="133">
        <v>0</v>
      </c>
      <c r="AA188" s="133">
        <v>0</v>
      </c>
      <c r="AB188" s="133">
        <v>0</v>
      </c>
      <c r="AC188" s="133">
        <v>0</v>
      </c>
      <c r="AD188" s="133">
        <v>0</v>
      </c>
      <c r="AE188" s="133">
        <v>0</v>
      </c>
      <c r="AF188" s="133">
        <v>0</v>
      </c>
      <c r="AG188" s="133">
        <v>0</v>
      </c>
      <c r="AH188" s="133">
        <v>0</v>
      </c>
      <c r="AI188" s="133">
        <v>0</v>
      </c>
      <c r="AJ188" s="133">
        <v>0</v>
      </c>
      <c r="AK188" s="133">
        <v>0</v>
      </c>
      <c r="AL188" s="133">
        <v>0</v>
      </c>
      <c r="AM188" s="133">
        <v>0</v>
      </c>
      <c r="AN188" s="133">
        <v>0</v>
      </c>
      <c r="AO188" s="133">
        <v>0</v>
      </c>
      <c r="AP188" s="133">
        <v>0</v>
      </c>
    </row>
    <row r="189" spans="1:42" x14ac:dyDescent="0.35">
      <c r="G189" s="218">
        <f t="shared" ref="G189" si="8">SUM(G4,G27)-G3</f>
        <v>0</v>
      </c>
      <c r="H189" s="218">
        <f t="shared" ref="H189:I189" si="9">SUM(H4,H27)-H3</f>
        <v>0</v>
      </c>
      <c r="I189" s="218">
        <f t="shared" si="9"/>
        <v>0</v>
      </c>
      <c r="J189" s="218">
        <f t="shared" ref="J189" si="10">SUM(J4,J27)-J3</f>
        <v>0</v>
      </c>
      <c r="K189" s="218">
        <f t="shared" ref="K189:L189" si="11">SUM(K4,K27)-K3</f>
        <v>0</v>
      </c>
      <c r="L189" s="218">
        <f t="shared" si="11"/>
        <v>0</v>
      </c>
      <c r="M189" s="218">
        <f t="shared" ref="M189" si="12">SUM(M4,M27)-M3</f>
        <v>0</v>
      </c>
      <c r="N189" s="133">
        <v>0</v>
      </c>
      <c r="O189" s="133">
        <v>0</v>
      </c>
      <c r="P189" s="134">
        <v>0</v>
      </c>
      <c r="Q189" s="133">
        <v>0</v>
      </c>
      <c r="R189" s="133">
        <v>0</v>
      </c>
      <c r="S189" s="134">
        <v>0</v>
      </c>
      <c r="T189" s="133">
        <v>0</v>
      </c>
      <c r="U189" s="133">
        <v>0</v>
      </c>
      <c r="V189" s="133">
        <v>0</v>
      </c>
      <c r="W189" s="133">
        <v>0</v>
      </c>
      <c r="X189" s="133">
        <v>0</v>
      </c>
      <c r="Y189" s="133">
        <v>0</v>
      </c>
      <c r="Z189" s="133">
        <v>0</v>
      </c>
      <c r="AA189" s="133">
        <v>0</v>
      </c>
      <c r="AB189" s="133">
        <v>0</v>
      </c>
      <c r="AC189" s="133">
        <v>0</v>
      </c>
      <c r="AD189" s="133">
        <v>0</v>
      </c>
      <c r="AE189" s="133">
        <v>0</v>
      </c>
      <c r="AF189" s="133">
        <v>0</v>
      </c>
      <c r="AG189" s="133">
        <v>0</v>
      </c>
      <c r="AH189" s="133">
        <v>0</v>
      </c>
      <c r="AI189" s="133">
        <v>0</v>
      </c>
      <c r="AJ189" s="133">
        <v>0</v>
      </c>
      <c r="AK189" s="133">
        <v>0</v>
      </c>
      <c r="AL189" s="133">
        <v>0</v>
      </c>
      <c r="AM189" s="133">
        <v>0</v>
      </c>
      <c r="AN189" s="133">
        <v>0</v>
      </c>
      <c r="AO189" s="133">
        <v>0</v>
      </c>
      <c r="AP189" s="133">
        <v>0</v>
      </c>
    </row>
    <row r="190" spans="1:42" x14ac:dyDescent="0.35">
      <c r="G190" s="218">
        <f t="shared" ref="G190" si="13">SUM(G5,G6,G12,G15,G16,G17,G19,G20)-G4</f>
        <v>0</v>
      </c>
      <c r="H190" s="218">
        <f t="shared" ref="H190:I190" si="14">SUM(H5,H6,H12,H15,H16,H17,H19,H20)-H4</f>
        <v>0</v>
      </c>
      <c r="I190" s="218">
        <f t="shared" si="14"/>
        <v>0</v>
      </c>
      <c r="J190" s="218">
        <f t="shared" ref="J190" si="15">SUM(J5,J6,J12,J15,J16,J17,J19,J20)-J4</f>
        <v>0</v>
      </c>
      <c r="K190" s="218">
        <f t="shared" ref="K190:L190" si="16">SUM(K5,K6,K12,K15,K16,K17,K19,K20)-K4</f>
        <v>0</v>
      </c>
      <c r="L190" s="218">
        <f t="shared" si="16"/>
        <v>0</v>
      </c>
      <c r="M190" s="218">
        <f t="shared" ref="M190" si="17">SUM(M5,M6,M12,M15,M16,M17,M19,M20)-M4</f>
        <v>0</v>
      </c>
      <c r="N190" s="133">
        <v>0</v>
      </c>
      <c r="O190" s="133">
        <v>0</v>
      </c>
      <c r="P190" s="134">
        <v>0</v>
      </c>
      <c r="Q190" s="133">
        <v>0</v>
      </c>
      <c r="R190" s="133">
        <v>0</v>
      </c>
      <c r="S190" s="134">
        <v>0</v>
      </c>
      <c r="T190" s="133">
        <v>0</v>
      </c>
      <c r="U190" s="133">
        <v>0</v>
      </c>
      <c r="V190" s="133">
        <v>0</v>
      </c>
      <c r="W190" s="133">
        <v>0</v>
      </c>
      <c r="X190" s="133">
        <v>0</v>
      </c>
      <c r="Y190" s="133">
        <v>0</v>
      </c>
      <c r="Z190" s="133">
        <v>0</v>
      </c>
      <c r="AA190" s="133">
        <v>0</v>
      </c>
      <c r="AB190" s="133">
        <v>0</v>
      </c>
      <c r="AC190" s="133">
        <v>0</v>
      </c>
      <c r="AD190" s="133">
        <v>0</v>
      </c>
      <c r="AE190" s="133">
        <v>0</v>
      </c>
      <c r="AF190" s="133">
        <v>0</v>
      </c>
      <c r="AG190" s="133">
        <v>0</v>
      </c>
      <c r="AH190" s="133">
        <v>0</v>
      </c>
      <c r="AI190" s="133">
        <v>0</v>
      </c>
      <c r="AJ190" s="133">
        <v>0</v>
      </c>
      <c r="AK190" s="133">
        <v>0</v>
      </c>
      <c r="AL190" s="133">
        <v>0</v>
      </c>
      <c r="AM190" s="133">
        <v>0</v>
      </c>
      <c r="AN190" s="133">
        <v>0</v>
      </c>
      <c r="AO190" s="133">
        <v>0</v>
      </c>
      <c r="AP190" s="133">
        <v>0</v>
      </c>
    </row>
    <row r="191" spans="1:42" x14ac:dyDescent="0.35">
      <c r="G191" s="218">
        <f t="shared" ref="G191" si="18">SUM(G13:G14)-G12</f>
        <v>0</v>
      </c>
      <c r="H191" s="218">
        <f t="shared" ref="H191:I191" si="19">SUM(H13:H14)-H12</f>
        <v>0</v>
      </c>
      <c r="I191" s="218">
        <f t="shared" si="19"/>
        <v>0</v>
      </c>
      <c r="J191" s="218">
        <f t="shared" ref="J191" si="20">SUM(J13:J14)-J12</f>
        <v>0</v>
      </c>
      <c r="K191" s="218">
        <f t="shared" ref="K191:L191" si="21">SUM(K13:K14)-K12</f>
        <v>0</v>
      </c>
      <c r="L191" s="218">
        <f t="shared" si="21"/>
        <v>0</v>
      </c>
      <c r="M191" s="218">
        <f t="shared" ref="M191" si="22">SUM(M13:M14)-M12</f>
        <v>0</v>
      </c>
      <c r="N191" s="133">
        <v>0</v>
      </c>
      <c r="O191" s="133">
        <v>0</v>
      </c>
      <c r="P191" s="134">
        <v>0</v>
      </c>
      <c r="Q191" s="133">
        <v>0</v>
      </c>
      <c r="R191" s="133">
        <v>0</v>
      </c>
      <c r="S191" s="134">
        <v>0</v>
      </c>
      <c r="T191" s="133">
        <v>0</v>
      </c>
      <c r="U191" s="133">
        <v>0</v>
      </c>
      <c r="V191" s="133">
        <v>0</v>
      </c>
      <c r="W191" s="133">
        <v>0</v>
      </c>
      <c r="X191" s="133">
        <v>0</v>
      </c>
      <c r="Y191" s="133">
        <v>0</v>
      </c>
      <c r="Z191" s="133">
        <v>0</v>
      </c>
      <c r="AA191" s="133">
        <v>0</v>
      </c>
      <c r="AB191" s="133">
        <v>0</v>
      </c>
      <c r="AC191" s="133">
        <v>0</v>
      </c>
      <c r="AD191" s="133">
        <v>0</v>
      </c>
      <c r="AE191" s="133">
        <v>0</v>
      </c>
      <c r="AF191" s="133">
        <v>0</v>
      </c>
      <c r="AG191" s="133">
        <v>0</v>
      </c>
      <c r="AH191" s="133">
        <v>0</v>
      </c>
      <c r="AI191" s="133">
        <v>0</v>
      </c>
      <c r="AJ191" s="133">
        <v>0</v>
      </c>
      <c r="AK191" s="133">
        <v>0</v>
      </c>
      <c r="AL191" s="133">
        <v>0</v>
      </c>
      <c r="AM191" s="133">
        <v>0</v>
      </c>
      <c r="AN191" s="133">
        <v>0</v>
      </c>
      <c r="AO191" s="133">
        <v>0</v>
      </c>
      <c r="AP191" s="133">
        <v>0</v>
      </c>
    </row>
    <row r="192" spans="1:42" x14ac:dyDescent="0.35">
      <c r="G192" s="218">
        <f t="shared" ref="G192" si="23">SUM(G18)-G17</f>
        <v>0</v>
      </c>
      <c r="H192" s="218">
        <f t="shared" ref="H192:I192" si="24">SUM(H18)-H17</f>
        <v>0</v>
      </c>
      <c r="I192" s="218">
        <f t="shared" si="24"/>
        <v>0</v>
      </c>
      <c r="J192" s="218">
        <f t="shared" ref="J192" si="25">SUM(J18)-J17</f>
        <v>0</v>
      </c>
      <c r="K192" s="218">
        <f t="shared" ref="K192:L192" si="26">SUM(K18)-K17</f>
        <v>0</v>
      </c>
      <c r="L192" s="218">
        <f t="shared" si="26"/>
        <v>0</v>
      </c>
      <c r="M192" s="218">
        <f t="shared" ref="M192" si="27">SUM(M18)-M17</f>
        <v>0</v>
      </c>
      <c r="N192" s="133">
        <v>0</v>
      </c>
      <c r="O192" s="133">
        <v>0</v>
      </c>
      <c r="P192" s="134">
        <v>0</v>
      </c>
      <c r="Q192" s="133">
        <v>0</v>
      </c>
      <c r="R192" s="133">
        <v>0</v>
      </c>
      <c r="S192" s="134">
        <v>0</v>
      </c>
      <c r="T192" s="133">
        <v>0</v>
      </c>
      <c r="U192" s="133">
        <v>0</v>
      </c>
      <c r="V192" s="133">
        <v>0</v>
      </c>
      <c r="W192" s="133">
        <v>0</v>
      </c>
      <c r="X192" s="133">
        <v>0</v>
      </c>
      <c r="Y192" s="133">
        <v>0</v>
      </c>
      <c r="Z192" s="133">
        <v>0</v>
      </c>
      <c r="AA192" s="133">
        <v>0</v>
      </c>
      <c r="AB192" s="133">
        <v>0</v>
      </c>
      <c r="AC192" s="133">
        <v>0</v>
      </c>
      <c r="AD192" s="133">
        <v>0</v>
      </c>
      <c r="AE192" s="133">
        <v>0</v>
      </c>
      <c r="AF192" s="133">
        <v>0</v>
      </c>
      <c r="AG192" s="133">
        <v>0</v>
      </c>
      <c r="AH192" s="133">
        <v>0</v>
      </c>
      <c r="AI192" s="133">
        <v>0</v>
      </c>
      <c r="AJ192" s="133">
        <v>0</v>
      </c>
      <c r="AK192" s="133">
        <v>0</v>
      </c>
      <c r="AL192" s="133">
        <v>0</v>
      </c>
      <c r="AM192" s="133">
        <v>0</v>
      </c>
      <c r="AN192" s="133">
        <v>0</v>
      </c>
      <c r="AO192" s="133">
        <v>0</v>
      </c>
      <c r="AP192" s="133">
        <v>0</v>
      </c>
    </row>
    <row r="193" spans="7:42" x14ac:dyDescent="0.35">
      <c r="G193" s="218">
        <f t="shared" ref="G193" si="28">SUM(G21:G23)-G20</f>
        <v>0</v>
      </c>
      <c r="H193" s="218">
        <f t="shared" ref="H193:I193" si="29">SUM(H21:H23)-H20</f>
        <v>0</v>
      </c>
      <c r="I193" s="218">
        <f t="shared" si="29"/>
        <v>0</v>
      </c>
      <c r="J193" s="218">
        <f t="shared" ref="J193" si="30">SUM(J21:J23)-J20</f>
        <v>0</v>
      </c>
      <c r="K193" s="218">
        <f t="shared" ref="K193:L193" si="31">SUM(K21:K23)-K20</f>
        <v>0</v>
      </c>
      <c r="L193" s="218">
        <f t="shared" si="31"/>
        <v>0</v>
      </c>
      <c r="M193" s="218">
        <f t="shared" ref="M193" si="32">SUM(M21:M23)-M20</f>
        <v>0</v>
      </c>
      <c r="N193" s="133">
        <v>0</v>
      </c>
      <c r="O193" s="133">
        <v>0</v>
      </c>
      <c r="P193" s="134">
        <v>0</v>
      </c>
      <c r="Q193" s="133">
        <v>0</v>
      </c>
      <c r="R193" s="133">
        <v>0</v>
      </c>
      <c r="S193" s="134">
        <v>0</v>
      </c>
      <c r="T193" s="133">
        <v>0</v>
      </c>
      <c r="U193" s="133">
        <v>0</v>
      </c>
      <c r="V193" s="133">
        <v>0</v>
      </c>
      <c r="W193" s="133">
        <v>0</v>
      </c>
      <c r="X193" s="133">
        <v>0</v>
      </c>
      <c r="Y193" s="133">
        <v>0</v>
      </c>
      <c r="Z193" s="133">
        <v>0</v>
      </c>
      <c r="AA193" s="133">
        <v>0</v>
      </c>
      <c r="AB193" s="133">
        <v>0</v>
      </c>
      <c r="AC193" s="133">
        <v>0</v>
      </c>
      <c r="AD193" s="133">
        <v>0</v>
      </c>
      <c r="AE193" s="133">
        <v>0</v>
      </c>
      <c r="AF193" s="133">
        <v>0</v>
      </c>
      <c r="AG193" s="133">
        <v>0</v>
      </c>
      <c r="AH193" s="133">
        <v>0</v>
      </c>
      <c r="AI193" s="133">
        <v>0</v>
      </c>
      <c r="AJ193" s="133">
        <v>0</v>
      </c>
      <c r="AK193" s="133">
        <v>0</v>
      </c>
      <c r="AL193" s="133">
        <v>0</v>
      </c>
      <c r="AM193" s="133">
        <v>0</v>
      </c>
      <c r="AN193" s="133">
        <v>0</v>
      </c>
      <c r="AO193" s="133">
        <v>0</v>
      </c>
      <c r="AP193" s="133">
        <v>0</v>
      </c>
    </row>
    <row r="194" spans="7:42" x14ac:dyDescent="0.35">
      <c r="G194" s="218">
        <f t="shared" ref="G194" si="33">SUM(G24:G26)-G23</f>
        <v>0</v>
      </c>
      <c r="H194" s="218">
        <f t="shared" ref="H194:I194" si="34">SUM(H24:H26)-H23</f>
        <v>0</v>
      </c>
      <c r="I194" s="218">
        <f t="shared" si="34"/>
        <v>0</v>
      </c>
      <c r="J194" s="218">
        <f t="shared" ref="J194" si="35">SUM(J24:J26)-J23</f>
        <v>0</v>
      </c>
      <c r="K194" s="218">
        <f t="shared" ref="K194:L194" si="36">SUM(K24:K26)-K23</f>
        <v>0</v>
      </c>
      <c r="L194" s="218">
        <f t="shared" si="36"/>
        <v>0</v>
      </c>
      <c r="M194" s="218">
        <f t="shared" ref="M194" si="37">SUM(M24:M26)-M23</f>
        <v>0</v>
      </c>
      <c r="N194" s="133">
        <v>0</v>
      </c>
      <c r="O194" s="133">
        <v>0</v>
      </c>
      <c r="P194" s="134">
        <v>0</v>
      </c>
      <c r="Q194" s="133">
        <v>0</v>
      </c>
      <c r="R194" s="133">
        <v>0</v>
      </c>
      <c r="S194" s="134">
        <v>0</v>
      </c>
      <c r="T194" s="133">
        <v>0</v>
      </c>
      <c r="U194" s="133">
        <v>0</v>
      </c>
      <c r="V194" s="133">
        <v>0</v>
      </c>
      <c r="W194" s="133">
        <v>0</v>
      </c>
      <c r="X194" s="133">
        <v>0</v>
      </c>
      <c r="Y194" s="133">
        <v>0</v>
      </c>
      <c r="Z194" s="133">
        <v>0</v>
      </c>
      <c r="AA194" s="133">
        <v>0</v>
      </c>
      <c r="AB194" s="133">
        <v>0</v>
      </c>
      <c r="AC194" s="133">
        <v>0</v>
      </c>
      <c r="AD194" s="133">
        <v>0</v>
      </c>
      <c r="AE194" s="133">
        <v>0</v>
      </c>
      <c r="AF194" s="133">
        <v>0</v>
      </c>
      <c r="AG194" s="133">
        <v>0</v>
      </c>
      <c r="AH194" s="133">
        <v>0</v>
      </c>
      <c r="AI194" s="133">
        <v>0</v>
      </c>
      <c r="AJ194" s="133">
        <v>0</v>
      </c>
      <c r="AK194" s="133">
        <v>0</v>
      </c>
      <c r="AL194" s="133">
        <v>0</v>
      </c>
      <c r="AM194" s="133">
        <v>0</v>
      </c>
      <c r="AN194" s="133">
        <v>0</v>
      </c>
      <c r="AO194" s="133">
        <v>0</v>
      </c>
      <c r="AP194" s="133">
        <v>0</v>
      </c>
    </row>
    <row r="195" spans="7:42" x14ac:dyDescent="0.35">
      <c r="G195" s="218">
        <f t="shared" ref="G195" si="38">SUM(G28,G52,G58,G62)-G27</f>
        <v>0</v>
      </c>
      <c r="H195" s="218">
        <f t="shared" ref="H195:I195" si="39">SUM(H28,H52,H58,H62)-H27</f>
        <v>0</v>
      </c>
      <c r="I195" s="218">
        <f t="shared" si="39"/>
        <v>0</v>
      </c>
      <c r="J195" s="218">
        <f t="shared" ref="J195" si="40">SUM(J28,J52,J58,J62)-J27</f>
        <v>0</v>
      </c>
      <c r="K195" s="218">
        <f t="shared" ref="K195:L195" si="41">SUM(K28,K52,K58,K62)-K27</f>
        <v>0</v>
      </c>
      <c r="L195" s="218">
        <f t="shared" si="41"/>
        <v>0</v>
      </c>
      <c r="M195" s="218">
        <f t="shared" ref="M195" si="42">SUM(M28,M52,M58,M62)-M27</f>
        <v>0</v>
      </c>
      <c r="N195" s="133">
        <v>0</v>
      </c>
      <c r="O195" s="133">
        <v>0</v>
      </c>
      <c r="P195" s="134">
        <v>0</v>
      </c>
      <c r="Q195" s="133">
        <v>0</v>
      </c>
      <c r="R195" s="133">
        <v>0</v>
      </c>
      <c r="S195" s="134">
        <v>0</v>
      </c>
      <c r="T195" s="133">
        <v>0</v>
      </c>
      <c r="U195" s="133">
        <v>0</v>
      </c>
      <c r="V195" s="133">
        <v>0</v>
      </c>
      <c r="W195" s="133">
        <v>0</v>
      </c>
      <c r="X195" s="133">
        <v>0</v>
      </c>
      <c r="Y195" s="133">
        <v>0</v>
      </c>
      <c r="Z195" s="133">
        <v>0</v>
      </c>
      <c r="AA195" s="133">
        <v>0</v>
      </c>
      <c r="AB195" s="133">
        <v>0</v>
      </c>
      <c r="AC195" s="133">
        <v>0</v>
      </c>
      <c r="AD195" s="133">
        <v>0</v>
      </c>
      <c r="AE195" s="133">
        <v>0</v>
      </c>
      <c r="AF195" s="133">
        <v>0</v>
      </c>
      <c r="AG195" s="133">
        <v>0</v>
      </c>
      <c r="AH195" s="133">
        <v>0</v>
      </c>
      <c r="AI195" s="133">
        <v>0</v>
      </c>
      <c r="AJ195" s="133">
        <v>0</v>
      </c>
      <c r="AK195" s="133">
        <v>0</v>
      </c>
      <c r="AL195" s="133">
        <v>0</v>
      </c>
      <c r="AM195" s="133">
        <v>0</v>
      </c>
      <c r="AN195" s="133">
        <v>0</v>
      </c>
      <c r="AO195" s="133">
        <v>0</v>
      </c>
      <c r="AP195" s="133">
        <v>0</v>
      </c>
    </row>
    <row r="196" spans="7:42" x14ac:dyDescent="0.35">
      <c r="G196" s="218">
        <f t="shared" ref="G196" si="43">SUM(G29,G31,G32,G33,G36,G37,G38,G40,G41,G45)-G28</f>
        <v>0</v>
      </c>
      <c r="H196" s="218">
        <f t="shared" ref="H196:I196" si="44">SUM(H29,H31,H32,H33,H36,H37,H38,H40,H41,H45)-H28</f>
        <v>0</v>
      </c>
      <c r="I196" s="218">
        <f t="shared" si="44"/>
        <v>0</v>
      </c>
      <c r="J196" s="218">
        <f t="shared" ref="J196" si="45">SUM(J29,J31,J32,J33,J36,J37,J38,J40,J41,J45)-J28</f>
        <v>0</v>
      </c>
      <c r="K196" s="218">
        <f t="shared" ref="K196:L196" si="46">SUM(K29,K31,K32,K33,K36,K37,K38,K40,K41,K45)-K28</f>
        <v>0</v>
      </c>
      <c r="L196" s="218">
        <f t="shared" si="46"/>
        <v>0</v>
      </c>
      <c r="M196" s="218">
        <f t="shared" ref="M196" si="47">SUM(M29,M31,M32,M33,M36,M37,M38,M40,M41,M45)-M28</f>
        <v>0</v>
      </c>
      <c r="N196" s="133">
        <v>0</v>
      </c>
      <c r="O196" s="133">
        <v>0</v>
      </c>
      <c r="P196" s="134">
        <v>0</v>
      </c>
      <c r="Q196" s="133">
        <v>0</v>
      </c>
      <c r="R196" s="133">
        <v>0</v>
      </c>
      <c r="S196" s="134">
        <v>0</v>
      </c>
      <c r="T196" s="133">
        <v>0</v>
      </c>
      <c r="U196" s="133">
        <v>0</v>
      </c>
      <c r="V196" s="133">
        <v>0</v>
      </c>
      <c r="W196" s="133">
        <v>0</v>
      </c>
      <c r="X196" s="133">
        <v>0</v>
      </c>
      <c r="Y196" s="133">
        <v>0</v>
      </c>
      <c r="Z196" s="133">
        <v>0</v>
      </c>
      <c r="AA196" s="133">
        <v>0</v>
      </c>
      <c r="AB196" s="133">
        <v>0</v>
      </c>
      <c r="AC196" s="133">
        <v>0</v>
      </c>
      <c r="AD196" s="133">
        <v>0</v>
      </c>
      <c r="AE196" s="133">
        <v>0</v>
      </c>
      <c r="AF196" s="133">
        <v>0</v>
      </c>
      <c r="AG196" s="133">
        <v>0</v>
      </c>
      <c r="AH196" s="133">
        <v>0</v>
      </c>
      <c r="AI196" s="133">
        <v>0</v>
      </c>
      <c r="AJ196" s="133">
        <v>0</v>
      </c>
      <c r="AK196" s="133">
        <v>0</v>
      </c>
      <c r="AL196" s="133">
        <v>0</v>
      </c>
      <c r="AM196" s="133">
        <v>0</v>
      </c>
      <c r="AN196" s="133">
        <v>0</v>
      </c>
      <c r="AO196" s="133">
        <v>0</v>
      </c>
      <c r="AP196" s="133">
        <v>0</v>
      </c>
    </row>
    <row r="197" spans="7:42" x14ac:dyDescent="0.35">
      <c r="G197" s="218">
        <f t="shared" ref="G197" si="48">SUM(G39)-G38</f>
        <v>0</v>
      </c>
      <c r="H197" s="218">
        <f t="shared" ref="H197:I197" si="49">SUM(H39)-H38</f>
        <v>0</v>
      </c>
      <c r="I197" s="218">
        <f t="shared" si="49"/>
        <v>0</v>
      </c>
      <c r="J197" s="218">
        <f t="shared" ref="J197" si="50">SUM(J39)-J38</f>
        <v>0</v>
      </c>
      <c r="K197" s="218">
        <f t="shared" ref="K197:L197" si="51">SUM(K39)-K38</f>
        <v>0</v>
      </c>
      <c r="L197" s="218">
        <f t="shared" si="51"/>
        <v>0</v>
      </c>
      <c r="M197" s="218">
        <f t="shared" ref="M197" si="52">SUM(M39)-M38</f>
        <v>0</v>
      </c>
      <c r="N197" s="133">
        <v>0</v>
      </c>
      <c r="O197" s="133">
        <v>0</v>
      </c>
      <c r="P197" s="134">
        <v>0</v>
      </c>
      <c r="Q197" s="133">
        <v>0</v>
      </c>
      <c r="R197" s="133">
        <v>0</v>
      </c>
      <c r="S197" s="134">
        <v>0</v>
      </c>
      <c r="T197" s="133">
        <v>0</v>
      </c>
      <c r="U197" s="133">
        <v>0</v>
      </c>
      <c r="V197" s="133">
        <v>0</v>
      </c>
      <c r="W197" s="133">
        <v>0</v>
      </c>
      <c r="X197" s="133">
        <v>0</v>
      </c>
      <c r="Y197" s="133">
        <v>0</v>
      </c>
      <c r="Z197" s="133">
        <v>0</v>
      </c>
      <c r="AA197" s="133">
        <v>0</v>
      </c>
      <c r="AB197" s="133">
        <v>0</v>
      </c>
      <c r="AC197" s="133">
        <v>0</v>
      </c>
      <c r="AD197" s="133">
        <v>0</v>
      </c>
      <c r="AE197" s="133">
        <v>0</v>
      </c>
      <c r="AF197" s="133">
        <v>0</v>
      </c>
      <c r="AG197" s="133">
        <v>0</v>
      </c>
      <c r="AH197" s="133">
        <v>0</v>
      </c>
      <c r="AI197" s="133">
        <v>0</v>
      </c>
      <c r="AJ197" s="133">
        <v>0</v>
      </c>
      <c r="AK197" s="133">
        <v>0</v>
      </c>
      <c r="AL197" s="133">
        <v>0</v>
      </c>
      <c r="AM197" s="133">
        <v>0</v>
      </c>
      <c r="AN197" s="133">
        <v>0</v>
      </c>
      <c r="AO197" s="133">
        <v>0</v>
      </c>
      <c r="AP197" s="133">
        <v>0</v>
      </c>
    </row>
    <row r="198" spans="7:42" x14ac:dyDescent="0.35">
      <c r="G198" s="218">
        <f t="shared" ref="G198" si="53">SUM(G42:G44)-G41</f>
        <v>0</v>
      </c>
      <c r="H198" s="218">
        <f t="shared" ref="H198:I198" si="54">SUM(H42:H44)-H41</f>
        <v>0</v>
      </c>
      <c r="I198" s="218">
        <f t="shared" si="54"/>
        <v>0</v>
      </c>
      <c r="J198" s="218">
        <f t="shared" ref="J198" si="55">SUM(J42:J44)-J41</f>
        <v>0</v>
      </c>
      <c r="K198" s="218">
        <f t="shared" ref="K198:L198" si="56">SUM(K42:K44)-K41</f>
        <v>0</v>
      </c>
      <c r="L198" s="218">
        <f t="shared" si="56"/>
        <v>0</v>
      </c>
      <c r="M198" s="218">
        <f t="shared" ref="M198" si="57">SUM(M42:M44)-M41</f>
        <v>0</v>
      </c>
      <c r="N198" s="133">
        <v>0</v>
      </c>
      <c r="O198" s="133">
        <v>0</v>
      </c>
      <c r="P198" s="134">
        <v>0</v>
      </c>
      <c r="Q198" s="133">
        <v>0</v>
      </c>
      <c r="R198" s="133">
        <v>0</v>
      </c>
      <c r="S198" s="134">
        <v>0</v>
      </c>
      <c r="T198" s="133">
        <v>0</v>
      </c>
      <c r="U198" s="133">
        <v>0</v>
      </c>
      <c r="V198" s="133">
        <v>0</v>
      </c>
      <c r="W198" s="133">
        <v>0</v>
      </c>
      <c r="X198" s="133">
        <v>0</v>
      </c>
      <c r="Y198" s="133">
        <v>0</v>
      </c>
      <c r="Z198" s="133">
        <v>0</v>
      </c>
      <c r="AA198" s="133">
        <v>0</v>
      </c>
      <c r="AB198" s="133">
        <v>0</v>
      </c>
      <c r="AC198" s="133">
        <v>0</v>
      </c>
      <c r="AD198" s="133">
        <v>0</v>
      </c>
      <c r="AE198" s="133">
        <v>0</v>
      </c>
      <c r="AF198" s="133">
        <v>0</v>
      </c>
      <c r="AG198" s="133">
        <v>0</v>
      </c>
      <c r="AH198" s="133">
        <v>0</v>
      </c>
      <c r="AI198" s="133">
        <v>0</v>
      </c>
      <c r="AJ198" s="133">
        <v>0</v>
      </c>
      <c r="AK198" s="133">
        <v>0</v>
      </c>
      <c r="AL198" s="133">
        <v>0</v>
      </c>
      <c r="AM198" s="133">
        <v>0</v>
      </c>
      <c r="AN198" s="133">
        <v>0</v>
      </c>
      <c r="AO198" s="133">
        <v>0</v>
      </c>
      <c r="AP198" s="133">
        <v>0</v>
      </c>
    </row>
    <row r="199" spans="7:42" x14ac:dyDescent="0.35">
      <c r="G199" s="218">
        <f t="shared" ref="G199" si="58">SUM(G46:G51)-G45</f>
        <v>0</v>
      </c>
      <c r="H199" s="218">
        <f t="shared" ref="H199:I199" si="59">SUM(H46:H51)-H45</f>
        <v>0</v>
      </c>
      <c r="I199" s="218">
        <f t="shared" si="59"/>
        <v>0</v>
      </c>
      <c r="J199" s="218">
        <f t="shared" ref="J199" si="60">SUM(J46:J51)-J45</f>
        <v>0</v>
      </c>
      <c r="K199" s="218">
        <f t="shared" ref="K199:L199" si="61">SUM(K46:K51)-K45</f>
        <v>0</v>
      </c>
      <c r="L199" s="218">
        <f t="shared" si="61"/>
        <v>0</v>
      </c>
      <c r="M199" s="218">
        <f t="shared" ref="M199" si="62">SUM(M46:M51)-M45</f>
        <v>0</v>
      </c>
      <c r="N199" s="133">
        <v>0</v>
      </c>
      <c r="O199" s="133">
        <v>0</v>
      </c>
      <c r="P199" s="134">
        <v>0</v>
      </c>
      <c r="Q199" s="133">
        <v>0</v>
      </c>
      <c r="R199" s="133">
        <v>0</v>
      </c>
      <c r="S199" s="134">
        <v>0</v>
      </c>
      <c r="T199" s="133">
        <v>0</v>
      </c>
      <c r="U199" s="133">
        <v>0</v>
      </c>
      <c r="V199" s="133">
        <v>0</v>
      </c>
      <c r="W199" s="133">
        <v>0</v>
      </c>
      <c r="X199" s="133">
        <v>0</v>
      </c>
      <c r="Y199" s="133">
        <v>0</v>
      </c>
      <c r="Z199" s="133">
        <v>0</v>
      </c>
      <c r="AA199" s="133">
        <v>0</v>
      </c>
      <c r="AB199" s="133">
        <v>0</v>
      </c>
      <c r="AC199" s="133">
        <v>0</v>
      </c>
      <c r="AD199" s="133">
        <v>0</v>
      </c>
      <c r="AE199" s="133">
        <v>0</v>
      </c>
      <c r="AF199" s="133">
        <v>0</v>
      </c>
      <c r="AG199" s="133">
        <v>0</v>
      </c>
      <c r="AH199" s="133">
        <v>0</v>
      </c>
      <c r="AI199" s="133">
        <v>0</v>
      </c>
      <c r="AJ199" s="133">
        <v>0</v>
      </c>
      <c r="AK199" s="133">
        <v>0</v>
      </c>
      <c r="AL199" s="133">
        <v>0</v>
      </c>
      <c r="AM199" s="133">
        <v>0</v>
      </c>
      <c r="AN199" s="133">
        <v>0</v>
      </c>
      <c r="AO199" s="133">
        <v>0</v>
      </c>
      <c r="AP199" s="133">
        <v>0</v>
      </c>
    </row>
    <row r="200" spans="7:42" x14ac:dyDescent="0.35">
      <c r="G200" s="218">
        <f t="shared" ref="G200" si="63">SUM(G53,G57)-G52</f>
        <v>0</v>
      </c>
      <c r="H200" s="218">
        <f t="shared" ref="H200:I200" si="64">SUM(H53,H57)-H52</f>
        <v>0</v>
      </c>
      <c r="I200" s="218">
        <f t="shared" si="64"/>
        <v>0</v>
      </c>
      <c r="J200" s="218">
        <f t="shared" ref="J200" si="65">SUM(J53,J57)-J52</f>
        <v>0</v>
      </c>
      <c r="K200" s="218">
        <f t="shared" ref="K200:L200" si="66">SUM(K53,K57)-K52</f>
        <v>0</v>
      </c>
      <c r="L200" s="218">
        <f t="shared" si="66"/>
        <v>0</v>
      </c>
      <c r="M200" s="218">
        <f t="shared" ref="M200" si="67">SUM(M53,M57)-M52</f>
        <v>0</v>
      </c>
      <c r="N200" s="133">
        <v>0</v>
      </c>
      <c r="O200" s="133">
        <v>0</v>
      </c>
      <c r="P200" s="134">
        <v>0</v>
      </c>
      <c r="Q200" s="133">
        <v>0</v>
      </c>
      <c r="R200" s="133">
        <v>0</v>
      </c>
      <c r="S200" s="134">
        <v>0</v>
      </c>
      <c r="T200" s="133">
        <v>0</v>
      </c>
      <c r="U200" s="133">
        <v>0</v>
      </c>
      <c r="V200" s="133">
        <v>0</v>
      </c>
      <c r="W200" s="133">
        <v>0</v>
      </c>
      <c r="X200" s="133">
        <v>0</v>
      </c>
      <c r="Y200" s="133">
        <v>0</v>
      </c>
      <c r="Z200" s="133">
        <v>0</v>
      </c>
      <c r="AA200" s="133">
        <v>0</v>
      </c>
      <c r="AB200" s="133">
        <v>0</v>
      </c>
      <c r="AC200" s="133">
        <v>0</v>
      </c>
      <c r="AD200" s="133">
        <v>0</v>
      </c>
      <c r="AE200" s="133">
        <v>0</v>
      </c>
      <c r="AF200" s="133">
        <v>0</v>
      </c>
      <c r="AG200" s="133">
        <v>0</v>
      </c>
      <c r="AH200" s="133">
        <v>0</v>
      </c>
      <c r="AI200" s="133">
        <v>0</v>
      </c>
      <c r="AJ200" s="133">
        <v>0</v>
      </c>
      <c r="AK200" s="133">
        <v>0</v>
      </c>
      <c r="AL200" s="133">
        <v>0</v>
      </c>
      <c r="AM200" s="133">
        <v>0</v>
      </c>
      <c r="AN200" s="133">
        <v>0</v>
      </c>
      <c r="AO200" s="133">
        <v>0</v>
      </c>
      <c r="AP200" s="133">
        <v>0</v>
      </c>
    </row>
    <row r="201" spans="7:42" x14ac:dyDescent="0.35">
      <c r="G201" s="218">
        <f t="shared" ref="G201" si="68">SUM(G54:G56)-G53</f>
        <v>0</v>
      </c>
      <c r="H201" s="218">
        <f t="shared" ref="H201:I201" si="69">SUM(H54:H56)-H53</f>
        <v>0</v>
      </c>
      <c r="I201" s="218">
        <f t="shared" si="69"/>
        <v>0</v>
      </c>
      <c r="J201" s="218">
        <f t="shared" ref="J201" si="70">SUM(J54:J56)-J53</f>
        <v>0</v>
      </c>
      <c r="K201" s="218">
        <f t="shared" ref="K201:L201" si="71">SUM(K54:K56)-K53</f>
        <v>0</v>
      </c>
      <c r="L201" s="218">
        <f t="shared" si="71"/>
        <v>0</v>
      </c>
      <c r="M201" s="218">
        <f t="shared" ref="M201" si="72">SUM(M54:M56)-M53</f>
        <v>0</v>
      </c>
      <c r="N201" s="133">
        <v>0</v>
      </c>
      <c r="O201" s="133">
        <v>0</v>
      </c>
      <c r="P201" s="134">
        <v>0</v>
      </c>
      <c r="Q201" s="133">
        <v>0</v>
      </c>
      <c r="R201" s="133">
        <v>0</v>
      </c>
      <c r="S201" s="134">
        <v>0</v>
      </c>
      <c r="T201" s="133">
        <v>0</v>
      </c>
      <c r="U201" s="133">
        <v>0</v>
      </c>
      <c r="V201" s="133">
        <v>0</v>
      </c>
      <c r="W201" s="133">
        <v>0</v>
      </c>
      <c r="X201" s="133">
        <v>0</v>
      </c>
      <c r="Y201" s="133">
        <v>0</v>
      </c>
      <c r="Z201" s="133">
        <v>0</v>
      </c>
      <c r="AA201" s="133">
        <v>0</v>
      </c>
      <c r="AB201" s="133">
        <v>0</v>
      </c>
      <c r="AC201" s="133">
        <v>0</v>
      </c>
      <c r="AD201" s="133">
        <v>0</v>
      </c>
      <c r="AE201" s="133">
        <v>0</v>
      </c>
      <c r="AF201" s="133">
        <v>0</v>
      </c>
      <c r="AG201" s="133">
        <v>0</v>
      </c>
      <c r="AH201" s="133">
        <v>0</v>
      </c>
      <c r="AI201" s="133">
        <v>0</v>
      </c>
      <c r="AJ201" s="133">
        <v>0</v>
      </c>
      <c r="AK201" s="133">
        <v>0</v>
      </c>
      <c r="AL201" s="133">
        <v>0</v>
      </c>
      <c r="AM201" s="133">
        <v>0</v>
      </c>
      <c r="AN201" s="133">
        <v>0</v>
      </c>
      <c r="AO201" s="133">
        <v>0</v>
      </c>
      <c r="AP201" s="133">
        <v>0</v>
      </c>
    </row>
    <row r="202" spans="7:42" x14ac:dyDescent="0.35">
      <c r="G202" s="218">
        <f t="shared" ref="G202" si="73">SUM(G59:G61)-G58</f>
        <v>0</v>
      </c>
      <c r="H202" s="218">
        <f t="shared" ref="H202:I202" si="74">SUM(H59:H61)-H58</f>
        <v>0</v>
      </c>
      <c r="I202" s="218">
        <f t="shared" si="74"/>
        <v>0</v>
      </c>
      <c r="J202" s="218">
        <f t="shared" ref="J202" si="75">SUM(J59:J61)-J58</f>
        <v>0</v>
      </c>
      <c r="K202" s="218">
        <f t="shared" ref="K202:L202" si="76">SUM(K59:K61)-K58</f>
        <v>0</v>
      </c>
      <c r="L202" s="218">
        <f t="shared" si="76"/>
        <v>0</v>
      </c>
      <c r="M202" s="218">
        <f t="shared" ref="M202" si="77">SUM(M59:M61)-M58</f>
        <v>0</v>
      </c>
      <c r="N202" s="133">
        <v>0</v>
      </c>
      <c r="O202" s="133">
        <v>0</v>
      </c>
      <c r="P202" s="134">
        <v>0</v>
      </c>
      <c r="Q202" s="133">
        <v>0</v>
      </c>
      <c r="R202" s="133">
        <v>0</v>
      </c>
      <c r="S202" s="134">
        <v>0</v>
      </c>
      <c r="T202" s="133">
        <v>0</v>
      </c>
      <c r="U202" s="133">
        <v>0</v>
      </c>
      <c r="V202" s="133">
        <v>0</v>
      </c>
      <c r="W202" s="133">
        <v>0</v>
      </c>
      <c r="X202" s="133">
        <v>0</v>
      </c>
      <c r="Y202" s="133">
        <v>0</v>
      </c>
      <c r="Z202" s="133">
        <v>0</v>
      </c>
      <c r="AA202" s="133">
        <v>0</v>
      </c>
      <c r="AB202" s="133">
        <v>0</v>
      </c>
      <c r="AC202" s="133">
        <v>0</v>
      </c>
      <c r="AD202" s="133">
        <v>0</v>
      </c>
      <c r="AE202" s="133">
        <v>0</v>
      </c>
      <c r="AF202" s="133">
        <v>0</v>
      </c>
      <c r="AG202" s="133">
        <v>0</v>
      </c>
      <c r="AH202" s="133">
        <v>0</v>
      </c>
      <c r="AI202" s="133">
        <v>0</v>
      </c>
      <c r="AJ202" s="133">
        <v>0</v>
      </c>
      <c r="AK202" s="133">
        <v>0</v>
      </c>
      <c r="AL202" s="133">
        <v>0</v>
      </c>
      <c r="AM202" s="133">
        <v>0</v>
      </c>
      <c r="AN202" s="133">
        <v>0</v>
      </c>
      <c r="AO202" s="133">
        <v>0</v>
      </c>
      <c r="AP202" s="133">
        <v>0</v>
      </c>
    </row>
    <row r="203" spans="7:42" x14ac:dyDescent="0.35">
      <c r="G203" s="218">
        <f t="shared" ref="G203" si="78">SUM(G63,G68)-G62</f>
        <v>0</v>
      </c>
      <c r="H203" s="218">
        <f t="shared" ref="H203:M203" si="79">SUM(H63,H68)-H62</f>
        <v>0</v>
      </c>
      <c r="I203" s="218">
        <f t="shared" si="79"/>
        <v>0</v>
      </c>
      <c r="J203" s="218">
        <f t="shared" si="79"/>
        <v>0</v>
      </c>
      <c r="K203" s="218">
        <f t="shared" si="79"/>
        <v>0</v>
      </c>
      <c r="L203" s="218">
        <f t="shared" si="79"/>
        <v>0</v>
      </c>
      <c r="M203" s="218">
        <f t="shared" si="79"/>
        <v>0</v>
      </c>
      <c r="N203" s="133">
        <v>0</v>
      </c>
      <c r="O203" s="133">
        <v>0</v>
      </c>
      <c r="P203" s="134">
        <v>0</v>
      </c>
      <c r="Q203" s="133">
        <v>0</v>
      </c>
      <c r="R203" s="133">
        <v>0</v>
      </c>
      <c r="S203" s="133">
        <v>0</v>
      </c>
      <c r="T203" s="133">
        <v>0</v>
      </c>
      <c r="U203" s="133">
        <v>0</v>
      </c>
      <c r="V203" s="133">
        <v>0</v>
      </c>
      <c r="W203" s="133">
        <v>0</v>
      </c>
      <c r="X203" s="133">
        <v>0</v>
      </c>
      <c r="Y203" s="133">
        <v>0</v>
      </c>
      <c r="Z203" s="133">
        <v>0</v>
      </c>
      <c r="AA203" s="133">
        <v>0</v>
      </c>
      <c r="AB203" s="133">
        <v>0</v>
      </c>
      <c r="AC203" s="133">
        <v>0</v>
      </c>
      <c r="AD203" s="133">
        <v>0</v>
      </c>
      <c r="AE203" s="133">
        <v>0</v>
      </c>
      <c r="AF203" s="133">
        <v>0</v>
      </c>
      <c r="AG203" s="133">
        <v>0</v>
      </c>
      <c r="AH203" s="133">
        <v>0</v>
      </c>
      <c r="AI203" s="133">
        <v>0</v>
      </c>
      <c r="AJ203" s="133">
        <v>0</v>
      </c>
      <c r="AK203" s="133">
        <v>0</v>
      </c>
      <c r="AL203" s="133">
        <v>0</v>
      </c>
      <c r="AM203" s="133">
        <v>0</v>
      </c>
      <c r="AN203" s="133">
        <v>0</v>
      </c>
      <c r="AO203" s="133">
        <v>0</v>
      </c>
      <c r="AP203" s="133">
        <v>0</v>
      </c>
    </row>
    <row r="204" spans="7:42" x14ac:dyDescent="0.35">
      <c r="G204" s="218">
        <f t="shared" ref="G204" si="80">SUM(G64:G67)-G63</f>
        <v>0</v>
      </c>
      <c r="H204" s="218">
        <f t="shared" ref="H204:I204" si="81">SUM(H64:H67)-H63</f>
        <v>0</v>
      </c>
      <c r="I204" s="218">
        <f t="shared" si="81"/>
        <v>0</v>
      </c>
      <c r="J204" s="218">
        <f t="shared" ref="J204" si="82">SUM(J64:J67)-J63</f>
        <v>0</v>
      </c>
      <c r="K204" s="218">
        <f t="shared" ref="K204:L204" si="83">SUM(K64:K67)-K63</f>
        <v>0</v>
      </c>
      <c r="L204" s="218">
        <f t="shared" si="83"/>
        <v>0</v>
      </c>
      <c r="M204" s="218">
        <f t="shared" ref="M204" si="84">SUM(M64:M67)-M63</f>
        <v>0</v>
      </c>
      <c r="N204" s="133">
        <v>0</v>
      </c>
      <c r="O204" s="133">
        <v>0</v>
      </c>
      <c r="P204" s="134">
        <v>0</v>
      </c>
      <c r="Q204" s="133">
        <v>0</v>
      </c>
      <c r="R204" s="133">
        <v>0</v>
      </c>
      <c r="S204" s="134">
        <v>0</v>
      </c>
      <c r="T204" s="133">
        <v>0</v>
      </c>
      <c r="U204" s="133">
        <v>0</v>
      </c>
      <c r="V204" s="133">
        <v>0</v>
      </c>
      <c r="W204" s="133">
        <v>0</v>
      </c>
      <c r="X204" s="133">
        <v>0</v>
      </c>
      <c r="Y204" s="133">
        <v>0</v>
      </c>
      <c r="Z204" s="133">
        <v>0</v>
      </c>
      <c r="AA204" s="133">
        <v>0</v>
      </c>
      <c r="AB204" s="133">
        <v>0</v>
      </c>
      <c r="AC204" s="133">
        <v>0</v>
      </c>
      <c r="AD204" s="133">
        <v>0</v>
      </c>
      <c r="AE204" s="133">
        <v>0</v>
      </c>
      <c r="AF204" s="133">
        <v>0</v>
      </c>
      <c r="AG204" s="133">
        <v>0</v>
      </c>
      <c r="AH204" s="133">
        <v>0</v>
      </c>
      <c r="AI204" s="133">
        <v>0</v>
      </c>
      <c r="AJ204" s="133">
        <v>0</v>
      </c>
      <c r="AK204" s="133">
        <v>0</v>
      </c>
      <c r="AL204" s="133">
        <v>0</v>
      </c>
      <c r="AM204" s="133">
        <v>0</v>
      </c>
      <c r="AN204" s="133">
        <v>0</v>
      </c>
      <c r="AO204" s="133">
        <v>0</v>
      </c>
      <c r="AP204" s="133">
        <v>0</v>
      </c>
    </row>
    <row r="205" spans="7:42" collapsed="1" x14ac:dyDescent="0.35">
      <c r="G205" s="218">
        <f t="shared" ref="G205" si="85">SUM(G71,G76,G81,G86,G92,G104,G114)-G70</f>
        <v>0</v>
      </c>
      <c r="H205" s="218">
        <f t="shared" ref="H205:I205" si="86">SUM(H71,H76,H81,H86,H92,H104,H114)-H70</f>
        <v>0</v>
      </c>
      <c r="I205" s="218">
        <f t="shared" si="86"/>
        <v>0</v>
      </c>
      <c r="J205" s="218">
        <f t="shared" ref="J205" si="87">SUM(J71,J76,J81,J86,J92,J104,J114)-J70</f>
        <v>0</v>
      </c>
      <c r="K205" s="218">
        <f t="shared" ref="K205:L205" si="88">SUM(K71,K76,K81,K86,K92,K104,K114)-K70</f>
        <v>0</v>
      </c>
      <c r="L205" s="218">
        <f t="shared" si="88"/>
        <v>0</v>
      </c>
      <c r="M205" s="218">
        <f t="shared" ref="M205" si="89">SUM(M71,M76,M81,M86,M92,M104,M114)-M70</f>
        <v>0</v>
      </c>
      <c r="N205" s="133">
        <v>0</v>
      </c>
      <c r="O205" s="133">
        <v>0</v>
      </c>
      <c r="P205" s="134">
        <v>0</v>
      </c>
      <c r="Q205" s="133">
        <v>0</v>
      </c>
      <c r="R205" s="133">
        <v>0</v>
      </c>
      <c r="S205" s="134">
        <v>0</v>
      </c>
      <c r="T205" s="133">
        <v>0</v>
      </c>
      <c r="U205" s="133">
        <v>0</v>
      </c>
      <c r="V205" s="133">
        <v>0</v>
      </c>
      <c r="W205" s="133">
        <v>0</v>
      </c>
      <c r="X205" s="133">
        <v>0</v>
      </c>
      <c r="Y205" s="133">
        <v>0</v>
      </c>
      <c r="Z205" s="133">
        <v>0</v>
      </c>
      <c r="AA205" s="133">
        <v>0</v>
      </c>
      <c r="AB205" s="133">
        <v>0</v>
      </c>
      <c r="AC205" s="133">
        <v>0</v>
      </c>
      <c r="AD205" s="133">
        <v>0</v>
      </c>
      <c r="AE205" s="133">
        <v>0</v>
      </c>
      <c r="AF205" s="133">
        <v>0</v>
      </c>
      <c r="AG205" s="133">
        <v>0</v>
      </c>
      <c r="AH205" s="133">
        <v>0</v>
      </c>
      <c r="AI205" s="133">
        <v>0</v>
      </c>
      <c r="AJ205" s="133">
        <v>0</v>
      </c>
      <c r="AK205" s="133">
        <v>0</v>
      </c>
      <c r="AL205" s="133">
        <v>0</v>
      </c>
      <c r="AM205" s="133">
        <v>0</v>
      </c>
      <c r="AN205" s="133">
        <v>0</v>
      </c>
      <c r="AO205" s="133">
        <v>0</v>
      </c>
      <c r="AP205" s="133">
        <v>0</v>
      </c>
    </row>
    <row r="206" spans="7:42" x14ac:dyDescent="0.35">
      <c r="G206" s="218">
        <f t="shared" ref="G206" si="90">SUM(G72:G73)-G71</f>
        <v>0</v>
      </c>
      <c r="H206" s="218">
        <f t="shared" ref="H206:I206" si="91">SUM(H72:H73)-H71</f>
        <v>0</v>
      </c>
      <c r="I206" s="218">
        <f t="shared" si="91"/>
        <v>0</v>
      </c>
      <c r="J206" s="218">
        <f t="shared" ref="J206" si="92">SUM(J72:J73)-J71</f>
        <v>0</v>
      </c>
      <c r="K206" s="218">
        <f t="shared" ref="K206:L206" si="93">SUM(K72:K73)-K71</f>
        <v>0</v>
      </c>
      <c r="L206" s="218">
        <f t="shared" si="93"/>
        <v>0</v>
      </c>
      <c r="M206" s="218">
        <f t="shared" ref="M206" si="94">SUM(M72:M73)-M71</f>
        <v>0</v>
      </c>
      <c r="N206" s="133">
        <v>0</v>
      </c>
      <c r="O206" s="133">
        <v>0</v>
      </c>
      <c r="P206" s="134">
        <v>0</v>
      </c>
      <c r="Q206" s="133">
        <v>0</v>
      </c>
      <c r="R206" s="133">
        <v>0</v>
      </c>
      <c r="S206" s="134">
        <v>0</v>
      </c>
      <c r="T206" s="133">
        <v>0</v>
      </c>
      <c r="U206" s="133">
        <v>0</v>
      </c>
      <c r="V206" s="133">
        <v>0</v>
      </c>
      <c r="W206" s="133">
        <v>0</v>
      </c>
      <c r="X206" s="133">
        <v>0</v>
      </c>
      <c r="Y206" s="133">
        <v>0</v>
      </c>
      <c r="Z206" s="133">
        <v>0</v>
      </c>
      <c r="AA206" s="133">
        <v>0</v>
      </c>
      <c r="AB206" s="133">
        <v>0</v>
      </c>
      <c r="AC206" s="133">
        <v>0</v>
      </c>
      <c r="AD206" s="133">
        <v>0</v>
      </c>
      <c r="AE206" s="133">
        <v>0</v>
      </c>
      <c r="AF206" s="133">
        <v>0</v>
      </c>
      <c r="AG206" s="133">
        <v>0</v>
      </c>
      <c r="AH206" s="133">
        <v>0</v>
      </c>
      <c r="AI206" s="133">
        <v>0</v>
      </c>
      <c r="AJ206" s="133">
        <v>0</v>
      </c>
      <c r="AK206" s="133">
        <v>0</v>
      </c>
      <c r="AL206" s="133">
        <v>0</v>
      </c>
      <c r="AM206" s="133">
        <v>0</v>
      </c>
      <c r="AN206" s="133">
        <v>0</v>
      </c>
      <c r="AO206" s="133">
        <v>0</v>
      </c>
      <c r="AP206" s="133">
        <v>0</v>
      </c>
    </row>
    <row r="207" spans="7:42" x14ac:dyDescent="0.35">
      <c r="G207" s="218">
        <f t="shared" ref="G207" si="95">SUM(G74:G75)-G73</f>
        <v>0</v>
      </c>
      <c r="H207" s="218">
        <f t="shared" ref="H207:I207" si="96">SUM(H74:H75)-H73</f>
        <v>0</v>
      </c>
      <c r="I207" s="218">
        <f t="shared" si="96"/>
        <v>0</v>
      </c>
      <c r="J207" s="218">
        <f t="shared" ref="J207" si="97">SUM(J74:J75)-J73</f>
        <v>0</v>
      </c>
      <c r="K207" s="218">
        <f t="shared" ref="K207:L207" si="98">SUM(K74:K75)-K73</f>
        <v>0</v>
      </c>
      <c r="L207" s="218">
        <f t="shared" si="98"/>
        <v>0</v>
      </c>
      <c r="M207" s="218">
        <f t="shared" ref="M207" si="99">SUM(M74:M75)-M73</f>
        <v>0</v>
      </c>
      <c r="N207" s="133">
        <v>0</v>
      </c>
      <c r="O207" s="133">
        <v>0</v>
      </c>
      <c r="P207" s="134">
        <v>0</v>
      </c>
      <c r="Q207" s="133">
        <v>0</v>
      </c>
      <c r="R207" s="133">
        <v>0</v>
      </c>
      <c r="S207" s="134">
        <v>0</v>
      </c>
      <c r="T207" s="133">
        <v>0</v>
      </c>
      <c r="U207" s="133">
        <v>0</v>
      </c>
      <c r="V207" s="133">
        <v>0</v>
      </c>
      <c r="W207" s="133">
        <v>0</v>
      </c>
      <c r="X207" s="133">
        <v>0</v>
      </c>
      <c r="Y207" s="133">
        <v>0</v>
      </c>
      <c r="Z207" s="133">
        <v>0</v>
      </c>
      <c r="AA207" s="133">
        <v>0</v>
      </c>
      <c r="AB207" s="133">
        <v>0</v>
      </c>
      <c r="AC207" s="133">
        <v>0</v>
      </c>
      <c r="AD207" s="133">
        <v>0</v>
      </c>
      <c r="AE207" s="133">
        <v>0</v>
      </c>
      <c r="AF207" s="133">
        <v>0</v>
      </c>
      <c r="AG207" s="133">
        <v>0</v>
      </c>
      <c r="AH207" s="133">
        <v>0</v>
      </c>
      <c r="AI207" s="133">
        <v>0</v>
      </c>
      <c r="AJ207" s="133">
        <v>0</v>
      </c>
      <c r="AK207" s="133">
        <v>0</v>
      </c>
      <c r="AL207" s="133">
        <v>0</v>
      </c>
      <c r="AM207" s="133">
        <v>0</v>
      </c>
      <c r="AN207" s="133">
        <v>0</v>
      </c>
      <c r="AO207" s="133">
        <v>0</v>
      </c>
      <c r="AP207" s="133">
        <v>0</v>
      </c>
    </row>
    <row r="208" spans="7:42" x14ac:dyDescent="0.35">
      <c r="G208" s="218">
        <f t="shared" ref="G208" si="100">SUM(G77:G78)-G76</f>
        <v>0</v>
      </c>
      <c r="H208" s="218">
        <f t="shared" ref="H208:I208" si="101">SUM(H77:H78)-H76</f>
        <v>0</v>
      </c>
      <c r="I208" s="218">
        <f t="shared" si="101"/>
        <v>0</v>
      </c>
      <c r="J208" s="218">
        <f t="shared" ref="J208" si="102">SUM(J77:J78)-J76</f>
        <v>0</v>
      </c>
      <c r="K208" s="218">
        <f t="shared" ref="K208:L208" si="103">SUM(K77:K78)-K76</f>
        <v>0</v>
      </c>
      <c r="L208" s="218">
        <f t="shared" si="103"/>
        <v>0</v>
      </c>
      <c r="M208" s="218">
        <f t="shared" ref="M208" si="104">SUM(M77:M78)-M76</f>
        <v>0</v>
      </c>
      <c r="N208" s="133">
        <v>0</v>
      </c>
      <c r="O208" s="133">
        <v>0</v>
      </c>
      <c r="P208" s="134">
        <v>0</v>
      </c>
      <c r="Q208" s="133">
        <v>0</v>
      </c>
      <c r="R208" s="133">
        <v>0</v>
      </c>
      <c r="S208" s="134">
        <v>0</v>
      </c>
      <c r="T208" s="133">
        <v>0</v>
      </c>
      <c r="U208" s="133">
        <v>0</v>
      </c>
      <c r="V208" s="133">
        <v>0</v>
      </c>
      <c r="W208" s="133">
        <v>0</v>
      </c>
      <c r="X208" s="133">
        <v>0</v>
      </c>
      <c r="Y208" s="133">
        <v>0</v>
      </c>
      <c r="Z208" s="133">
        <v>0</v>
      </c>
      <c r="AA208" s="133">
        <v>0</v>
      </c>
      <c r="AB208" s="133">
        <v>0</v>
      </c>
      <c r="AC208" s="133">
        <v>0</v>
      </c>
      <c r="AD208" s="133">
        <v>0</v>
      </c>
      <c r="AE208" s="133">
        <v>0</v>
      </c>
      <c r="AF208" s="133">
        <v>0</v>
      </c>
      <c r="AG208" s="133">
        <v>0</v>
      </c>
      <c r="AH208" s="133">
        <v>0</v>
      </c>
      <c r="AI208" s="133">
        <v>0</v>
      </c>
      <c r="AJ208" s="133">
        <v>0</v>
      </c>
      <c r="AK208" s="133">
        <v>0</v>
      </c>
      <c r="AL208" s="133">
        <v>0</v>
      </c>
      <c r="AM208" s="133">
        <v>0</v>
      </c>
      <c r="AN208" s="133">
        <v>0</v>
      </c>
      <c r="AO208" s="133">
        <v>0</v>
      </c>
      <c r="AP208" s="133">
        <v>0</v>
      </c>
    </row>
    <row r="209" spans="7:42" x14ac:dyDescent="0.35">
      <c r="G209" s="218">
        <f t="shared" ref="G209" si="105">SUM(G79:G80)-G78</f>
        <v>0</v>
      </c>
      <c r="H209" s="218">
        <f t="shared" ref="H209:I209" si="106">SUM(H79:H80)-H78</f>
        <v>0</v>
      </c>
      <c r="I209" s="218">
        <f t="shared" si="106"/>
        <v>0</v>
      </c>
      <c r="J209" s="218">
        <f t="shared" ref="J209" si="107">SUM(J79:J80)-J78</f>
        <v>0</v>
      </c>
      <c r="K209" s="218">
        <f t="shared" ref="K209:L209" si="108">SUM(K79:K80)-K78</f>
        <v>0</v>
      </c>
      <c r="L209" s="218">
        <f t="shared" si="108"/>
        <v>0</v>
      </c>
      <c r="M209" s="218">
        <f t="shared" ref="M209" si="109">SUM(M79:M80)-M78</f>
        <v>0</v>
      </c>
      <c r="N209" s="133">
        <v>0</v>
      </c>
      <c r="O209" s="133">
        <v>0</v>
      </c>
      <c r="P209" s="134">
        <v>0</v>
      </c>
      <c r="Q209" s="133">
        <v>0</v>
      </c>
      <c r="R209" s="133">
        <v>0</v>
      </c>
      <c r="S209" s="134">
        <v>0</v>
      </c>
      <c r="T209" s="133">
        <v>0</v>
      </c>
      <c r="U209" s="133">
        <v>0</v>
      </c>
      <c r="V209" s="133">
        <v>0</v>
      </c>
      <c r="W209" s="133">
        <v>0</v>
      </c>
      <c r="X209" s="133">
        <v>0</v>
      </c>
      <c r="Y209" s="133">
        <v>0</v>
      </c>
      <c r="Z209" s="133">
        <v>0</v>
      </c>
      <c r="AA209" s="133">
        <v>0</v>
      </c>
      <c r="AB209" s="133">
        <v>0</v>
      </c>
      <c r="AC209" s="133">
        <v>0</v>
      </c>
      <c r="AD209" s="133">
        <v>0</v>
      </c>
      <c r="AE209" s="133">
        <v>0</v>
      </c>
      <c r="AF209" s="133">
        <v>0</v>
      </c>
      <c r="AG209" s="133">
        <v>0</v>
      </c>
      <c r="AH209" s="133">
        <v>0</v>
      </c>
      <c r="AI209" s="133">
        <v>0</v>
      </c>
      <c r="AJ209" s="133">
        <v>0</v>
      </c>
      <c r="AK209" s="133">
        <v>0</v>
      </c>
      <c r="AL209" s="133">
        <v>0</v>
      </c>
      <c r="AM209" s="133">
        <v>0</v>
      </c>
      <c r="AN209" s="133">
        <v>0</v>
      </c>
      <c r="AO209" s="133">
        <v>0</v>
      </c>
      <c r="AP209" s="133">
        <v>0</v>
      </c>
    </row>
    <row r="210" spans="7:42" x14ac:dyDescent="0.35">
      <c r="G210" s="218">
        <f t="shared" ref="G210" si="110">SUM(G87,G90,G91)-G86</f>
        <v>0</v>
      </c>
      <c r="H210" s="218">
        <f t="shared" ref="H210:I210" si="111">SUM(H87,H90,H91)-H86</f>
        <v>0</v>
      </c>
      <c r="I210" s="218">
        <f t="shared" si="111"/>
        <v>0</v>
      </c>
      <c r="J210" s="218">
        <f t="shared" ref="J210" si="112">SUM(J87,J90,J91)-J86</f>
        <v>0</v>
      </c>
      <c r="K210" s="218">
        <f t="shared" ref="K210:L210" si="113">SUM(K87,K90,K91)-K86</f>
        <v>0</v>
      </c>
      <c r="L210" s="218">
        <f t="shared" si="113"/>
        <v>0</v>
      </c>
      <c r="M210" s="218">
        <f t="shared" ref="M210" si="114">SUM(M87,M90,M91)-M86</f>
        <v>0</v>
      </c>
      <c r="N210" s="133">
        <v>0</v>
      </c>
      <c r="O210" s="133">
        <v>0</v>
      </c>
      <c r="P210" s="134">
        <v>0</v>
      </c>
      <c r="Q210" s="133">
        <v>0</v>
      </c>
      <c r="R210" s="133">
        <v>0</v>
      </c>
      <c r="S210" s="134">
        <v>0</v>
      </c>
      <c r="T210" s="133">
        <v>0</v>
      </c>
      <c r="U210" s="133">
        <v>0</v>
      </c>
      <c r="V210" s="133">
        <v>0</v>
      </c>
      <c r="W210" s="133">
        <v>0</v>
      </c>
      <c r="X210" s="133">
        <v>0</v>
      </c>
      <c r="Y210" s="133">
        <v>0</v>
      </c>
      <c r="Z210" s="133">
        <v>0</v>
      </c>
      <c r="AA210" s="133">
        <v>0</v>
      </c>
      <c r="AB210" s="133">
        <v>0</v>
      </c>
      <c r="AC210" s="133">
        <v>0</v>
      </c>
      <c r="AD210" s="133">
        <v>0</v>
      </c>
      <c r="AE210" s="133">
        <v>0</v>
      </c>
      <c r="AF210" s="133">
        <v>0</v>
      </c>
      <c r="AG210" s="133">
        <v>0</v>
      </c>
      <c r="AH210" s="133">
        <v>0</v>
      </c>
      <c r="AI210" s="133">
        <v>0</v>
      </c>
      <c r="AJ210" s="133">
        <v>0</v>
      </c>
      <c r="AK210" s="133">
        <v>0</v>
      </c>
      <c r="AL210" s="133">
        <v>0</v>
      </c>
      <c r="AM210" s="133">
        <v>0</v>
      </c>
      <c r="AN210" s="133">
        <v>0</v>
      </c>
      <c r="AO210" s="133">
        <v>0</v>
      </c>
      <c r="AP210" s="133">
        <v>0</v>
      </c>
    </row>
    <row r="211" spans="7:42" x14ac:dyDescent="0.35">
      <c r="G211" s="218">
        <f t="shared" ref="G211" si="115">SUM(G88:G89)-G87</f>
        <v>0</v>
      </c>
      <c r="H211" s="218">
        <f t="shared" ref="H211:I211" si="116">SUM(H88:H89)-H87</f>
        <v>0</v>
      </c>
      <c r="I211" s="218">
        <f t="shared" si="116"/>
        <v>0</v>
      </c>
      <c r="J211" s="218">
        <f t="shared" ref="J211" si="117">SUM(J88:J89)-J87</f>
        <v>0</v>
      </c>
      <c r="K211" s="218">
        <f t="shared" ref="K211:L211" si="118">SUM(K88:K89)-K87</f>
        <v>0</v>
      </c>
      <c r="L211" s="218">
        <f t="shared" si="118"/>
        <v>0</v>
      </c>
      <c r="M211" s="218">
        <f t="shared" ref="M211" si="119">SUM(M88:M89)-M87</f>
        <v>0</v>
      </c>
      <c r="N211" s="133">
        <v>0</v>
      </c>
      <c r="O211" s="133">
        <v>0</v>
      </c>
      <c r="P211" s="134">
        <v>0</v>
      </c>
      <c r="Q211" s="133">
        <v>0</v>
      </c>
      <c r="R211" s="133">
        <v>0</v>
      </c>
      <c r="S211" s="134">
        <v>0</v>
      </c>
      <c r="T211" s="133">
        <v>0</v>
      </c>
      <c r="U211" s="133">
        <v>0</v>
      </c>
      <c r="V211" s="133">
        <v>0</v>
      </c>
      <c r="W211" s="133">
        <v>0</v>
      </c>
      <c r="X211" s="133">
        <v>0</v>
      </c>
      <c r="Y211" s="133">
        <v>0</v>
      </c>
      <c r="Z211" s="133">
        <v>0</v>
      </c>
      <c r="AA211" s="133">
        <v>0</v>
      </c>
      <c r="AB211" s="133">
        <v>0</v>
      </c>
      <c r="AC211" s="133">
        <v>0</v>
      </c>
      <c r="AD211" s="133">
        <v>0</v>
      </c>
      <c r="AE211" s="133">
        <v>0</v>
      </c>
      <c r="AF211" s="133">
        <v>0</v>
      </c>
      <c r="AG211" s="133">
        <v>0</v>
      </c>
      <c r="AH211" s="133">
        <v>0</v>
      </c>
      <c r="AI211" s="133">
        <v>0</v>
      </c>
      <c r="AJ211" s="133">
        <v>0</v>
      </c>
      <c r="AK211" s="133">
        <v>0</v>
      </c>
      <c r="AL211" s="133">
        <v>0</v>
      </c>
      <c r="AM211" s="133">
        <v>0</v>
      </c>
      <c r="AN211" s="133">
        <v>0</v>
      </c>
      <c r="AO211" s="133">
        <v>0</v>
      </c>
      <c r="AP211" s="133">
        <v>0</v>
      </c>
    </row>
    <row r="212" spans="7:42" x14ac:dyDescent="0.35">
      <c r="G212" s="218">
        <f t="shared" ref="G212" si="120">SUM(G93,G97)-G92</f>
        <v>0</v>
      </c>
      <c r="H212" s="218">
        <f t="shared" ref="H212:I212" si="121">SUM(H93,H97)-H92</f>
        <v>0</v>
      </c>
      <c r="I212" s="218">
        <f t="shared" si="121"/>
        <v>0</v>
      </c>
      <c r="J212" s="218">
        <f t="shared" ref="J212" si="122">SUM(J93,J97)-J92</f>
        <v>0</v>
      </c>
      <c r="K212" s="218">
        <f t="shared" ref="K212:L212" si="123">SUM(K93,K97)-K92</f>
        <v>0</v>
      </c>
      <c r="L212" s="218">
        <f t="shared" si="123"/>
        <v>0</v>
      </c>
      <c r="M212" s="218">
        <f t="shared" ref="M212" si="124">SUM(M93,M97)-M92</f>
        <v>0</v>
      </c>
      <c r="N212" s="133">
        <v>0</v>
      </c>
      <c r="O212" s="133">
        <v>0</v>
      </c>
      <c r="P212" s="134">
        <v>0</v>
      </c>
      <c r="Q212" s="133">
        <v>0</v>
      </c>
      <c r="R212" s="133">
        <v>0</v>
      </c>
      <c r="S212" s="134">
        <v>0</v>
      </c>
      <c r="T212" s="133">
        <v>0</v>
      </c>
      <c r="U212" s="133">
        <v>0</v>
      </c>
      <c r="V212" s="133">
        <v>0</v>
      </c>
      <c r="W212" s="133">
        <v>0</v>
      </c>
      <c r="X212" s="133">
        <v>0</v>
      </c>
      <c r="Y212" s="133">
        <v>0</v>
      </c>
      <c r="Z212" s="133">
        <v>0</v>
      </c>
      <c r="AA212" s="133">
        <v>0</v>
      </c>
      <c r="AB212" s="133">
        <v>0</v>
      </c>
      <c r="AC212" s="133">
        <v>0</v>
      </c>
      <c r="AD212" s="133">
        <v>0</v>
      </c>
      <c r="AE212" s="133">
        <v>0</v>
      </c>
      <c r="AF212" s="133">
        <v>0</v>
      </c>
      <c r="AG212" s="133">
        <v>0</v>
      </c>
      <c r="AH212" s="133">
        <v>0</v>
      </c>
      <c r="AI212" s="133">
        <v>0</v>
      </c>
      <c r="AJ212" s="133">
        <v>0</v>
      </c>
      <c r="AK212" s="133">
        <v>0</v>
      </c>
      <c r="AL212" s="133">
        <v>0</v>
      </c>
      <c r="AM212" s="133">
        <v>0</v>
      </c>
      <c r="AN212" s="133">
        <v>0</v>
      </c>
      <c r="AO212" s="133">
        <v>0</v>
      </c>
      <c r="AP212" s="133">
        <v>0</v>
      </c>
    </row>
    <row r="213" spans="7:42" x14ac:dyDescent="0.35">
      <c r="G213" s="218">
        <f t="shared" ref="G213" si="125">SUM(G94:G96)-G93</f>
        <v>0</v>
      </c>
      <c r="H213" s="218">
        <f t="shared" ref="H213:I213" si="126">SUM(H94:H96)-H93</f>
        <v>0</v>
      </c>
      <c r="I213" s="218">
        <f t="shared" si="126"/>
        <v>0</v>
      </c>
      <c r="J213" s="218">
        <f t="shared" ref="J213" si="127">SUM(J94:J96)-J93</f>
        <v>0</v>
      </c>
      <c r="K213" s="218">
        <f t="shared" ref="K213:L213" si="128">SUM(K94:K96)-K93</f>
        <v>0</v>
      </c>
      <c r="L213" s="218">
        <f t="shared" si="128"/>
        <v>0</v>
      </c>
      <c r="M213" s="218">
        <f t="shared" ref="M213" si="129">SUM(M94:M96)-M93</f>
        <v>0</v>
      </c>
      <c r="N213" s="133">
        <v>0</v>
      </c>
      <c r="O213" s="133">
        <v>0</v>
      </c>
      <c r="P213" s="134">
        <v>0</v>
      </c>
      <c r="Q213" s="133">
        <v>0</v>
      </c>
      <c r="R213" s="133">
        <v>0</v>
      </c>
      <c r="S213" s="134">
        <v>0</v>
      </c>
      <c r="T213" s="133">
        <v>0</v>
      </c>
      <c r="U213" s="133">
        <v>0</v>
      </c>
      <c r="V213" s="133">
        <v>0</v>
      </c>
      <c r="W213" s="133">
        <v>0</v>
      </c>
      <c r="X213" s="133">
        <v>0</v>
      </c>
      <c r="Y213" s="133">
        <v>0</v>
      </c>
      <c r="Z213" s="133">
        <v>0</v>
      </c>
      <c r="AA213" s="133">
        <v>0</v>
      </c>
      <c r="AB213" s="133">
        <v>0</v>
      </c>
      <c r="AC213" s="133">
        <v>0</v>
      </c>
      <c r="AD213" s="133">
        <v>0</v>
      </c>
      <c r="AE213" s="133">
        <v>0</v>
      </c>
      <c r="AF213" s="133">
        <v>0</v>
      </c>
      <c r="AG213" s="133">
        <v>0</v>
      </c>
      <c r="AH213" s="133">
        <v>0</v>
      </c>
      <c r="AI213" s="133">
        <v>0</v>
      </c>
      <c r="AJ213" s="133">
        <v>0</v>
      </c>
      <c r="AK213" s="133">
        <v>0</v>
      </c>
      <c r="AL213" s="133">
        <v>0</v>
      </c>
      <c r="AM213" s="133">
        <v>0</v>
      </c>
      <c r="AN213" s="133">
        <v>0</v>
      </c>
      <c r="AO213" s="133">
        <v>0</v>
      </c>
      <c r="AP213" s="133">
        <v>0</v>
      </c>
    </row>
    <row r="214" spans="7:42" x14ac:dyDescent="0.35">
      <c r="G214" s="218">
        <f t="shared" ref="G214" si="130">SUM(G98:G103)-G97</f>
        <v>0</v>
      </c>
      <c r="H214" s="218">
        <f t="shared" ref="H214:I214" si="131">SUM(H98:H103)-H97</f>
        <v>0</v>
      </c>
      <c r="I214" s="218">
        <f t="shared" si="131"/>
        <v>0</v>
      </c>
      <c r="J214" s="218">
        <f t="shared" ref="J214" si="132">SUM(J98:J103)-J97</f>
        <v>0</v>
      </c>
      <c r="K214" s="218">
        <f t="shared" ref="K214:L214" si="133">SUM(K98:K103)-K97</f>
        <v>0</v>
      </c>
      <c r="L214" s="218">
        <f t="shared" si="133"/>
        <v>0</v>
      </c>
      <c r="M214" s="218">
        <f t="shared" ref="M214" si="134">SUM(M98:M103)-M97</f>
        <v>0</v>
      </c>
      <c r="N214" s="133">
        <v>0</v>
      </c>
      <c r="O214" s="133">
        <v>0</v>
      </c>
      <c r="P214" s="134">
        <v>0</v>
      </c>
      <c r="Q214" s="133">
        <v>0</v>
      </c>
      <c r="R214" s="133">
        <v>0</v>
      </c>
      <c r="S214" s="134">
        <v>0</v>
      </c>
      <c r="T214" s="133">
        <v>0</v>
      </c>
      <c r="U214" s="133">
        <v>0</v>
      </c>
      <c r="V214" s="133">
        <v>0</v>
      </c>
      <c r="W214" s="133">
        <v>0</v>
      </c>
      <c r="X214" s="133">
        <v>0</v>
      </c>
      <c r="Y214" s="133">
        <v>0</v>
      </c>
      <c r="Z214" s="133">
        <v>0</v>
      </c>
      <c r="AA214" s="133">
        <v>0</v>
      </c>
      <c r="AB214" s="133">
        <v>0</v>
      </c>
      <c r="AC214" s="133">
        <v>0</v>
      </c>
      <c r="AD214" s="133">
        <v>0</v>
      </c>
      <c r="AE214" s="133">
        <v>0</v>
      </c>
      <c r="AF214" s="133">
        <v>0</v>
      </c>
      <c r="AG214" s="133">
        <v>0</v>
      </c>
      <c r="AH214" s="133">
        <v>0</v>
      </c>
      <c r="AI214" s="133">
        <v>0</v>
      </c>
      <c r="AJ214" s="133">
        <v>0</v>
      </c>
      <c r="AK214" s="133">
        <v>0</v>
      </c>
      <c r="AL214" s="133">
        <v>0</v>
      </c>
      <c r="AM214" s="133">
        <v>0</v>
      </c>
      <c r="AN214" s="133">
        <v>0</v>
      </c>
      <c r="AO214" s="133">
        <v>0</v>
      </c>
      <c r="AP214" s="133">
        <v>0</v>
      </c>
    </row>
    <row r="215" spans="7:42" collapsed="1" x14ac:dyDescent="0.35">
      <c r="G215" s="218">
        <f t="shared" ref="G215" si="135">SUM(G118,G124,G135,G137,G148,G151)-G117</f>
        <v>0</v>
      </c>
      <c r="H215" s="218">
        <f t="shared" ref="H215:I215" si="136">SUM(H118,H124,H135,H137,H148,H151)-H117</f>
        <v>0</v>
      </c>
      <c r="I215" s="218">
        <f t="shared" si="136"/>
        <v>0</v>
      </c>
      <c r="J215" s="218">
        <f t="shared" ref="J215" si="137">SUM(J118,J124,J135,J137,J148,J151)-J117</f>
        <v>0</v>
      </c>
      <c r="K215" s="218">
        <f t="shared" ref="K215:L215" si="138">SUM(K118,K124,K135,K137,K148,K151)-K117</f>
        <v>0</v>
      </c>
      <c r="L215" s="218">
        <f t="shared" si="138"/>
        <v>0</v>
      </c>
      <c r="M215" s="218">
        <f t="shared" ref="M215" si="139">SUM(M118,M124,M135,M137,M148,M151)-M117</f>
        <v>0</v>
      </c>
      <c r="N215" s="133">
        <v>0</v>
      </c>
      <c r="O215" s="133">
        <v>0</v>
      </c>
      <c r="P215" s="134">
        <v>0</v>
      </c>
      <c r="Q215" s="133">
        <v>0</v>
      </c>
      <c r="R215" s="133">
        <v>0</v>
      </c>
      <c r="S215" s="134">
        <v>0</v>
      </c>
      <c r="T215" s="133">
        <v>0</v>
      </c>
      <c r="U215" s="133">
        <v>0</v>
      </c>
      <c r="V215" s="133">
        <v>0</v>
      </c>
      <c r="W215" s="133">
        <v>0</v>
      </c>
      <c r="X215" s="133">
        <v>0</v>
      </c>
      <c r="Y215" s="133">
        <v>0</v>
      </c>
      <c r="Z215" s="133">
        <v>0</v>
      </c>
      <c r="AA215" s="133">
        <v>0</v>
      </c>
      <c r="AB215" s="133">
        <v>0</v>
      </c>
      <c r="AC215" s="133">
        <v>0</v>
      </c>
      <c r="AD215" s="133">
        <v>0</v>
      </c>
      <c r="AE215" s="133">
        <v>0</v>
      </c>
      <c r="AF215" s="133">
        <v>0</v>
      </c>
      <c r="AG215" s="133">
        <v>0</v>
      </c>
      <c r="AH215" s="133">
        <v>0</v>
      </c>
      <c r="AI215" s="133">
        <v>0</v>
      </c>
      <c r="AJ215" s="133">
        <v>0</v>
      </c>
      <c r="AK215" s="133">
        <v>0</v>
      </c>
      <c r="AL215" s="133">
        <v>0</v>
      </c>
      <c r="AM215" s="133">
        <v>0</v>
      </c>
      <c r="AN215" s="133">
        <v>0</v>
      </c>
      <c r="AO215" s="133">
        <v>0</v>
      </c>
      <c r="AP215" s="133">
        <v>0</v>
      </c>
    </row>
    <row r="216" spans="7:42" x14ac:dyDescent="0.35">
      <c r="G216" s="218">
        <f t="shared" ref="G216" si="140">SUM(G119,G122,G123)-G118</f>
        <v>0</v>
      </c>
      <c r="H216" s="218">
        <f t="shared" ref="H216:I216" si="141">SUM(H119,H122,H123)-H118</f>
        <v>0</v>
      </c>
      <c r="I216" s="218">
        <f t="shared" si="141"/>
        <v>0</v>
      </c>
      <c r="J216" s="218">
        <f t="shared" ref="J216" si="142">SUM(J119,J122,J123)-J118</f>
        <v>0</v>
      </c>
      <c r="K216" s="218">
        <f t="shared" ref="K216:L216" si="143">SUM(K119,K122,K123)-K118</f>
        <v>0</v>
      </c>
      <c r="L216" s="218">
        <f t="shared" si="143"/>
        <v>0</v>
      </c>
      <c r="M216" s="218">
        <f t="shared" ref="M216" si="144">SUM(M119,M122,M123)-M118</f>
        <v>0</v>
      </c>
      <c r="N216" s="133">
        <v>0</v>
      </c>
      <c r="O216" s="133">
        <v>0</v>
      </c>
      <c r="P216" s="134">
        <v>0</v>
      </c>
      <c r="Q216" s="133">
        <v>0</v>
      </c>
      <c r="R216" s="133">
        <v>0</v>
      </c>
      <c r="S216" s="134">
        <v>0</v>
      </c>
      <c r="T216" s="133">
        <v>0</v>
      </c>
      <c r="U216" s="133">
        <v>0</v>
      </c>
      <c r="V216" s="133">
        <v>0</v>
      </c>
      <c r="W216" s="133">
        <v>0</v>
      </c>
      <c r="X216" s="133">
        <v>0</v>
      </c>
      <c r="Y216" s="133">
        <v>0</v>
      </c>
      <c r="Z216" s="133">
        <v>0</v>
      </c>
      <c r="AA216" s="133">
        <v>0</v>
      </c>
      <c r="AB216" s="133">
        <v>0</v>
      </c>
      <c r="AC216" s="133">
        <v>0</v>
      </c>
      <c r="AD216" s="133">
        <v>0</v>
      </c>
      <c r="AE216" s="133">
        <v>0</v>
      </c>
      <c r="AF216" s="133">
        <v>0</v>
      </c>
      <c r="AG216" s="133">
        <v>0</v>
      </c>
      <c r="AH216" s="133">
        <v>0</v>
      </c>
      <c r="AI216" s="133">
        <v>0</v>
      </c>
      <c r="AJ216" s="133">
        <v>0</v>
      </c>
      <c r="AK216" s="133">
        <v>0</v>
      </c>
      <c r="AL216" s="133">
        <v>0</v>
      </c>
      <c r="AM216" s="133">
        <v>0</v>
      </c>
      <c r="AN216" s="133">
        <v>0</v>
      </c>
      <c r="AO216" s="133">
        <v>0</v>
      </c>
      <c r="AP216" s="133">
        <v>0</v>
      </c>
    </row>
    <row r="217" spans="7:42" x14ac:dyDescent="0.35">
      <c r="G217" s="218">
        <f t="shared" ref="G217" si="145">SUM(G120:G121)-G119</f>
        <v>0</v>
      </c>
      <c r="H217" s="218">
        <f t="shared" ref="H217:I217" si="146">SUM(H120:H121)-H119</f>
        <v>0</v>
      </c>
      <c r="I217" s="218">
        <f t="shared" si="146"/>
        <v>0</v>
      </c>
      <c r="J217" s="218">
        <f t="shared" ref="J217" si="147">SUM(J120:J121)-J119</f>
        <v>0</v>
      </c>
      <c r="K217" s="218">
        <f t="shared" ref="K217:L217" si="148">SUM(K120:K121)-K119</f>
        <v>0</v>
      </c>
      <c r="L217" s="218">
        <f t="shared" si="148"/>
        <v>0</v>
      </c>
      <c r="M217" s="218">
        <f t="shared" ref="M217" si="149">SUM(M120:M121)-M119</f>
        <v>0</v>
      </c>
      <c r="N217" s="133">
        <v>0</v>
      </c>
      <c r="O217" s="133">
        <v>0</v>
      </c>
      <c r="P217" s="134">
        <v>0</v>
      </c>
      <c r="Q217" s="133">
        <v>0</v>
      </c>
      <c r="R217" s="133">
        <v>0</v>
      </c>
      <c r="S217" s="134">
        <v>0</v>
      </c>
      <c r="T217" s="133">
        <v>0</v>
      </c>
      <c r="U217" s="133">
        <v>0</v>
      </c>
      <c r="V217" s="133">
        <v>0</v>
      </c>
      <c r="W217" s="133">
        <v>0</v>
      </c>
      <c r="X217" s="133">
        <v>0</v>
      </c>
      <c r="Y217" s="133">
        <v>0</v>
      </c>
      <c r="Z217" s="133">
        <v>0</v>
      </c>
      <c r="AA217" s="133">
        <v>0</v>
      </c>
      <c r="AB217" s="133">
        <v>0</v>
      </c>
      <c r="AC217" s="133">
        <v>0</v>
      </c>
      <c r="AD217" s="133">
        <v>0</v>
      </c>
      <c r="AE217" s="133">
        <v>0</v>
      </c>
      <c r="AF217" s="133">
        <v>0</v>
      </c>
      <c r="AG217" s="133">
        <v>0</v>
      </c>
      <c r="AH217" s="133">
        <v>0</v>
      </c>
      <c r="AI217" s="133">
        <v>0</v>
      </c>
      <c r="AJ217" s="133">
        <v>0</v>
      </c>
      <c r="AK217" s="133">
        <v>0</v>
      </c>
      <c r="AL217" s="133">
        <v>0</v>
      </c>
      <c r="AM217" s="133">
        <v>0</v>
      </c>
      <c r="AN217" s="133">
        <v>0</v>
      </c>
      <c r="AO217" s="133">
        <v>0</v>
      </c>
      <c r="AP217" s="133">
        <v>0</v>
      </c>
    </row>
    <row r="218" spans="7:42" x14ac:dyDescent="0.35">
      <c r="G218" s="218">
        <f t="shared" ref="G218" si="150">SUM(G125,G129)-G124</f>
        <v>0</v>
      </c>
      <c r="H218" s="218">
        <f t="shared" ref="H218:I218" si="151">SUM(H125,H129)-H124</f>
        <v>0</v>
      </c>
      <c r="I218" s="218">
        <f t="shared" si="151"/>
        <v>0</v>
      </c>
      <c r="J218" s="218">
        <f t="shared" ref="J218" si="152">SUM(J125,J129)-J124</f>
        <v>0</v>
      </c>
      <c r="K218" s="218">
        <f t="shared" ref="K218:L218" si="153">SUM(K125,K129)-K124</f>
        <v>0</v>
      </c>
      <c r="L218" s="218">
        <f t="shared" si="153"/>
        <v>0</v>
      </c>
      <c r="M218" s="218">
        <f t="shared" ref="M218" si="154">SUM(M125,M129)-M124</f>
        <v>0</v>
      </c>
      <c r="N218" s="133">
        <v>0</v>
      </c>
      <c r="O218" s="133">
        <v>0</v>
      </c>
      <c r="P218" s="134">
        <v>0</v>
      </c>
      <c r="Q218" s="133">
        <v>0</v>
      </c>
      <c r="R218" s="133">
        <v>0</v>
      </c>
      <c r="S218" s="134">
        <v>0</v>
      </c>
      <c r="T218" s="133">
        <v>0</v>
      </c>
      <c r="U218" s="133">
        <v>0</v>
      </c>
      <c r="V218" s="133">
        <v>0</v>
      </c>
      <c r="W218" s="133">
        <v>0</v>
      </c>
      <c r="X218" s="133">
        <v>0</v>
      </c>
      <c r="Y218" s="133">
        <v>0</v>
      </c>
      <c r="Z218" s="133">
        <v>0</v>
      </c>
      <c r="AA218" s="133">
        <v>0</v>
      </c>
      <c r="AB218" s="133">
        <v>0</v>
      </c>
      <c r="AC218" s="133">
        <v>0</v>
      </c>
      <c r="AD218" s="133">
        <v>0</v>
      </c>
      <c r="AE218" s="133">
        <v>0</v>
      </c>
      <c r="AF218" s="133">
        <v>0</v>
      </c>
      <c r="AG218" s="133">
        <v>0</v>
      </c>
      <c r="AH218" s="133">
        <v>0</v>
      </c>
      <c r="AI218" s="133">
        <v>0</v>
      </c>
      <c r="AJ218" s="133">
        <v>0</v>
      </c>
      <c r="AK218" s="133">
        <v>0</v>
      </c>
      <c r="AL218" s="133">
        <v>0</v>
      </c>
      <c r="AM218" s="133">
        <v>0</v>
      </c>
      <c r="AN218" s="133">
        <v>0</v>
      </c>
      <c r="AO218" s="133">
        <v>0</v>
      </c>
      <c r="AP218" s="133">
        <v>0</v>
      </c>
    </row>
    <row r="219" spans="7:42" x14ac:dyDescent="0.35">
      <c r="G219" s="218">
        <f t="shared" ref="G219" si="155">SUM(G130:G134)-G129</f>
        <v>0</v>
      </c>
      <c r="H219" s="218">
        <f t="shared" ref="H219:I219" si="156">SUM(H130:H134)-H129</f>
        <v>0</v>
      </c>
      <c r="I219" s="218">
        <f t="shared" si="156"/>
        <v>0</v>
      </c>
      <c r="J219" s="218">
        <f t="shared" ref="J219" si="157">SUM(J130:J134)-J129</f>
        <v>0</v>
      </c>
      <c r="K219" s="218">
        <f t="shared" ref="K219:L219" si="158">SUM(K130:K134)-K129</f>
        <v>0</v>
      </c>
      <c r="L219" s="218">
        <f t="shared" si="158"/>
        <v>0</v>
      </c>
      <c r="M219" s="218">
        <f t="shared" ref="M219" si="159">SUM(M130:M134)-M129</f>
        <v>0</v>
      </c>
      <c r="N219" s="133">
        <v>0</v>
      </c>
      <c r="O219" s="133">
        <v>0</v>
      </c>
      <c r="P219" s="134">
        <v>0</v>
      </c>
      <c r="Q219" s="133">
        <v>0</v>
      </c>
      <c r="R219" s="133">
        <v>0</v>
      </c>
      <c r="S219" s="134">
        <v>0</v>
      </c>
      <c r="T219" s="133">
        <v>0</v>
      </c>
      <c r="U219" s="133">
        <v>0</v>
      </c>
      <c r="V219" s="133">
        <v>0</v>
      </c>
      <c r="W219" s="133">
        <v>0</v>
      </c>
      <c r="X219" s="133">
        <v>0</v>
      </c>
      <c r="Y219" s="133">
        <v>0</v>
      </c>
      <c r="Z219" s="133">
        <v>0</v>
      </c>
      <c r="AA219" s="133">
        <v>0</v>
      </c>
      <c r="AB219" s="133">
        <v>0</v>
      </c>
      <c r="AC219" s="133">
        <v>0</v>
      </c>
      <c r="AD219" s="133">
        <v>0</v>
      </c>
      <c r="AE219" s="133">
        <v>0</v>
      </c>
      <c r="AF219" s="133">
        <v>0</v>
      </c>
      <c r="AG219" s="133">
        <v>0</v>
      </c>
      <c r="AH219" s="133">
        <v>0</v>
      </c>
      <c r="AI219" s="133">
        <v>0</v>
      </c>
      <c r="AJ219" s="133">
        <v>0</v>
      </c>
      <c r="AK219" s="133">
        <v>0</v>
      </c>
      <c r="AL219" s="133">
        <v>0</v>
      </c>
      <c r="AM219" s="133">
        <v>0</v>
      </c>
      <c r="AN219" s="133">
        <v>0</v>
      </c>
      <c r="AO219" s="133">
        <v>0</v>
      </c>
      <c r="AP219" s="133">
        <v>0</v>
      </c>
    </row>
    <row r="220" spans="7:42" x14ac:dyDescent="0.35">
      <c r="G220" s="218">
        <f t="shared" ref="G220" si="160">SUM(G136)-G135</f>
        <v>0</v>
      </c>
      <c r="H220" s="218">
        <f t="shared" ref="H220:I220" si="161">SUM(H136)-H135</f>
        <v>0</v>
      </c>
      <c r="I220" s="218">
        <f t="shared" si="161"/>
        <v>0</v>
      </c>
      <c r="J220" s="218">
        <f t="shared" ref="J220" si="162">SUM(J136)-J135</f>
        <v>0</v>
      </c>
      <c r="K220" s="218">
        <f t="shared" ref="K220:L220" si="163">SUM(K136)-K135</f>
        <v>0</v>
      </c>
      <c r="L220" s="218">
        <f t="shared" si="163"/>
        <v>0</v>
      </c>
      <c r="M220" s="218">
        <f t="shared" ref="M220" si="164">SUM(M136)-M135</f>
        <v>0</v>
      </c>
      <c r="N220" s="133">
        <v>0</v>
      </c>
      <c r="O220" s="133">
        <v>0</v>
      </c>
      <c r="P220" s="134">
        <v>0</v>
      </c>
      <c r="Q220" s="133">
        <v>0</v>
      </c>
      <c r="R220" s="133">
        <v>0</v>
      </c>
      <c r="S220" s="134">
        <v>0</v>
      </c>
      <c r="T220" s="133">
        <v>0</v>
      </c>
      <c r="U220" s="133">
        <v>0</v>
      </c>
      <c r="V220" s="133">
        <v>0</v>
      </c>
      <c r="W220" s="133">
        <v>0</v>
      </c>
      <c r="X220" s="133">
        <v>0</v>
      </c>
      <c r="Y220" s="133">
        <v>0</v>
      </c>
      <c r="Z220" s="133">
        <v>0</v>
      </c>
      <c r="AA220" s="133">
        <v>0</v>
      </c>
      <c r="AB220" s="133">
        <v>0</v>
      </c>
      <c r="AC220" s="133">
        <v>0</v>
      </c>
      <c r="AD220" s="133">
        <v>0</v>
      </c>
      <c r="AE220" s="133">
        <v>0</v>
      </c>
      <c r="AF220" s="133">
        <v>0</v>
      </c>
      <c r="AG220" s="133">
        <v>0</v>
      </c>
      <c r="AH220" s="133">
        <v>0</v>
      </c>
      <c r="AI220" s="133">
        <v>0</v>
      </c>
      <c r="AJ220" s="133">
        <v>0</v>
      </c>
      <c r="AK220" s="133">
        <v>0</v>
      </c>
      <c r="AL220" s="133">
        <v>0</v>
      </c>
      <c r="AM220" s="133">
        <v>0</v>
      </c>
      <c r="AN220" s="133">
        <v>0</v>
      </c>
      <c r="AO220" s="133">
        <v>0</v>
      </c>
      <c r="AP220" s="133">
        <v>0</v>
      </c>
    </row>
    <row r="221" spans="7:42" x14ac:dyDescent="0.35">
      <c r="G221" s="218">
        <f t="shared" ref="G221" si="165">SUM(G138,G143)-G137</f>
        <v>0</v>
      </c>
      <c r="H221" s="218">
        <f t="shared" ref="H221:I221" si="166">SUM(H138,H143)-H137</f>
        <v>0</v>
      </c>
      <c r="I221" s="218">
        <f t="shared" si="166"/>
        <v>0</v>
      </c>
      <c r="J221" s="218">
        <f t="shared" ref="J221" si="167">SUM(J138,J143)-J137</f>
        <v>0</v>
      </c>
      <c r="K221" s="218">
        <f t="shared" ref="K221:L221" si="168">SUM(K138,K143)-K137</f>
        <v>0</v>
      </c>
      <c r="L221" s="218">
        <f t="shared" si="168"/>
        <v>0</v>
      </c>
      <c r="M221" s="218">
        <f t="shared" ref="M221" si="169">SUM(M138,M143)-M137</f>
        <v>0</v>
      </c>
      <c r="N221" s="133">
        <v>0</v>
      </c>
      <c r="O221" s="133">
        <v>0</v>
      </c>
      <c r="P221" s="134">
        <v>0</v>
      </c>
      <c r="Q221" s="133">
        <v>0</v>
      </c>
      <c r="R221" s="133">
        <v>0</v>
      </c>
      <c r="S221" s="134">
        <v>0</v>
      </c>
      <c r="T221" s="133">
        <v>0</v>
      </c>
      <c r="U221" s="133">
        <v>0</v>
      </c>
      <c r="V221" s="133">
        <v>0</v>
      </c>
      <c r="W221" s="133">
        <v>0</v>
      </c>
      <c r="X221" s="133">
        <v>0</v>
      </c>
      <c r="Y221" s="133">
        <v>0</v>
      </c>
      <c r="Z221" s="133">
        <v>0</v>
      </c>
      <c r="AA221" s="133">
        <v>0</v>
      </c>
      <c r="AB221" s="133">
        <v>0</v>
      </c>
      <c r="AC221" s="133">
        <v>0</v>
      </c>
      <c r="AD221" s="133">
        <v>0</v>
      </c>
      <c r="AE221" s="133">
        <v>0</v>
      </c>
      <c r="AF221" s="133">
        <v>0</v>
      </c>
      <c r="AG221" s="133">
        <v>0</v>
      </c>
      <c r="AH221" s="133">
        <v>0</v>
      </c>
      <c r="AI221" s="133">
        <v>0</v>
      </c>
      <c r="AJ221" s="133">
        <v>0</v>
      </c>
      <c r="AK221" s="133">
        <v>0</v>
      </c>
      <c r="AL221" s="133">
        <v>0</v>
      </c>
      <c r="AM221" s="133">
        <v>0</v>
      </c>
      <c r="AN221" s="133">
        <v>0</v>
      </c>
      <c r="AO221" s="133">
        <v>0</v>
      </c>
      <c r="AP221" s="133">
        <v>0</v>
      </c>
    </row>
    <row r="222" spans="7:42" x14ac:dyDescent="0.35">
      <c r="G222" s="218">
        <f t="shared" ref="G222" si="170">SUM(G139:G142)-G138</f>
        <v>0</v>
      </c>
      <c r="H222" s="218">
        <f t="shared" ref="H222:I222" si="171">SUM(H139:H142)-H138</f>
        <v>0</v>
      </c>
      <c r="I222" s="218">
        <f t="shared" si="171"/>
        <v>0</v>
      </c>
      <c r="J222" s="218">
        <f t="shared" ref="J222" si="172">SUM(J139:J142)-J138</f>
        <v>0</v>
      </c>
      <c r="K222" s="218">
        <f t="shared" ref="K222:L222" si="173">SUM(K139:K142)-K138</f>
        <v>0</v>
      </c>
      <c r="L222" s="218">
        <f t="shared" si="173"/>
        <v>0</v>
      </c>
      <c r="M222" s="218">
        <f t="shared" ref="M222" si="174">SUM(M139:M142)-M138</f>
        <v>0</v>
      </c>
      <c r="N222" s="133">
        <v>0</v>
      </c>
      <c r="O222" s="133">
        <v>0</v>
      </c>
      <c r="P222" s="134">
        <v>0</v>
      </c>
      <c r="Q222" s="133">
        <v>0</v>
      </c>
      <c r="R222" s="133">
        <v>0</v>
      </c>
      <c r="S222" s="134">
        <v>0</v>
      </c>
      <c r="T222" s="133">
        <v>0</v>
      </c>
      <c r="U222" s="133">
        <v>0</v>
      </c>
      <c r="V222" s="133">
        <v>0</v>
      </c>
      <c r="W222" s="133">
        <v>0</v>
      </c>
      <c r="X222" s="133">
        <v>0</v>
      </c>
      <c r="Y222" s="133">
        <v>0</v>
      </c>
      <c r="Z222" s="133">
        <v>0</v>
      </c>
      <c r="AA222" s="133">
        <v>0</v>
      </c>
      <c r="AB222" s="133">
        <v>0</v>
      </c>
      <c r="AC222" s="133">
        <v>0</v>
      </c>
      <c r="AD222" s="133">
        <v>0</v>
      </c>
      <c r="AE222" s="133">
        <v>0</v>
      </c>
      <c r="AF222" s="133">
        <v>0</v>
      </c>
      <c r="AG222" s="133">
        <v>0</v>
      </c>
      <c r="AH222" s="133">
        <v>0</v>
      </c>
      <c r="AI222" s="133">
        <v>0</v>
      </c>
      <c r="AJ222" s="133">
        <v>0</v>
      </c>
      <c r="AK222" s="133">
        <v>0</v>
      </c>
      <c r="AL222" s="133">
        <v>0</v>
      </c>
      <c r="AM222" s="133">
        <v>0</v>
      </c>
      <c r="AN222" s="133">
        <v>0</v>
      </c>
      <c r="AO222" s="133">
        <v>0</v>
      </c>
      <c r="AP222" s="133">
        <v>0</v>
      </c>
    </row>
    <row r="223" spans="7:42" x14ac:dyDescent="0.35">
      <c r="G223" s="218">
        <f t="shared" ref="G223" si="175">SUM(G144:G147)-G143</f>
        <v>0</v>
      </c>
      <c r="H223" s="218">
        <f t="shared" ref="H223:I223" si="176">SUM(H144:H147)-H143</f>
        <v>0</v>
      </c>
      <c r="I223" s="218">
        <f t="shared" si="176"/>
        <v>0</v>
      </c>
      <c r="J223" s="218">
        <f t="shared" ref="J223" si="177">SUM(J144:J147)-J143</f>
        <v>0</v>
      </c>
      <c r="K223" s="218">
        <f t="shared" ref="K223:L223" si="178">SUM(K144:K147)-K143</f>
        <v>0</v>
      </c>
      <c r="L223" s="218">
        <f t="shared" si="178"/>
        <v>0</v>
      </c>
      <c r="M223" s="218">
        <f t="shared" ref="M223" si="179">SUM(M144:M147)-M143</f>
        <v>0</v>
      </c>
      <c r="N223" s="133">
        <v>0</v>
      </c>
      <c r="O223" s="133">
        <v>0</v>
      </c>
      <c r="P223" s="134">
        <v>0</v>
      </c>
      <c r="Q223" s="133">
        <v>0</v>
      </c>
      <c r="R223" s="133">
        <v>0</v>
      </c>
      <c r="S223" s="134">
        <v>0</v>
      </c>
      <c r="T223" s="133">
        <v>0</v>
      </c>
      <c r="U223" s="133">
        <v>0</v>
      </c>
      <c r="V223" s="133">
        <v>0</v>
      </c>
      <c r="W223" s="133">
        <v>0</v>
      </c>
      <c r="X223" s="133">
        <v>0</v>
      </c>
      <c r="Y223" s="133">
        <v>0</v>
      </c>
      <c r="Z223" s="133">
        <v>0</v>
      </c>
      <c r="AA223" s="133">
        <v>0</v>
      </c>
      <c r="AB223" s="133">
        <v>0</v>
      </c>
      <c r="AC223" s="133">
        <v>0</v>
      </c>
      <c r="AD223" s="133">
        <v>0</v>
      </c>
      <c r="AE223" s="133">
        <v>0</v>
      </c>
      <c r="AF223" s="133">
        <v>0</v>
      </c>
      <c r="AG223" s="133">
        <v>0</v>
      </c>
      <c r="AH223" s="133">
        <v>0</v>
      </c>
      <c r="AI223" s="133">
        <v>0</v>
      </c>
      <c r="AJ223" s="133">
        <v>0</v>
      </c>
      <c r="AK223" s="133">
        <v>0</v>
      </c>
      <c r="AL223" s="133">
        <v>0</v>
      </c>
      <c r="AM223" s="133">
        <v>0</v>
      </c>
      <c r="AN223" s="133">
        <v>0</v>
      </c>
      <c r="AO223" s="133">
        <v>0</v>
      </c>
      <c r="AP223" s="133">
        <v>0</v>
      </c>
    </row>
    <row r="224" spans="7:42" x14ac:dyDescent="0.35">
      <c r="G224" s="218">
        <f t="shared" ref="G224" si="180">SUM(G156,G157,G165,G166,G177,G178,G181,G183,G186)-G155</f>
        <v>0</v>
      </c>
      <c r="H224" s="218">
        <f t="shared" ref="H224:I224" si="181">SUM(H156,H157,H165,H166,H177,H178,H181,H183,H186)-H155</f>
        <v>0</v>
      </c>
      <c r="I224" s="218">
        <f t="shared" si="181"/>
        <v>0</v>
      </c>
      <c r="J224" s="218">
        <f t="shared" ref="J224" si="182">SUM(J156,J157,J165,J166,J177,J178,J181,J183,J186)-J155</f>
        <v>0</v>
      </c>
      <c r="K224" s="218">
        <f t="shared" ref="K224:L224" si="183">SUM(K156,K157,K165,K166,K177,K178,K181,K183,K186)-K155</f>
        <v>0</v>
      </c>
      <c r="L224" s="218">
        <f t="shared" si="183"/>
        <v>0</v>
      </c>
      <c r="M224" s="218">
        <f t="shared" ref="M224" si="184">SUM(M156,M157,M165,M166,M177,M178,M181,M183,M186)-M155</f>
        <v>0</v>
      </c>
      <c r="N224" s="133">
        <v>0</v>
      </c>
      <c r="O224" s="133">
        <v>0</v>
      </c>
      <c r="P224" s="134">
        <v>0</v>
      </c>
      <c r="Q224" s="133">
        <v>0</v>
      </c>
      <c r="R224" s="133">
        <v>0</v>
      </c>
      <c r="S224" s="134">
        <v>0</v>
      </c>
      <c r="T224" s="133">
        <v>0</v>
      </c>
      <c r="U224" s="133">
        <v>0</v>
      </c>
      <c r="V224" s="133">
        <v>0</v>
      </c>
      <c r="W224" s="133">
        <v>0</v>
      </c>
      <c r="X224" s="133">
        <v>0</v>
      </c>
      <c r="Y224" s="133">
        <v>0</v>
      </c>
      <c r="Z224" s="133">
        <v>0</v>
      </c>
      <c r="AA224" s="133">
        <v>0</v>
      </c>
      <c r="AB224" s="133">
        <v>0</v>
      </c>
      <c r="AC224" s="133">
        <v>0</v>
      </c>
      <c r="AD224" s="133">
        <v>0</v>
      </c>
      <c r="AE224" s="133">
        <v>0</v>
      </c>
      <c r="AF224" s="133">
        <v>0</v>
      </c>
      <c r="AG224" s="133">
        <v>0</v>
      </c>
      <c r="AH224" s="133">
        <v>0</v>
      </c>
      <c r="AI224" s="133">
        <v>0</v>
      </c>
      <c r="AJ224" s="133">
        <v>0</v>
      </c>
      <c r="AK224" s="133">
        <v>0</v>
      </c>
      <c r="AL224" s="133">
        <v>0</v>
      </c>
      <c r="AM224" s="133">
        <v>0</v>
      </c>
      <c r="AN224" s="133">
        <v>0</v>
      </c>
      <c r="AO224" s="133">
        <v>0</v>
      </c>
      <c r="AP224" s="133">
        <v>0</v>
      </c>
    </row>
    <row r="225" spans="7:42" x14ac:dyDescent="0.35">
      <c r="G225" s="218">
        <f t="shared" ref="G225" si="185">SUM(G158:G164)-G157</f>
        <v>0</v>
      </c>
      <c r="H225" s="218">
        <f t="shared" ref="H225:I225" si="186">SUM(H158:H164)-H157</f>
        <v>0</v>
      </c>
      <c r="I225" s="218">
        <f t="shared" si="186"/>
        <v>0</v>
      </c>
      <c r="J225" s="218">
        <f t="shared" ref="J225" si="187">SUM(J158:J164)-J157</f>
        <v>0</v>
      </c>
      <c r="K225" s="218">
        <f t="shared" ref="K225:L225" si="188">SUM(K158:K164)-K157</f>
        <v>0</v>
      </c>
      <c r="L225" s="218">
        <f t="shared" si="188"/>
        <v>0</v>
      </c>
      <c r="M225" s="218">
        <f t="shared" ref="M225" si="189">SUM(M158:M164)-M157</f>
        <v>0</v>
      </c>
      <c r="N225" s="133">
        <v>0</v>
      </c>
      <c r="O225" s="133">
        <v>0</v>
      </c>
      <c r="P225" s="134">
        <v>0</v>
      </c>
      <c r="Q225" s="133">
        <v>0</v>
      </c>
      <c r="R225" s="133">
        <v>0</v>
      </c>
      <c r="S225" s="134">
        <v>0</v>
      </c>
      <c r="T225" s="133">
        <v>0</v>
      </c>
      <c r="U225" s="133">
        <v>0</v>
      </c>
      <c r="V225" s="133">
        <v>0</v>
      </c>
      <c r="W225" s="133">
        <v>0</v>
      </c>
      <c r="X225" s="133">
        <v>0</v>
      </c>
      <c r="Y225" s="133">
        <v>0</v>
      </c>
      <c r="Z225" s="133">
        <v>0</v>
      </c>
      <c r="AA225" s="133">
        <v>0</v>
      </c>
      <c r="AB225" s="133">
        <v>0</v>
      </c>
      <c r="AC225" s="133">
        <v>0</v>
      </c>
      <c r="AD225" s="133">
        <v>0</v>
      </c>
      <c r="AE225" s="133">
        <v>0</v>
      </c>
      <c r="AF225" s="133">
        <v>0</v>
      </c>
      <c r="AG225" s="133">
        <v>0</v>
      </c>
      <c r="AH225" s="133">
        <v>0</v>
      </c>
      <c r="AI225" s="133">
        <v>0</v>
      </c>
      <c r="AJ225" s="133">
        <v>0</v>
      </c>
      <c r="AK225" s="133">
        <v>0</v>
      </c>
      <c r="AL225" s="133">
        <v>0</v>
      </c>
      <c r="AM225" s="133">
        <v>0</v>
      </c>
      <c r="AN225" s="133">
        <v>0</v>
      </c>
      <c r="AO225" s="133">
        <v>0</v>
      </c>
      <c r="AP225" s="133">
        <v>0</v>
      </c>
    </row>
    <row r="226" spans="7:42" x14ac:dyDescent="0.35">
      <c r="G226" s="218">
        <f t="shared" ref="G226" si="190">SUM(G167:G176)-G166</f>
        <v>0</v>
      </c>
      <c r="H226" s="218">
        <f t="shared" ref="H226:I226" si="191">SUM(H167:H176)-H166</f>
        <v>0</v>
      </c>
      <c r="I226" s="218">
        <f t="shared" si="191"/>
        <v>0</v>
      </c>
      <c r="J226" s="218">
        <f t="shared" ref="J226" si="192">SUM(J167:J176)-J166</f>
        <v>0</v>
      </c>
      <c r="K226" s="218">
        <f t="shared" ref="K226:L226" si="193">SUM(K167:K176)-K166</f>
        <v>0</v>
      </c>
      <c r="L226" s="218">
        <f t="shared" si="193"/>
        <v>0</v>
      </c>
      <c r="M226" s="218">
        <f t="shared" ref="M226" si="194">SUM(M167:M176)-M166</f>
        <v>0</v>
      </c>
      <c r="N226" s="133">
        <v>0</v>
      </c>
      <c r="O226" s="133">
        <v>0</v>
      </c>
      <c r="P226" s="134">
        <v>0</v>
      </c>
      <c r="Q226" s="133">
        <v>0</v>
      </c>
      <c r="R226" s="133">
        <v>0</v>
      </c>
      <c r="S226" s="134">
        <v>0</v>
      </c>
      <c r="T226" s="133">
        <v>0</v>
      </c>
      <c r="U226" s="133">
        <v>0</v>
      </c>
      <c r="V226" s="133">
        <v>0</v>
      </c>
      <c r="W226" s="133">
        <v>0</v>
      </c>
      <c r="X226" s="133">
        <v>0</v>
      </c>
      <c r="Y226" s="133">
        <v>0</v>
      </c>
      <c r="Z226" s="133">
        <v>0</v>
      </c>
      <c r="AA226" s="133">
        <v>0</v>
      </c>
      <c r="AB226" s="133">
        <v>0</v>
      </c>
      <c r="AC226" s="133">
        <v>0</v>
      </c>
      <c r="AD226" s="133">
        <v>0</v>
      </c>
      <c r="AE226" s="133">
        <v>0</v>
      </c>
      <c r="AF226" s="133">
        <v>0</v>
      </c>
      <c r="AG226" s="133">
        <v>0</v>
      </c>
      <c r="AH226" s="133">
        <v>0</v>
      </c>
      <c r="AI226" s="133">
        <v>0</v>
      </c>
      <c r="AJ226" s="133">
        <v>0</v>
      </c>
      <c r="AK226" s="133">
        <v>0</v>
      </c>
      <c r="AL226" s="133">
        <v>0</v>
      </c>
      <c r="AM226" s="133">
        <v>0</v>
      </c>
      <c r="AN226" s="133">
        <v>0</v>
      </c>
      <c r="AO226" s="133">
        <v>0</v>
      </c>
      <c r="AP226" s="133">
        <v>0</v>
      </c>
    </row>
    <row r="227" spans="7:42" x14ac:dyDescent="0.35">
      <c r="G227" s="218">
        <f t="shared" ref="G227" si="195">SUM(G179:G180)-G178</f>
        <v>0</v>
      </c>
      <c r="H227" s="218">
        <f t="shared" ref="H227:I227" si="196">SUM(H179:H180)-H178</f>
        <v>0</v>
      </c>
      <c r="I227" s="218">
        <f t="shared" si="196"/>
        <v>0</v>
      </c>
      <c r="J227" s="218">
        <f t="shared" ref="J227" si="197">SUM(J179:J180)-J178</f>
        <v>0</v>
      </c>
      <c r="K227" s="218">
        <f t="shared" ref="K227:L227" si="198">SUM(K179:K180)-K178</f>
        <v>0</v>
      </c>
      <c r="L227" s="218">
        <f t="shared" si="198"/>
        <v>0</v>
      </c>
      <c r="M227" s="218">
        <f t="shared" ref="M227" si="199">SUM(M179:M180)-M178</f>
        <v>0</v>
      </c>
      <c r="N227" s="133">
        <v>0</v>
      </c>
      <c r="O227" s="133">
        <v>0</v>
      </c>
      <c r="P227" s="134">
        <v>0</v>
      </c>
      <c r="Q227" s="133">
        <v>0</v>
      </c>
      <c r="R227" s="133">
        <v>0</v>
      </c>
      <c r="S227" s="134">
        <v>0</v>
      </c>
      <c r="T227" s="133">
        <v>0</v>
      </c>
      <c r="U227" s="133">
        <v>0</v>
      </c>
      <c r="V227" s="133">
        <v>0</v>
      </c>
      <c r="W227" s="133">
        <v>0</v>
      </c>
      <c r="X227" s="133">
        <v>0</v>
      </c>
      <c r="Y227" s="133">
        <v>0</v>
      </c>
      <c r="Z227" s="133">
        <v>0</v>
      </c>
      <c r="AA227" s="133">
        <v>0</v>
      </c>
      <c r="AB227" s="133">
        <v>0</v>
      </c>
      <c r="AC227" s="133">
        <v>0</v>
      </c>
      <c r="AD227" s="133">
        <v>0</v>
      </c>
      <c r="AE227" s="133">
        <v>0</v>
      </c>
      <c r="AF227" s="133">
        <v>0</v>
      </c>
      <c r="AG227" s="133">
        <v>0</v>
      </c>
      <c r="AH227" s="133">
        <v>0</v>
      </c>
      <c r="AI227" s="133">
        <v>0</v>
      </c>
      <c r="AJ227" s="133">
        <v>0</v>
      </c>
      <c r="AK227" s="133">
        <v>0</v>
      </c>
      <c r="AL227" s="133">
        <v>0</v>
      </c>
      <c r="AM227" s="133">
        <v>0</v>
      </c>
      <c r="AN227" s="133">
        <v>0</v>
      </c>
      <c r="AO227" s="133">
        <v>0</v>
      </c>
      <c r="AP227" s="133">
        <v>0</v>
      </c>
    </row>
    <row r="228" spans="7:42" x14ac:dyDescent="0.35">
      <c r="G228" s="218">
        <f t="shared" ref="G228" si="200">SUM(G182)-G181</f>
        <v>0</v>
      </c>
      <c r="H228" s="218">
        <f t="shared" ref="H228:I228" si="201">SUM(H182)-H181</f>
        <v>0</v>
      </c>
      <c r="I228" s="218">
        <f t="shared" si="201"/>
        <v>0</v>
      </c>
      <c r="J228" s="218">
        <f t="shared" ref="J228" si="202">SUM(J182)-J181</f>
        <v>0</v>
      </c>
      <c r="K228" s="218">
        <f t="shared" ref="K228:L228" si="203">SUM(K182)-K181</f>
        <v>0</v>
      </c>
      <c r="L228" s="218">
        <f t="shared" si="203"/>
        <v>0</v>
      </c>
      <c r="M228" s="218">
        <f t="shared" ref="M228" si="204">SUM(M182)-M181</f>
        <v>0</v>
      </c>
      <c r="N228" s="133">
        <v>0</v>
      </c>
      <c r="O228" s="133">
        <v>0</v>
      </c>
      <c r="P228" s="134">
        <v>0</v>
      </c>
      <c r="Q228" s="133">
        <v>0</v>
      </c>
      <c r="R228" s="133">
        <v>0</v>
      </c>
      <c r="S228" s="134">
        <v>0</v>
      </c>
      <c r="T228" s="133">
        <v>0</v>
      </c>
      <c r="U228" s="133">
        <v>0</v>
      </c>
      <c r="V228" s="133">
        <v>0</v>
      </c>
      <c r="W228" s="133">
        <v>0</v>
      </c>
      <c r="X228" s="133">
        <v>0</v>
      </c>
      <c r="Y228" s="133">
        <v>0</v>
      </c>
      <c r="Z228" s="133">
        <v>0</v>
      </c>
      <c r="AA228" s="133">
        <v>0</v>
      </c>
      <c r="AB228" s="133">
        <v>0</v>
      </c>
      <c r="AC228" s="133">
        <v>0</v>
      </c>
      <c r="AD228" s="133">
        <v>0</v>
      </c>
      <c r="AE228" s="133">
        <v>0</v>
      </c>
      <c r="AF228" s="133">
        <v>0</v>
      </c>
      <c r="AG228" s="133">
        <v>0</v>
      </c>
      <c r="AH228" s="133">
        <v>0</v>
      </c>
      <c r="AI228" s="133">
        <v>0</v>
      </c>
      <c r="AJ228" s="133">
        <v>0</v>
      </c>
      <c r="AK228" s="133">
        <v>0</v>
      </c>
      <c r="AL228" s="133">
        <v>0</v>
      </c>
      <c r="AM228" s="133">
        <v>0</v>
      </c>
      <c r="AN228" s="133">
        <v>0</v>
      </c>
      <c r="AO228" s="133">
        <v>0</v>
      </c>
      <c r="AP228" s="133">
        <v>0</v>
      </c>
    </row>
    <row r="229" spans="7:42" x14ac:dyDescent="0.35">
      <c r="G229" s="218">
        <f t="shared" ref="G229" si="205">SUM(G184:G185)-G183</f>
        <v>0</v>
      </c>
      <c r="H229" s="218">
        <f t="shared" ref="H229:I229" si="206">SUM(H184:H185)-H183</f>
        <v>0</v>
      </c>
      <c r="I229" s="218">
        <f t="shared" si="206"/>
        <v>0</v>
      </c>
      <c r="J229" s="218">
        <f t="shared" ref="J229" si="207">SUM(J184:J185)-J183</f>
        <v>0</v>
      </c>
      <c r="K229" s="218">
        <f t="shared" ref="K229:L229" si="208">SUM(K184:K185)-K183</f>
        <v>0</v>
      </c>
      <c r="L229" s="218">
        <f t="shared" si="208"/>
        <v>0</v>
      </c>
      <c r="M229" s="218">
        <f t="shared" ref="M229" si="209">SUM(M184:M185)-M183</f>
        <v>0</v>
      </c>
      <c r="N229" s="133">
        <v>0</v>
      </c>
      <c r="O229" s="133">
        <v>0</v>
      </c>
      <c r="P229" s="134">
        <v>0</v>
      </c>
      <c r="Q229" s="133">
        <v>0</v>
      </c>
      <c r="R229" s="133">
        <v>0</v>
      </c>
      <c r="S229" s="134">
        <v>0</v>
      </c>
      <c r="T229" s="133">
        <v>0</v>
      </c>
      <c r="U229" s="133">
        <v>0</v>
      </c>
      <c r="V229" s="133">
        <v>0</v>
      </c>
      <c r="W229" s="133">
        <v>0</v>
      </c>
      <c r="X229" s="133">
        <v>0</v>
      </c>
      <c r="Y229" s="133">
        <v>0</v>
      </c>
      <c r="Z229" s="133">
        <v>0</v>
      </c>
      <c r="AA229" s="133">
        <v>0</v>
      </c>
      <c r="AB229" s="133">
        <v>0</v>
      </c>
      <c r="AC229" s="133">
        <v>0</v>
      </c>
      <c r="AD229" s="133">
        <v>0</v>
      </c>
      <c r="AE229" s="133">
        <v>0</v>
      </c>
      <c r="AF229" s="133">
        <v>0</v>
      </c>
      <c r="AG229" s="133">
        <v>0</v>
      </c>
      <c r="AH229" s="133">
        <v>0</v>
      </c>
      <c r="AI229" s="133">
        <v>0</v>
      </c>
      <c r="AJ229" s="133">
        <v>0</v>
      </c>
      <c r="AK229" s="133">
        <v>0</v>
      </c>
      <c r="AL229" s="133">
        <v>0</v>
      </c>
      <c r="AM229" s="133">
        <v>0</v>
      </c>
      <c r="AN229" s="133">
        <v>0</v>
      </c>
      <c r="AO229" s="133">
        <v>0</v>
      </c>
      <c r="AP229" s="133">
        <v>0</v>
      </c>
    </row>
    <row r="230" spans="7:42" x14ac:dyDescent="0.35">
      <c r="M230" s="130"/>
      <c r="N230" s="130"/>
    </row>
  </sheetData>
  <phoneticPr fontId="10" type="noConversion"/>
  <pageMargins left="0.511811024" right="0.511811024" top="0.78740157499999996" bottom="0.78740157499999996" header="0.31496062000000002" footer="0.31496062000000002"/>
  <pageSetup orientation="portrait" r:id="rId1"/>
  <headerFooter>
    <oddFooter>&amp;C&amp;1#&amp;"Calibri"&amp;10&amp;K000000INFORMAÇÃO INTERNA – INTERNAL INFORMATION</oddFooter>
  </headerFooter>
  <customProperties>
    <customPr name="OrphanNamesChecked" r:id="rId2"/>
  </customProperties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W54"/>
  <sheetViews>
    <sheetView showGridLines="0" zoomScale="80" zoomScaleNormal="80" workbookViewId="0">
      <pane xSplit="3" ySplit="2" topLeftCell="G3" activePane="bottomRight" state="frozen"/>
      <selection pane="topRight" activeCell="D1" sqref="D1"/>
      <selection pane="bottomLeft" activeCell="A2" sqref="A2"/>
      <selection pane="bottomRight" activeCell="I3" sqref="H3:I3"/>
    </sheetView>
  </sheetViews>
  <sheetFormatPr defaultColWidth="8.7265625" defaultRowHeight="13.5" outlineLevelCol="1" x14ac:dyDescent="0.25"/>
  <cols>
    <col min="1" max="1" width="11.1796875" style="30" bestFit="1" customWidth="1"/>
    <col min="2" max="2" width="55.7265625" style="30" bestFit="1" customWidth="1"/>
    <col min="3" max="3" width="79.7265625" style="30" customWidth="1" outlineLevel="1"/>
    <col min="4" max="4" width="14.7265625" style="30" customWidth="1"/>
    <col min="5" max="6" width="11.54296875" style="30" bestFit="1" customWidth="1"/>
    <col min="7" max="8" width="15.6328125" style="30" customWidth="1"/>
    <col min="9" max="9" width="16" style="30" bestFit="1" customWidth="1"/>
    <col min="10" max="10" width="14.7265625" style="30" bestFit="1" customWidth="1"/>
    <col min="11" max="11" width="14.7265625" style="30" customWidth="1"/>
    <col min="12" max="12" width="12.453125" style="30" customWidth="1"/>
    <col min="13" max="13" width="11.54296875" style="30" bestFit="1" customWidth="1"/>
    <col min="14" max="14" width="14.453125" style="30" bestFit="1" customWidth="1"/>
    <col min="15" max="15" width="11.54296875" style="30" bestFit="1" customWidth="1"/>
    <col min="16" max="16" width="14.453125" style="30" bestFit="1" customWidth="1"/>
    <col min="17" max="17" width="11.54296875" style="30" bestFit="1" customWidth="1"/>
    <col min="18" max="18" width="14.453125" style="30" bestFit="1" customWidth="1"/>
    <col min="19" max="20" width="11.54296875" style="30" bestFit="1" customWidth="1"/>
    <col min="21" max="21" width="14.453125" style="30" bestFit="1" customWidth="1"/>
    <col min="22" max="22" width="11.54296875" style="30" bestFit="1" customWidth="1"/>
    <col min="23" max="23" width="14.453125" style="30" bestFit="1" customWidth="1"/>
    <col min="24" max="24" width="11.54296875" style="30" bestFit="1" customWidth="1"/>
    <col min="25" max="25" width="14.453125" style="30" bestFit="1" customWidth="1"/>
    <col min="26" max="27" width="11.54296875" style="30" bestFit="1" customWidth="1"/>
    <col min="28" max="28" width="14.453125" style="30" bestFit="1" customWidth="1"/>
    <col min="29" max="29" width="11.54296875" style="30" bestFit="1" customWidth="1"/>
    <col min="30" max="30" width="14.453125" style="30" bestFit="1" customWidth="1"/>
    <col min="31" max="31" width="11.54296875" style="30" bestFit="1" customWidth="1"/>
    <col min="32" max="32" width="14.453125" style="30" bestFit="1" customWidth="1"/>
    <col min="33" max="33" width="11.54296875" style="30" bestFit="1" customWidth="1"/>
    <col min="34" max="41" width="15.26953125" style="30" customWidth="1"/>
    <col min="42" max="42" width="15.26953125" style="30" customWidth="1" collapsed="1"/>
    <col min="43" max="48" width="15.26953125" style="30" customWidth="1"/>
    <col min="49" max="49" width="15.26953125" style="30" customWidth="1" collapsed="1"/>
    <col min="50" max="55" width="15.26953125" style="30" customWidth="1"/>
    <col min="56" max="56" width="15.26953125" style="30" customWidth="1" collapsed="1"/>
    <col min="57" max="70" width="15.26953125" style="30" customWidth="1"/>
    <col min="71" max="16384" width="8.7265625" style="30"/>
  </cols>
  <sheetData>
    <row r="1" spans="1:75" ht="14" x14ac:dyDescent="0.3">
      <c r="A1" s="31"/>
      <c r="B1" s="31"/>
      <c r="C1" s="31"/>
      <c r="D1" s="138" t="s">
        <v>670</v>
      </c>
      <c r="E1" s="138" t="s">
        <v>691</v>
      </c>
      <c r="F1" s="138" t="s">
        <v>689</v>
      </c>
      <c r="G1" s="138" t="s">
        <v>670</v>
      </c>
      <c r="H1" s="138" t="s">
        <v>675</v>
      </c>
      <c r="I1" s="138" t="s">
        <v>670</v>
      </c>
      <c r="J1" s="138" t="s">
        <v>674</v>
      </c>
      <c r="K1" s="138" t="s">
        <v>670</v>
      </c>
      <c r="L1" s="138" t="s">
        <v>673</v>
      </c>
      <c r="M1" s="138" t="s">
        <v>671</v>
      </c>
      <c r="N1" s="138" t="s">
        <v>670</v>
      </c>
      <c r="O1" s="138" t="s">
        <v>491</v>
      </c>
      <c r="P1" s="138" t="s">
        <v>670</v>
      </c>
      <c r="Q1" s="138" t="s">
        <v>427</v>
      </c>
      <c r="R1" s="138" t="s">
        <v>670</v>
      </c>
      <c r="S1" s="138" t="s">
        <v>429</v>
      </c>
      <c r="T1" s="138" t="s">
        <v>428</v>
      </c>
      <c r="U1" s="138" t="s">
        <v>670</v>
      </c>
      <c r="V1" s="138" t="s">
        <v>476</v>
      </c>
      <c r="W1" s="138" t="s">
        <v>670</v>
      </c>
      <c r="X1" s="138" t="s">
        <v>475</v>
      </c>
      <c r="Y1" s="138" t="s">
        <v>670</v>
      </c>
      <c r="Z1" s="138" t="s">
        <v>474</v>
      </c>
      <c r="AA1" s="138" t="s">
        <v>473</v>
      </c>
      <c r="AB1" s="138" t="s">
        <v>670</v>
      </c>
      <c r="AC1" s="138" t="s">
        <v>472</v>
      </c>
      <c r="AD1" s="138" t="s">
        <v>670</v>
      </c>
      <c r="AE1" s="138" t="s">
        <v>471</v>
      </c>
      <c r="AF1" s="138" t="s">
        <v>670</v>
      </c>
      <c r="AG1" s="138" t="s">
        <v>470</v>
      </c>
      <c r="AH1" s="138" t="s">
        <v>469</v>
      </c>
      <c r="AI1" s="138" t="s">
        <v>670</v>
      </c>
      <c r="AJ1" s="138" t="s">
        <v>468</v>
      </c>
      <c r="AK1" s="138" t="s">
        <v>670</v>
      </c>
      <c r="AL1" s="138" t="s">
        <v>467</v>
      </c>
      <c r="AM1" s="138" t="s">
        <v>670</v>
      </c>
      <c r="AN1" s="138" t="s">
        <v>466</v>
      </c>
      <c r="AO1" s="138" t="s">
        <v>465</v>
      </c>
      <c r="AP1" s="138" t="s">
        <v>670</v>
      </c>
      <c r="AQ1" s="138" t="s">
        <v>464</v>
      </c>
      <c r="AR1" s="138" t="s">
        <v>670</v>
      </c>
      <c r="AS1" s="138" t="s">
        <v>463</v>
      </c>
      <c r="AT1" s="138" t="s">
        <v>670</v>
      </c>
      <c r="AU1" s="138" t="s">
        <v>462</v>
      </c>
      <c r="AV1" s="138" t="s">
        <v>461</v>
      </c>
      <c r="AW1" s="138" t="s">
        <v>670</v>
      </c>
      <c r="AX1" s="138" t="s">
        <v>460</v>
      </c>
      <c r="AY1" s="138" t="s">
        <v>670</v>
      </c>
      <c r="AZ1" s="138" t="s">
        <v>459</v>
      </c>
      <c r="BA1" s="138" t="s">
        <v>670</v>
      </c>
      <c r="BB1" s="138" t="s">
        <v>458</v>
      </c>
      <c r="BC1" s="138" t="s">
        <v>457</v>
      </c>
      <c r="BD1" s="138" t="s">
        <v>670</v>
      </c>
      <c r="BE1" s="138" t="s">
        <v>456</v>
      </c>
      <c r="BF1" s="138" t="s">
        <v>670</v>
      </c>
      <c r="BG1" s="138" t="s">
        <v>455</v>
      </c>
      <c r="BH1" s="138" t="s">
        <v>670</v>
      </c>
      <c r="BI1" s="138" t="s">
        <v>454</v>
      </c>
      <c r="BJ1" s="138" t="s">
        <v>453</v>
      </c>
      <c r="BK1" s="138" t="s">
        <v>670</v>
      </c>
      <c r="BL1" s="138" t="s">
        <v>452</v>
      </c>
      <c r="BM1" s="138" t="s">
        <v>670</v>
      </c>
      <c r="BN1" s="138" t="s">
        <v>451</v>
      </c>
      <c r="BO1" s="138" t="s">
        <v>670</v>
      </c>
      <c r="BP1" s="138" t="s">
        <v>450</v>
      </c>
      <c r="BQ1" s="138" t="s">
        <v>449</v>
      </c>
      <c r="BR1" s="138" t="s">
        <v>670</v>
      </c>
    </row>
    <row r="2" spans="1:75" s="129" customFormat="1" ht="14.5" thickBot="1" x14ac:dyDescent="0.35">
      <c r="A2" s="139" t="s">
        <v>0</v>
      </c>
      <c r="B2" s="139" t="s">
        <v>1</v>
      </c>
      <c r="C2" s="139"/>
      <c r="D2" s="140">
        <v>46203</v>
      </c>
      <c r="E2" s="140">
        <v>46203</v>
      </c>
      <c r="F2" s="140">
        <v>46112</v>
      </c>
      <c r="G2" s="140">
        <v>46022</v>
      </c>
      <c r="H2" s="140">
        <v>46022</v>
      </c>
      <c r="I2" s="140">
        <v>45930</v>
      </c>
      <c r="J2" s="140">
        <v>45930</v>
      </c>
      <c r="K2" s="140">
        <v>45838</v>
      </c>
      <c r="L2" s="140">
        <v>45838</v>
      </c>
      <c r="M2" s="140">
        <v>45747</v>
      </c>
      <c r="N2" s="140">
        <v>45657</v>
      </c>
      <c r="O2" s="140">
        <v>45657</v>
      </c>
      <c r="P2" s="140">
        <v>45565</v>
      </c>
      <c r="Q2" s="140">
        <v>45565</v>
      </c>
      <c r="R2" s="140">
        <v>45473</v>
      </c>
      <c r="S2" s="140">
        <v>45473</v>
      </c>
      <c r="T2" s="140">
        <v>45382</v>
      </c>
      <c r="U2" s="140">
        <v>45291</v>
      </c>
      <c r="V2" s="140">
        <v>45291</v>
      </c>
      <c r="W2" s="140">
        <v>45199</v>
      </c>
      <c r="X2" s="140">
        <v>45199</v>
      </c>
      <c r="Y2" s="140">
        <v>45107</v>
      </c>
      <c r="Z2" s="140">
        <v>45107</v>
      </c>
      <c r="AA2" s="140">
        <v>45016</v>
      </c>
      <c r="AB2" s="140">
        <v>44926</v>
      </c>
      <c r="AC2" s="140">
        <v>44926</v>
      </c>
      <c r="AD2" s="140">
        <v>44834</v>
      </c>
      <c r="AE2" s="140">
        <v>44834</v>
      </c>
      <c r="AF2" s="140">
        <v>44742</v>
      </c>
      <c r="AG2" s="140">
        <v>44742</v>
      </c>
      <c r="AH2" s="139">
        <v>44651</v>
      </c>
      <c r="AI2" s="139">
        <v>44561</v>
      </c>
      <c r="AJ2" s="139">
        <v>44561</v>
      </c>
      <c r="AK2" s="139">
        <v>44469</v>
      </c>
      <c r="AL2" s="139">
        <v>44469</v>
      </c>
      <c r="AM2" s="139">
        <v>44377</v>
      </c>
      <c r="AN2" s="139">
        <v>44377</v>
      </c>
      <c r="AO2" s="139">
        <v>44286</v>
      </c>
      <c r="AP2" s="139">
        <v>44196</v>
      </c>
      <c r="AQ2" s="139">
        <v>44196</v>
      </c>
      <c r="AR2" s="139">
        <v>44104</v>
      </c>
      <c r="AS2" s="139">
        <v>44104</v>
      </c>
      <c r="AT2" s="139">
        <v>44012</v>
      </c>
      <c r="AU2" s="139">
        <v>44012</v>
      </c>
      <c r="AV2" s="139">
        <v>43921</v>
      </c>
      <c r="AW2" s="139">
        <v>43830</v>
      </c>
      <c r="AX2" s="139">
        <v>43830</v>
      </c>
      <c r="AY2" s="139">
        <v>43738</v>
      </c>
      <c r="AZ2" s="139">
        <v>43738</v>
      </c>
      <c r="BA2" s="139">
        <v>43646</v>
      </c>
      <c r="BB2" s="139">
        <v>43646</v>
      </c>
      <c r="BC2" s="139">
        <v>43555</v>
      </c>
      <c r="BD2" s="139">
        <v>43465</v>
      </c>
      <c r="BE2" s="139">
        <v>43465</v>
      </c>
      <c r="BF2" s="139">
        <v>43373</v>
      </c>
      <c r="BG2" s="139">
        <v>43373</v>
      </c>
      <c r="BH2" s="139">
        <v>43281</v>
      </c>
      <c r="BI2" s="139">
        <v>43281</v>
      </c>
      <c r="BJ2" s="139">
        <v>43190</v>
      </c>
      <c r="BK2" s="139">
        <v>43100</v>
      </c>
      <c r="BL2" s="139">
        <v>43100</v>
      </c>
      <c r="BM2" s="139">
        <v>43008</v>
      </c>
      <c r="BN2" s="139">
        <v>43008</v>
      </c>
      <c r="BO2" s="139">
        <v>42916</v>
      </c>
      <c r="BP2" s="139">
        <v>42916</v>
      </c>
      <c r="BQ2" s="139">
        <v>42825</v>
      </c>
      <c r="BR2" s="139">
        <v>42735</v>
      </c>
    </row>
    <row r="3" spans="1:75" ht="14" thickTop="1" x14ac:dyDescent="0.25">
      <c r="A3" s="141" t="s">
        <v>308</v>
      </c>
      <c r="B3" s="141" t="s">
        <v>309</v>
      </c>
      <c r="C3" s="30" t="s">
        <v>389</v>
      </c>
      <c r="D3" s="144">
        <v>7819803</v>
      </c>
      <c r="E3" s="148">
        <v>4012470</v>
      </c>
      <c r="F3" s="148">
        <v>3807333</v>
      </c>
      <c r="G3" s="146">
        <v>15366537</v>
      </c>
      <c r="H3" s="146">
        <f>G3-I3</f>
        <v>3519120</v>
      </c>
      <c r="I3" s="146">
        <v>11847417</v>
      </c>
      <c r="J3" s="146">
        <v>3802399</v>
      </c>
      <c r="K3" s="144">
        <f>L3+M3</f>
        <v>8045018</v>
      </c>
      <c r="L3" s="226">
        <v>4106968</v>
      </c>
      <c r="M3" s="148">
        <v>3938050</v>
      </c>
      <c r="N3" s="144">
        <v>15331813</v>
      </c>
      <c r="O3" s="144">
        <v>3909106</v>
      </c>
      <c r="P3" s="144">
        <v>11422707</v>
      </c>
      <c r="Q3" s="144">
        <v>3982373</v>
      </c>
      <c r="R3" s="145">
        <v>7440334</v>
      </c>
      <c r="S3" s="144">
        <v>3844568</v>
      </c>
      <c r="T3" s="144">
        <v>3595766</v>
      </c>
      <c r="U3" s="144">
        <v>14955220</v>
      </c>
      <c r="V3" s="144">
        <v>3483501</v>
      </c>
      <c r="W3" s="146">
        <v>11471719</v>
      </c>
      <c r="X3" s="144">
        <v>3672363</v>
      </c>
      <c r="Y3" s="146">
        <v>7799356</v>
      </c>
      <c r="Z3" s="144">
        <v>3801203</v>
      </c>
      <c r="AA3" s="146">
        <v>3998153</v>
      </c>
      <c r="AB3" s="146">
        <v>16947869</v>
      </c>
      <c r="AC3" s="144">
        <v>4159955</v>
      </c>
      <c r="AD3" s="146">
        <v>12787914</v>
      </c>
      <c r="AE3" s="144">
        <v>4318339</v>
      </c>
      <c r="AF3" s="147">
        <v>8469575</v>
      </c>
      <c r="AG3" s="144">
        <v>4192384</v>
      </c>
      <c r="AH3" s="146">
        <v>4277191</v>
      </c>
      <c r="AI3" s="146">
        <v>13688367</v>
      </c>
      <c r="AJ3" s="144">
        <v>3787410</v>
      </c>
      <c r="AK3" s="146">
        <v>9900957</v>
      </c>
      <c r="AL3" s="144">
        <v>3583978</v>
      </c>
      <c r="AM3" s="146">
        <v>6316979</v>
      </c>
      <c r="AN3" s="144">
        <v>3183883</v>
      </c>
      <c r="AO3" s="146">
        <v>3133096</v>
      </c>
      <c r="AP3" s="146">
        <v>8760568</v>
      </c>
      <c r="AQ3" s="144">
        <v>2849408</v>
      </c>
      <c r="AR3" s="146">
        <v>5911160</v>
      </c>
      <c r="AS3" s="144">
        <v>2514756</v>
      </c>
      <c r="AT3" s="146">
        <v>3396404</v>
      </c>
      <c r="AU3" s="144">
        <v>1171844</v>
      </c>
      <c r="AV3" s="146">
        <v>2224560</v>
      </c>
      <c r="AW3" s="146">
        <v>10016395</v>
      </c>
      <c r="AX3" s="144">
        <v>2338634</v>
      </c>
      <c r="AY3" s="146">
        <v>7677761</v>
      </c>
      <c r="AZ3" s="144">
        <v>2542311</v>
      </c>
      <c r="BA3" s="146">
        <v>5135450</v>
      </c>
      <c r="BB3" s="144">
        <v>2667331</v>
      </c>
      <c r="BC3" s="146">
        <v>2468119</v>
      </c>
      <c r="BD3" s="146">
        <v>9616299</v>
      </c>
      <c r="BE3" s="144">
        <v>2455752</v>
      </c>
      <c r="BF3" s="146">
        <v>7160547</v>
      </c>
      <c r="BG3" s="144">
        <v>2617310</v>
      </c>
      <c r="BH3" s="146">
        <v>4543237</v>
      </c>
      <c r="BI3" s="144">
        <v>2399485</v>
      </c>
      <c r="BJ3" s="146">
        <v>2143752</v>
      </c>
      <c r="BK3" s="146">
        <v>7487940</v>
      </c>
      <c r="BL3" s="144">
        <v>1954644</v>
      </c>
      <c r="BM3" s="146">
        <v>5533296</v>
      </c>
      <c r="BN3" s="144">
        <v>1932451</v>
      </c>
      <c r="BO3" s="146">
        <v>3600845</v>
      </c>
      <c r="BP3" s="144">
        <v>1901809</v>
      </c>
      <c r="BQ3" s="146">
        <v>1699036</v>
      </c>
      <c r="BR3" s="146">
        <v>6816454</v>
      </c>
      <c r="BS3" s="148"/>
      <c r="BT3" s="148"/>
      <c r="BU3" s="148"/>
      <c r="BV3" s="148"/>
      <c r="BW3" s="148"/>
    </row>
    <row r="4" spans="1:75" x14ac:dyDescent="0.25">
      <c r="A4" s="142" t="s">
        <v>310</v>
      </c>
      <c r="B4" s="142" t="s">
        <v>311</v>
      </c>
      <c r="C4" s="30" t="s">
        <v>390</v>
      </c>
      <c r="D4" s="148">
        <v>-6892722</v>
      </c>
      <c r="E4" s="148">
        <v>-3526927</v>
      </c>
      <c r="F4" s="148">
        <v>-3365795</v>
      </c>
      <c r="G4" s="229">
        <v>-13515765</v>
      </c>
      <c r="H4" s="229">
        <f t="shared" ref="H4:H33" si="0">G4-I4</f>
        <v>-3107012</v>
      </c>
      <c r="I4" s="229">
        <v>-10408753</v>
      </c>
      <c r="J4" s="229">
        <v>-3342084</v>
      </c>
      <c r="K4" s="148">
        <f>L4+M4</f>
        <v>-7066669</v>
      </c>
      <c r="L4" s="226">
        <v>-3572351</v>
      </c>
      <c r="M4" s="148">
        <v>-3494318</v>
      </c>
      <c r="N4" s="148">
        <v>-13510380</v>
      </c>
      <c r="O4" s="148">
        <v>-3426095</v>
      </c>
      <c r="P4" s="148">
        <v>-10084285</v>
      </c>
      <c r="Q4" s="148">
        <v>-3504636</v>
      </c>
      <c r="R4" s="149">
        <v>-6579649</v>
      </c>
      <c r="S4" s="148">
        <v>-3368012</v>
      </c>
      <c r="T4" s="148">
        <v>-3211637</v>
      </c>
      <c r="U4" s="148">
        <v>-13446975</v>
      </c>
      <c r="V4" s="148">
        <v>-3103262</v>
      </c>
      <c r="W4" s="148">
        <v>-10343713</v>
      </c>
      <c r="X4" s="148">
        <v>-3310171</v>
      </c>
      <c r="Y4" s="148">
        <v>-7033542</v>
      </c>
      <c r="Z4" s="148">
        <v>-3376475</v>
      </c>
      <c r="AA4" s="148">
        <v>-3657067</v>
      </c>
      <c r="AB4" s="148">
        <v>-15139227</v>
      </c>
      <c r="AC4" s="148">
        <v>-3835919</v>
      </c>
      <c r="AD4" s="148">
        <v>-11303308</v>
      </c>
      <c r="AE4" s="148">
        <v>-3979383</v>
      </c>
      <c r="AF4" s="149">
        <v>-7323925</v>
      </c>
      <c r="AG4" s="148">
        <v>-3657734</v>
      </c>
      <c r="AH4" s="148">
        <v>-3666191</v>
      </c>
      <c r="AI4" s="148">
        <v>-11984244</v>
      </c>
      <c r="AJ4" s="148">
        <v>-3409312</v>
      </c>
      <c r="AK4" s="148">
        <v>-8574932</v>
      </c>
      <c r="AL4" s="148">
        <v>-3088387</v>
      </c>
      <c r="AM4" s="148">
        <v>-5486545</v>
      </c>
      <c r="AN4" s="148">
        <v>-2763165</v>
      </c>
      <c r="AO4" s="148">
        <v>-2723380</v>
      </c>
      <c r="AP4" s="148">
        <v>-8195255</v>
      </c>
      <c r="AQ4" s="148">
        <v>-2587790</v>
      </c>
      <c r="AR4" s="148">
        <v>-5607465</v>
      </c>
      <c r="AS4" s="148">
        <v>-2259081</v>
      </c>
      <c r="AT4" s="148">
        <v>-3348384</v>
      </c>
      <c r="AU4" s="148">
        <v>-1308180</v>
      </c>
      <c r="AV4" s="148">
        <v>-2040204</v>
      </c>
      <c r="AW4" s="148">
        <v>-8831177</v>
      </c>
      <c r="AX4" s="148">
        <v>-2110991</v>
      </c>
      <c r="AY4" s="148">
        <v>-6720186</v>
      </c>
      <c r="AZ4" s="148">
        <v>-2219621</v>
      </c>
      <c r="BA4" s="148">
        <v>-4500565</v>
      </c>
      <c r="BB4" s="148">
        <v>-2330756</v>
      </c>
      <c r="BC4" s="148">
        <v>-2169809</v>
      </c>
      <c r="BD4" s="148">
        <v>-8298023</v>
      </c>
      <c r="BE4" s="148">
        <v>-2149503</v>
      </c>
      <c r="BF4" s="148">
        <v>-6148520</v>
      </c>
      <c r="BG4" s="148">
        <v>-2237928</v>
      </c>
      <c r="BH4" s="148">
        <v>-3910592</v>
      </c>
      <c r="BI4" s="148">
        <v>-2061693</v>
      </c>
      <c r="BJ4" s="148">
        <v>-1848899</v>
      </c>
      <c r="BK4" s="148">
        <v>-6332962</v>
      </c>
      <c r="BL4" s="148">
        <v>-1659083</v>
      </c>
      <c r="BM4" s="148">
        <v>-4673879</v>
      </c>
      <c r="BN4" s="148">
        <v>-1614021</v>
      </c>
      <c r="BO4" s="148">
        <v>-3059858</v>
      </c>
      <c r="BP4" s="148">
        <v>-1603601</v>
      </c>
      <c r="BQ4" s="148">
        <v>-1456257</v>
      </c>
      <c r="BR4" s="148">
        <v>-5844666</v>
      </c>
      <c r="BS4" s="148"/>
      <c r="BT4" s="148"/>
      <c r="BU4" s="148"/>
      <c r="BV4" s="148"/>
      <c r="BW4" s="148"/>
    </row>
    <row r="5" spans="1:75" x14ac:dyDescent="0.25">
      <c r="A5" s="142" t="s">
        <v>312</v>
      </c>
      <c r="B5" s="142" t="s">
        <v>313</v>
      </c>
      <c r="C5" s="30" t="s">
        <v>391</v>
      </c>
      <c r="D5" s="148">
        <v>927081</v>
      </c>
      <c r="E5" s="148">
        <v>485543</v>
      </c>
      <c r="F5" s="148">
        <v>441538</v>
      </c>
      <c r="G5" s="229">
        <v>1850772</v>
      </c>
      <c r="H5" s="229">
        <f t="shared" si="0"/>
        <v>412108</v>
      </c>
      <c r="I5" s="229">
        <v>1438664</v>
      </c>
      <c r="J5" s="229">
        <v>460315</v>
      </c>
      <c r="K5" s="148">
        <f t="shared" ref="K5:K37" si="1">L5+M5</f>
        <v>978349</v>
      </c>
      <c r="L5" s="226">
        <v>534617</v>
      </c>
      <c r="M5" s="148">
        <v>443732</v>
      </c>
      <c r="N5" s="148">
        <v>1821433</v>
      </c>
      <c r="O5" s="148">
        <v>483011</v>
      </c>
      <c r="P5" s="148">
        <v>1338422</v>
      </c>
      <c r="Q5" s="148">
        <v>477737</v>
      </c>
      <c r="R5" s="149">
        <v>860685</v>
      </c>
      <c r="S5" s="148">
        <v>476556</v>
      </c>
      <c r="T5" s="148">
        <v>384129</v>
      </c>
      <c r="U5" s="148">
        <v>1508245</v>
      </c>
      <c r="V5" s="148">
        <v>380239</v>
      </c>
      <c r="W5" s="148">
        <v>1128006</v>
      </c>
      <c r="X5" s="148">
        <v>362192</v>
      </c>
      <c r="Y5" s="148">
        <v>765814</v>
      </c>
      <c r="Z5" s="148">
        <v>424728</v>
      </c>
      <c r="AA5" s="148">
        <v>341086</v>
      </c>
      <c r="AB5" s="148">
        <v>1808642</v>
      </c>
      <c r="AC5" s="148">
        <v>324036</v>
      </c>
      <c r="AD5" s="148">
        <v>1484606</v>
      </c>
      <c r="AE5" s="148">
        <v>338956</v>
      </c>
      <c r="AF5" s="149">
        <v>1145650</v>
      </c>
      <c r="AG5" s="148">
        <v>534650</v>
      </c>
      <c r="AH5" s="148">
        <v>611000</v>
      </c>
      <c r="AI5" s="148">
        <v>1704123</v>
      </c>
      <c r="AJ5" s="148">
        <v>378098</v>
      </c>
      <c r="AK5" s="148">
        <v>1326025</v>
      </c>
      <c r="AL5" s="148">
        <v>495591</v>
      </c>
      <c r="AM5" s="148">
        <v>830434</v>
      </c>
      <c r="AN5" s="148">
        <v>420718</v>
      </c>
      <c r="AO5" s="148">
        <v>409716</v>
      </c>
      <c r="AP5" s="148">
        <v>565313</v>
      </c>
      <c r="AQ5" s="148">
        <v>261618</v>
      </c>
      <c r="AR5" s="148">
        <v>303695</v>
      </c>
      <c r="AS5" s="148">
        <v>255675</v>
      </c>
      <c r="AT5" s="148">
        <v>48020</v>
      </c>
      <c r="AU5" s="148">
        <v>-136336</v>
      </c>
      <c r="AV5" s="148">
        <v>184356</v>
      </c>
      <c r="AW5" s="148">
        <v>1185218</v>
      </c>
      <c r="AX5" s="148">
        <v>227643</v>
      </c>
      <c r="AY5" s="148">
        <v>957575</v>
      </c>
      <c r="AZ5" s="148">
        <v>322690</v>
      </c>
      <c r="BA5" s="148">
        <v>634885</v>
      </c>
      <c r="BB5" s="148">
        <v>336575</v>
      </c>
      <c r="BC5" s="148">
        <v>298310</v>
      </c>
      <c r="BD5" s="148">
        <v>1318276</v>
      </c>
      <c r="BE5" s="148">
        <v>306249</v>
      </c>
      <c r="BF5" s="148">
        <v>1012027</v>
      </c>
      <c r="BG5" s="148">
        <v>379382</v>
      </c>
      <c r="BH5" s="148">
        <v>632645</v>
      </c>
      <c r="BI5" s="148">
        <v>337792</v>
      </c>
      <c r="BJ5" s="148">
        <v>294853</v>
      </c>
      <c r="BK5" s="148">
        <v>1154978</v>
      </c>
      <c r="BL5" s="148">
        <v>295561</v>
      </c>
      <c r="BM5" s="148">
        <v>859417</v>
      </c>
      <c r="BN5" s="148">
        <v>318430</v>
      </c>
      <c r="BO5" s="148">
        <v>540987</v>
      </c>
      <c r="BP5" s="148">
        <v>298208</v>
      </c>
      <c r="BQ5" s="148">
        <v>242779</v>
      </c>
      <c r="BR5" s="148">
        <v>971788</v>
      </c>
      <c r="BS5" s="148"/>
      <c r="BT5" s="148"/>
      <c r="BU5" s="148"/>
      <c r="BV5" s="148"/>
      <c r="BW5" s="148"/>
    </row>
    <row r="6" spans="1:75" x14ac:dyDescent="0.25">
      <c r="A6" s="142" t="s">
        <v>314</v>
      </c>
      <c r="B6" s="142" t="s">
        <v>315</v>
      </c>
      <c r="C6" s="30" t="s">
        <v>392</v>
      </c>
      <c r="D6" s="148">
        <v>-424545</v>
      </c>
      <c r="E6" s="148">
        <v>-201830</v>
      </c>
      <c r="F6" s="148">
        <v>-222715</v>
      </c>
      <c r="G6" s="229">
        <v>-908858</v>
      </c>
      <c r="H6" s="229">
        <f t="shared" si="0"/>
        <v>-215991</v>
      </c>
      <c r="I6" s="229">
        <v>-692867</v>
      </c>
      <c r="J6" s="229">
        <v>-238403</v>
      </c>
      <c r="K6" s="148">
        <f t="shared" si="1"/>
        <v>-454464</v>
      </c>
      <c r="L6" s="226">
        <v>-227761</v>
      </c>
      <c r="M6" s="148">
        <v>-226703</v>
      </c>
      <c r="N6" s="148">
        <v>-800397</v>
      </c>
      <c r="O6" s="148">
        <v>-235862</v>
      </c>
      <c r="P6" s="148">
        <v>-564535</v>
      </c>
      <c r="Q6" s="148">
        <v>-171173</v>
      </c>
      <c r="R6" s="149">
        <v>-393362</v>
      </c>
      <c r="S6" s="148">
        <v>-210123</v>
      </c>
      <c r="T6" s="148">
        <v>-183239</v>
      </c>
      <c r="U6" s="148">
        <v>-725669</v>
      </c>
      <c r="V6" s="148">
        <v>-206954</v>
      </c>
      <c r="W6" s="148">
        <v>-518715</v>
      </c>
      <c r="X6" s="148">
        <v>-164286</v>
      </c>
      <c r="Y6" s="148">
        <v>-354429</v>
      </c>
      <c r="Z6" s="148">
        <v>-179103</v>
      </c>
      <c r="AA6" s="148">
        <v>-175326</v>
      </c>
      <c r="AB6" s="148">
        <v>-562958</v>
      </c>
      <c r="AC6" s="148">
        <v>-157645</v>
      </c>
      <c r="AD6" s="148">
        <v>-405313</v>
      </c>
      <c r="AE6" s="148">
        <v>-93459</v>
      </c>
      <c r="AF6" s="149">
        <v>-311854</v>
      </c>
      <c r="AG6" s="148">
        <v>-120755</v>
      </c>
      <c r="AH6" s="148">
        <v>-191099</v>
      </c>
      <c r="AI6" s="148">
        <v>-422638</v>
      </c>
      <c r="AJ6" s="148">
        <v>-128649</v>
      </c>
      <c r="AK6" s="148">
        <v>-293989</v>
      </c>
      <c r="AL6" s="148">
        <v>-140927</v>
      </c>
      <c r="AM6" s="148">
        <v>-153062</v>
      </c>
      <c r="AN6" s="148">
        <v>33573</v>
      </c>
      <c r="AO6" s="148">
        <v>-186635</v>
      </c>
      <c r="AP6" s="148">
        <v>-750034</v>
      </c>
      <c r="AQ6" s="148">
        <v>-271280</v>
      </c>
      <c r="AR6" s="148">
        <v>-478754</v>
      </c>
      <c r="AS6" s="148">
        <v>-184196</v>
      </c>
      <c r="AT6" s="148">
        <v>-294558</v>
      </c>
      <c r="AU6" s="148">
        <v>-195698</v>
      </c>
      <c r="AV6" s="148">
        <v>-98860</v>
      </c>
      <c r="AW6" s="148">
        <v>-508963</v>
      </c>
      <c r="AX6" s="148">
        <v>-123544</v>
      </c>
      <c r="AY6" s="148">
        <v>-385419</v>
      </c>
      <c r="AZ6" s="148">
        <v>-95953</v>
      </c>
      <c r="BA6" s="148">
        <v>-289466</v>
      </c>
      <c r="BB6" s="148">
        <v>-134923</v>
      </c>
      <c r="BC6" s="148">
        <v>-154543</v>
      </c>
      <c r="BD6" s="148">
        <v>-616783</v>
      </c>
      <c r="BE6" s="148">
        <v>-161598</v>
      </c>
      <c r="BF6" s="148">
        <v>-455185</v>
      </c>
      <c r="BG6" s="148">
        <v>-159660</v>
      </c>
      <c r="BH6" s="148">
        <v>-295525</v>
      </c>
      <c r="BI6" s="148">
        <v>-147800</v>
      </c>
      <c r="BJ6" s="148">
        <v>-147725</v>
      </c>
      <c r="BK6" s="148">
        <v>-658422</v>
      </c>
      <c r="BL6" s="148">
        <v>-179896</v>
      </c>
      <c r="BM6" s="148">
        <v>-478526</v>
      </c>
      <c r="BN6" s="148">
        <v>-174444</v>
      </c>
      <c r="BO6" s="148">
        <v>-304082</v>
      </c>
      <c r="BP6" s="148">
        <v>-177349</v>
      </c>
      <c r="BQ6" s="148">
        <v>-126733</v>
      </c>
      <c r="BR6" s="148">
        <v>-492466</v>
      </c>
      <c r="BS6" s="148"/>
      <c r="BT6" s="148"/>
      <c r="BU6" s="148"/>
      <c r="BV6" s="148"/>
      <c r="BW6" s="148"/>
    </row>
    <row r="7" spans="1:75" x14ac:dyDescent="0.25">
      <c r="A7" s="142" t="s">
        <v>316</v>
      </c>
      <c r="B7" s="142" t="s">
        <v>317</v>
      </c>
      <c r="C7" s="30" t="s">
        <v>393</v>
      </c>
      <c r="D7" s="148">
        <v>-37082</v>
      </c>
      <c r="E7" s="148">
        <v>-15375</v>
      </c>
      <c r="F7" s="148">
        <v>-21707</v>
      </c>
      <c r="G7" s="229">
        <v>-81429</v>
      </c>
      <c r="H7" s="229">
        <f t="shared" si="0"/>
        <v>-13183</v>
      </c>
      <c r="I7" s="229">
        <v>-68246</v>
      </c>
      <c r="J7" s="229">
        <v>-21768</v>
      </c>
      <c r="K7" s="148">
        <f t="shared" si="1"/>
        <v>-46478</v>
      </c>
      <c r="L7" s="226">
        <v>-26065</v>
      </c>
      <c r="M7" s="148">
        <v>-20413</v>
      </c>
      <c r="N7" s="148">
        <v>-76150</v>
      </c>
      <c r="O7" s="148">
        <v>-19572</v>
      </c>
      <c r="P7" s="148">
        <v>-56578</v>
      </c>
      <c r="Q7" s="148">
        <v>-18907</v>
      </c>
      <c r="R7" s="149">
        <v>-37671</v>
      </c>
      <c r="S7" s="148">
        <v>-19866</v>
      </c>
      <c r="T7" s="148">
        <v>-17805</v>
      </c>
      <c r="U7" s="148">
        <v>-81674</v>
      </c>
      <c r="V7" s="148">
        <v>-21137</v>
      </c>
      <c r="W7" s="148">
        <v>-60537</v>
      </c>
      <c r="X7" s="148">
        <v>-20410</v>
      </c>
      <c r="Y7" s="148">
        <v>-40127</v>
      </c>
      <c r="Z7" s="148">
        <v>-22335</v>
      </c>
      <c r="AA7" s="148">
        <v>-17792</v>
      </c>
      <c r="AB7" s="148">
        <v>-96095</v>
      </c>
      <c r="AC7" s="148">
        <v>-26358</v>
      </c>
      <c r="AD7" s="148">
        <v>-69737</v>
      </c>
      <c r="AE7" s="148">
        <v>-27130</v>
      </c>
      <c r="AF7" s="149">
        <v>-42607</v>
      </c>
      <c r="AG7" s="148">
        <v>-21290</v>
      </c>
      <c r="AH7" s="148">
        <v>-21317</v>
      </c>
      <c r="AI7" s="148">
        <v>-78486</v>
      </c>
      <c r="AJ7" s="148">
        <v>-24517</v>
      </c>
      <c r="AK7" s="148">
        <v>-53969</v>
      </c>
      <c r="AL7" s="148">
        <v>-19100</v>
      </c>
      <c r="AM7" s="148">
        <v>-34869</v>
      </c>
      <c r="AN7" s="148">
        <v>-12457</v>
      </c>
      <c r="AO7" s="148">
        <v>-22412</v>
      </c>
      <c r="AP7" s="148">
        <v>-61812</v>
      </c>
      <c r="AQ7" s="148">
        <v>-23221</v>
      </c>
      <c r="AR7" s="148">
        <v>-38591</v>
      </c>
      <c r="AS7" s="148">
        <v>-11754</v>
      </c>
      <c r="AT7" s="148">
        <v>-26837</v>
      </c>
      <c r="AU7" s="148">
        <v>-13579</v>
      </c>
      <c r="AV7" s="148">
        <v>-13258</v>
      </c>
      <c r="AW7" s="148">
        <v>-53778</v>
      </c>
      <c r="AX7" s="148">
        <v>-13310</v>
      </c>
      <c r="AY7" s="148">
        <v>-40468</v>
      </c>
      <c r="AZ7" s="148">
        <v>-17453</v>
      </c>
      <c r="BA7" s="148">
        <v>-23015</v>
      </c>
      <c r="BB7" s="148">
        <v>-9142</v>
      </c>
      <c r="BC7" s="148">
        <v>-13873</v>
      </c>
      <c r="BD7" s="148">
        <v>-75359</v>
      </c>
      <c r="BE7" s="148">
        <v>-38707</v>
      </c>
      <c r="BF7" s="148">
        <v>-36652</v>
      </c>
      <c r="BG7" s="148">
        <v>-17172</v>
      </c>
      <c r="BH7" s="148">
        <v>-19480</v>
      </c>
      <c r="BI7" s="148">
        <v>-10382</v>
      </c>
      <c r="BJ7" s="148">
        <v>-9098</v>
      </c>
      <c r="BK7" s="148">
        <v>-162157</v>
      </c>
      <c r="BL7" s="148">
        <v>-41857</v>
      </c>
      <c r="BM7" s="148">
        <v>-120300</v>
      </c>
      <c r="BN7" s="148">
        <v>-42465</v>
      </c>
      <c r="BO7" s="148">
        <v>-77835</v>
      </c>
      <c r="BP7" s="148">
        <v>-42283</v>
      </c>
      <c r="BQ7" s="148">
        <v>-35552</v>
      </c>
      <c r="BR7" s="148">
        <v>-150931</v>
      </c>
      <c r="BS7" s="148"/>
      <c r="BT7" s="148"/>
      <c r="BU7" s="148"/>
      <c r="BV7" s="148"/>
      <c r="BW7" s="148"/>
    </row>
    <row r="8" spans="1:75" x14ac:dyDescent="0.25">
      <c r="A8" s="142" t="s">
        <v>318</v>
      </c>
      <c r="B8" s="142" t="s">
        <v>319</v>
      </c>
      <c r="C8" s="30" t="s">
        <v>394</v>
      </c>
      <c r="D8" s="148">
        <v>-387077</v>
      </c>
      <c r="E8" s="148">
        <v>-198465</v>
      </c>
      <c r="F8" s="148">
        <v>-188612</v>
      </c>
      <c r="G8" s="229">
        <v>-823538</v>
      </c>
      <c r="H8" s="229">
        <f t="shared" si="0"/>
        <v>-211433</v>
      </c>
      <c r="I8" s="229">
        <v>-612105</v>
      </c>
      <c r="J8" s="229">
        <v>-188462</v>
      </c>
      <c r="K8" s="148">
        <f t="shared" si="1"/>
        <v>-423643</v>
      </c>
      <c r="L8" s="226">
        <v>-217955</v>
      </c>
      <c r="M8" s="148">
        <v>-205688</v>
      </c>
      <c r="N8" s="148">
        <v>-722385</v>
      </c>
      <c r="O8" s="148">
        <v>-216671</v>
      </c>
      <c r="P8" s="148">
        <v>-505714</v>
      </c>
      <c r="Q8" s="148">
        <v>-173767</v>
      </c>
      <c r="R8" s="149">
        <v>-331947</v>
      </c>
      <c r="S8" s="148">
        <v>-171355</v>
      </c>
      <c r="T8" s="148">
        <v>-160592</v>
      </c>
      <c r="U8" s="148">
        <v>-675905</v>
      </c>
      <c r="V8" s="148">
        <v>-175415</v>
      </c>
      <c r="W8" s="148">
        <v>-500490</v>
      </c>
      <c r="X8" s="148">
        <v>-162860</v>
      </c>
      <c r="Y8" s="148">
        <v>-337630</v>
      </c>
      <c r="Z8" s="148">
        <v>-170563</v>
      </c>
      <c r="AA8" s="148">
        <v>-167067</v>
      </c>
      <c r="AB8" s="148">
        <v>-646494</v>
      </c>
      <c r="AC8" s="148">
        <v>-183690</v>
      </c>
      <c r="AD8" s="148">
        <v>-462804</v>
      </c>
      <c r="AE8" s="148">
        <v>-154943</v>
      </c>
      <c r="AF8" s="149">
        <v>-307861</v>
      </c>
      <c r="AG8" s="148">
        <v>-160323</v>
      </c>
      <c r="AH8" s="148">
        <v>-147538</v>
      </c>
      <c r="AI8" s="148">
        <v>-662343</v>
      </c>
      <c r="AJ8" s="148">
        <v>-180285</v>
      </c>
      <c r="AK8" s="148">
        <v>-482058</v>
      </c>
      <c r="AL8" s="148">
        <v>-155917</v>
      </c>
      <c r="AM8" s="148">
        <v>-326141</v>
      </c>
      <c r="AN8" s="148">
        <v>-166679</v>
      </c>
      <c r="AO8" s="148">
        <v>-159462</v>
      </c>
      <c r="AP8" s="148">
        <v>-501831</v>
      </c>
      <c r="AQ8" s="148">
        <v>-142684</v>
      </c>
      <c r="AR8" s="148">
        <v>-359147</v>
      </c>
      <c r="AS8" s="148">
        <v>-123363</v>
      </c>
      <c r="AT8" s="148">
        <v>-235784</v>
      </c>
      <c r="AU8" s="148">
        <v>-118786</v>
      </c>
      <c r="AV8" s="148">
        <v>-116998</v>
      </c>
      <c r="AW8" s="148">
        <v>-502054</v>
      </c>
      <c r="AX8" s="148">
        <v>-131495</v>
      </c>
      <c r="AY8" s="148">
        <v>-370559</v>
      </c>
      <c r="AZ8" s="148">
        <v>-119442</v>
      </c>
      <c r="BA8" s="148">
        <v>-251117</v>
      </c>
      <c r="BB8" s="148">
        <v>-124016</v>
      </c>
      <c r="BC8" s="148">
        <v>-127101</v>
      </c>
      <c r="BD8" s="148">
        <v>-494228</v>
      </c>
      <c r="BE8" s="148">
        <v>-121746</v>
      </c>
      <c r="BF8" s="148">
        <v>-372482</v>
      </c>
      <c r="BG8" s="148">
        <v>-125636</v>
      </c>
      <c r="BH8" s="148">
        <v>-246846</v>
      </c>
      <c r="BI8" s="148">
        <v>-127585</v>
      </c>
      <c r="BJ8" s="148">
        <v>-119261</v>
      </c>
      <c r="BK8" s="148">
        <v>-398808</v>
      </c>
      <c r="BL8" s="148">
        <v>-118323</v>
      </c>
      <c r="BM8" s="148">
        <v>-280485</v>
      </c>
      <c r="BN8" s="148">
        <v>-87190</v>
      </c>
      <c r="BO8" s="148">
        <v>-193295</v>
      </c>
      <c r="BP8" s="148">
        <v>-99136</v>
      </c>
      <c r="BQ8" s="148">
        <v>-94159</v>
      </c>
      <c r="BR8" s="148">
        <v>-384373</v>
      </c>
      <c r="BS8" s="148"/>
      <c r="BT8" s="148"/>
      <c r="BU8" s="148"/>
      <c r="BV8" s="148"/>
      <c r="BW8" s="148"/>
    </row>
    <row r="9" spans="1:75" x14ac:dyDescent="0.25">
      <c r="A9" s="142" t="s">
        <v>320</v>
      </c>
      <c r="B9" s="142" t="s">
        <v>319</v>
      </c>
      <c r="C9" s="30" t="s">
        <v>395</v>
      </c>
      <c r="D9" s="148">
        <v>-369321</v>
      </c>
      <c r="E9" s="148">
        <v>-189447</v>
      </c>
      <c r="F9" s="148">
        <v>-179874</v>
      </c>
      <c r="G9" s="229">
        <v>-793373</v>
      </c>
      <c r="H9" s="229">
        <f t="shared" si="0"/>
        <v>-206177</v>
      </c>
      <c r="I9" s="229">
        <v>-587196</v>
      </c>
      <c r="J9" s="229">
        <v>-181161</v>
      </c>
      <c r="K9" s="148">
        <f t="shared" si="1"/>
        <v>-406035</v>
      </c>
      <c r="L9" s="226">
        <v>-208892</v>
      </c>
      <c r="M9" s="148">
        <v>-197143</v>
      </c>
      <c r="N9" s="148">
        <v>-698533</v>
      </c>
      <c r="O9" s="148">
        <v>-209265</v>
      </c>
      <c r="P9" s="148">
        <v>-489268</v>
      </c>
      <c r="Q9" s="148">
        <v>-168635</v>
      </c>
      <c r="R9" s="149">
        <v>-320633</v>
      </c>
      <c r="S9" s="148">
        <v>-165615</v>
      </c>
      <c r="T9" s="148">
        <v>-155018</v>
      </c>
      <c r="U9" s="148">
        <v>-658158</v>
      </c>
      <c r="V9" s="148">
        <v>-171319</v>
      </c>
      <c r="W9" s="148">
        <v>-486839</v>
      </c>
      <c r="X9" s="148">
        <v>-159265</v>
      </c>
      <c r="Y9" s="148">
        <v>-327574</v>
      </c>
      <c r="Z9" s="148">
        <v>-166485</v>
      </c>
      <c r="AA9" s="148">
        <v>-161089</v>
      </c>
      <c r="AB9" s="148">
        <v>-627523</v>
      </c>
      <c r="AC9" s="148">
        <v>-177959</v>
      </c>
      <c r="AD9" s="148">
        <v>-449564</v>
      </c>
      <c r="AE9" s="148">
        <v>-150993</v>
      </c>
      <c r="AF9" s="149">
        <v>-298571</v>
      </c>
      <c r="AG9" s="148">
        <v>-155940</v>
      </c>
      <c r="AH9" s="148">
        <v>-142631</v>
      </c>
      <c r="AI9" s="148">
        <v>-643946</v>
      </c>
      <c r="AJ9" s="148">
        <v>-172788</v>
      </c>
      <c r="AK9" s="148">
        <v>-471158</v>
      </c>
      <c r="AL9" s="148">
        <v>-153481</v>
      </c>
      <c r="AM9" s="148">
        <v>-317677</v>
      </c>
      <c r="AN9" s="148">
        <v>-163153</v>
      </c>
      <c r="AO9" s="148">
        <v>-154524</v>
      </c>
      <c r="AP9" s="148">
        <v>-487721</v>
      </c>
      <c r="AQ9" s="148">
        <v>-137350</v>
      </c>
      <c r="AR9" s="148">
        <v>-350371</v>
      </c>
      <c r="AS9" s="148">
        <v>-120736</v>
      </c>
      <c r="AT9" s="148">
        <v>-229635</v>
      </c>
      <c r="AU9" s="148">
        <v>-116217</v>
      </c>
      <c r="AV9" s="148">
        <v>-113418</v>
      </c>
      <c r="AW9" s="148">
        <v>-482968</v>
      </c>
      <c r="AX9" s="148">
        <v>-123248</v>
      </c>
      <c r="AY9" s="148">
        <v>-359720</v>
      </c>
      <c r="AZ9" s="148">
        <v>-116338</v>
      </c>
      <c r="BA9" s="148">
        <v>-243382</v>
      </c>
      <c r="BB9" s="148">
        <v>-119701</v>
      </c>
      <c r="BC9" s="148">
        <v>-123681</v>
      </c>
      <c r="BD9" s="148">
        <v>-477112</v>
      </c>
      <c r="BE9" s="148">
        <v>-113825</v>
      </c>
      <c r="BF9" s="148">
        <v>-363287</v>
      </c>
      <c r="BG9" s="148">
        <v>-122830</v>
      </c>
      <c r="BH9" s="148">
        <v>-240457</v>
      </c>
      <c r="BI9" s="148">
        <v>-124074</v>
      </c>
      <c r="BJ9" s="148">
        <v>-116383</v>
      </c>
      <c r="BK9" s="148">
        <v>-384406</v>
      </c>
      <c r="BL9" s="148">
        <v>-112791</v>
      </c>
      <c r="BM9" s="148">
        <v>-271615</v>
      </c>
      <c r="BN9" s="148">
        <v>-84723</v>
      </c>
      <c r="BO9" s="148">
        <v>-186892</v>
      </c>
      <c r="BP9" s="148">
        <v>-96244</v>
      </c>
      <c r="BQ9" s="148">
        <v>-90648</v>
      </c>
      <c r="BR9" s="148">
        <v>-368226</v>
      </c>
      <c r="BS9" s="148"/>
      <c r="BT9" s="148"/>
      <c r="BU9" s="148"/>
      <c r="BV9" s="148"/>
      <c r="BW9" s="148"/>
    </row>
    <row r="10" spans="1:75" x14ac:dyDescent="0.25">
      <c r="A10" s="142" t="s">
        <v>321</v>
      </c>
      <c r="B10" s="142" t="s">
        <v>322</v>
      </c>
      <c r="C10" s="30" t="s">
        <v>396</v>
      </c>
      <c r="D10" s="148">
        <v>-17756</v>
      </c>
      <c r="E10" s="148">
        <v>-9018</v>
      </c>
      <c r="F10" s="148">
        <v>-8738</v>
      </c>
      <c r="G10" s="229">
        <v>-30165</v>
      </c>
      <c r="H10" s="229">
        <f t="shared" si="0"/>
        <v>-5256</v>
      </c>
      <c r="I10" s="229">
        <v>-24909</v>
      </c>
      <c r="J10" s="229">
        <v>-7301</v>
      </c>
      <c r="K10" s="148">
        <f t="shared" si="1"/>
        <v>-17608</v>
      </c>
      <c r="L10" s="226">
        <v>-9063</v>
      </c>
      <c r="M10" s="148">
        <v>-8545</v>
      </c>
      <c r="N10" s="148">
        <v>-23852</v>
      </c>
      <c r="O10" s="148">
        <v>-7406</v>
      </c>
      <c r="P10" s="148">
        <v>-16446</v>
      </c>
      <c r="Q10" s="148">
        <v>-5132</v>
      </c>
      <c r="R10" s="149">
        <v>-11314</v>
      </c>
      <c r="S10" s="148">
        <v>-5740</v>
      </c>
      <c r="T10" s="148">
        <v>-5574</v>
      </c>
      <c r="U10" s="148">
        <v>-17747</v>
      </c>
      <c r="V10" s="148">
        <v>-4096</v>
      </c>
      <c r="W10" s="148">
        <v>-13651</v>
      </c>
      <c r="X10" s="148">
        <v>-3595</v>
      </c>
      <c r="Y10" s="148">
        <v>-10056</v>
      </c>
      <c r="Z10" s="148">
        <v>-4078</v>
      </c>
      <c r="AA10" s="148">
        <v>-5978</v>
      </c>
      <c r="AB10" s="148">
        <v>-18971</v>
      </c>
      <c r="AC10" s="148">
        <v>-5731</v>
      </c>
      <c r="AD10" s="148">
        <v>-13240</v>
      </c>
      <c r="AE10" s="148">
        <v>-3950</v>
      </c>
      <c r="AF10" s="149">
        <v>-9290</v>
      </c>
      <c r="AG10" s="148">
        <v>-4383</v>
      </c>
      <c r="AH10" s="148">
        <v>-4907</v>
      </c>
      <c r="AI10" s="148">
        <v>-18397</v>
      </c>
      <c r="AJ10" s="148">
        <v>-7497</v>
      </c>
      <c r="AK10" s="148">
        <v>-10900</v>
      </c>
      <c r="AL10" s="148">
        <v>-2436</v>
      </c>
      <c r="AM10" s="148">
        <v>-8464</v>
      </c>
      <c r="AN10" s="148">
        <v>-3526</v>
      </c>
      <c r="AO10" s="148">
        <v>-4938</v>
      </c>
      <c r="AP10" s="148">
        <v>-14110</v>
      </c>
      <c r="AQ10" s="148">
        <v>-5334</v>
      </c>
      <c r="AR10" s="148">
        <v>-8776</v>
      </c>
      <c r="AS10" s="148">
        <v>-2627</v>
      </c>
      <c r="AT10" s="148">
        <v>-6149</v>
      </c>
      <c r="AU10" s="148">
        <v>-2569</v>
      </c>
      <c r="AV10" s="148">
        <v>-3580</v>
      </c>
      <c r="AW10" s="148">
        <v>-19086</v>
      </c>
      <c r="AX10" s="148">
        <v>-8247</v>
      </c>
      <c r="AY10" s="148">
        <v>-10839</v>
      </c>
      <c r="AZ10" s="148">
        <v>-3104</v>
      </c>
      <c r="BA10" s="148">
        <v>-7735</v>
      </c>
      <c r="BB10" s="148">
        <v>-4315</v>
      </c>
      <c r="BC10" s="148">
        <v>-3420</v>
      </c>
      <c r="BD10" s="148">
        <v>-17116</v>
      </c>
      <c r="BE10" s="148">
        <v>-7921</v>
      </c>
      <c r="BF10" s="148">
        <v>-9195</v>
      </c>
      <c r="BG10" s="148">
        <v>-2806</v>
      </c>
      <c r="BH10" s="148">
        <v>-6389</v>
      </c>
      <c r="BI10" s="148">
        <v>-3511</v>
      </c>
      <c r="BJ10" s="148">
        <v>-2878</v>
      </c>
      <c r="BK10" s="148">
        <v>-14402</v>
      </c>
      <c r="BL10" s="148">
        <v>-5532</v>
      </c>
      <c r="BM10" s="148">
        <v>-8870</v>
      </c>
      <c r="BN10" s="148">
        <v>-2467</v>
      </c>
      <c r="BO10" s="148">
        <v>-6403</v>
      </c>
      <c r="BP10" s="148">
        <v>-2892</v>
      </c>
      <c r="BQ10" s="148">
        <v>-3511</v>
      </c>
      <c r="BR10" s="148">
        <v>-16147</v>
      </c>
      <c r="BS10" s="148"/>
      <c r="BT10" s="148"/>
      <c r="BU10" s="148"/>
      <c r="BV10" s="148"/>
      <c r="BW10" s="148"/>
    </row>
    <row r="11" spans="1:75" x14ac:dyDescent="0.25">
      <c r="A11" s="142" t="s">
        <v>323</v>
      </c>
      <c r="B11" s="142" t="s">
        <v>324</v>
      </c>
      <c r="C11" s="30" t="s">
        <v>397</v>
      </c>
      <c r="D11" s="148">
        <v>0</v>
      </c>
      <c r="E11" s="148">
        <v>0</v>
      </c>
      <c r="F11" s="148">
        <v>0</v>
      </c>
      <c r="G11" s="229">
        <v>0</v>
      </c>
      <c r="H11" s="229">
        <f t="shared" si="0"/>
        <v>0</v>
      </c>
      <c r="I11" s="229">
        <v>0</v>
      </c>
      <c r="J11" s="229">
        <v>0</v>
      </c>
      <c r="K11" s="148">
        <f t="shared" si="1"/>
        <v>0</v>
      </c>
      <c r="L11" s="148">
        <v>0</v>
      </c>
      <c r="M11" s="148">
        <v>0</v>
      </c>
      <c r="N11" s="148">
        <v>0</v>
      </c>
      <c r="O11" s="148">
        <v>0</v>
      </c>
      <c r="P11" s="148">
        <v>0</v>
      </c>
      <c r="Q11" s="148">
        <v>0</v>
      </c>
      <c r="R11" s="149">
        <v>0</v>
      </c>
      <c r="S11" s="148">
        <v>0</v>
      </c>
      <c r="T11" s="148">
        <v>0</v>
      </c>
      <c r="U11" s="148">
        <v>0</v>
      </c>
      <c r="V11" s="148">
        <v>0</v>
      </c>
      <c r="W11" s="148">
        <v>0</v>
      </c>
      <c r="X11" s="148">
        <v>0</v>
      </c>
      <c r="Y11" s="148">
        <v>0</v>
      </c>
      <c r="Z11" s="148">
        <v>0</v>
      </c>
      <c r="AA11" s="148">
        <v>0</v>
      </c>
      <c r="AB11" s="148">
        <v>0</v>
      </c>
      <c r="AC11" s="148">
        <v>0</v>
      </c>
      <c r="AD11" s="148">
        <v>0</v>
      </c>
      <c r="AE11" s="148">
        <v>0</v>
      </c>
      <c r="AF11" s="149">
        <v>0</v>
      </c>
      <c r="AG11" s="148">
        <v>0</v>
      </c>
      <c r="AH11" s="148">
        <v>0</v>
      </c>
      <c r="AI11" s="148"/>
      <c r="AJ11" s="148">
        <v>0</v>
      </c>
      <c r="AK11" s="148">
        <v>0</v>
      </c>
      <c r="AL11" s="148">
        <v>0</v>
      </c>
      <c r="AM11" s="148">
        <v>0</v>
      </c>
      <c r="AN11" s="148">
        <v>0</v>
      </c>
      <c r="AO11" s="148">
        <v>0</v>
      </c>
      <c r="AP11" s="148">
        <v>0</v>
      </c>
      <c r="AQ11" s="148">
        <v>0</v>
      </c>
      <c r="AR11" s="148">
        <v>0</v>
      </c>
      <c r="AS11" s="148">
        <v>0</v>
      </c>
      <c r="AT11" s="148">
        <v>0</v>
      </c>
      <c r="AU11" s="148">
        <v>0</v>
      </c>
      <c r="AV11" s="148">
        <v>0</v>
      </c>
      <c r="AW11" s="148">
        <v>0</v>
      </c>
      <c r="AX11" s="148">
        <v>0</v>
      </c>
      <c r="AY11" s="148">
        <v>0</v>
      </c>
      <c r="AZ11" s="148">
        <v>0</v>
      </c>
      <c r="BA11" s="148">
        <v>0</v>
      </c>
      <c r="BB11" s="148">
        <v>0</v>
      </c>
      <c r="BC11" s="148">
        <v>0</v>
      </c>
      <c r="BD11" s="148">
        <v>0</v>
      </c>
      <c r="BE11" s="148">
        <v>0</v>
      </c>
      <c r="BF11" s="148">
        <v>0</v>
      </c>
      <c r="BG11" s="148">
        <v>0</v>
      </c>
      <c r="BH11" s="148">
        <v>0</v>
      </c>
      <c r="BI11" s="148">
        <v>0</v>
      </c>
      <c r="BJ11" s="148">
        <v>0</v>
      </c>
      <c r="BK11" s="148">
        <v>0</v>
      </c>
      <c r="BL11" s="148">
        <v>0</v>
      </c>
      <c r="BM11" s="148">
        <v>0</v>
      </c>
      <c r="BN11" s="148">
        <v>0</v>
      </c>
      <c r="BO11" s="148">
        <v>0</v>
      </c>
      <c r="BP11" s="148">
        <v>0</v>
      </c>
      <c r="BQ11" s="148">
        <v>0</v>
      </c>
      <c r="BR11" s="148">
        <v>0</v>
      </c>
      <c r="BS11" s="148"/>
      <c r="BT11" s="148"/>
      <c r="BU11" s="148"/>
      <c r="BV11" s="148"/>
      <c r="BW11" s="148"/>
    </row>
    <row r="12" spans="1:75" x14ac:dyDescent="0.25">
      <c r="A12" s="142" t="s">
        <v>325</v>
      </c>
      <c r="B12" s="142" t="s">
        <v>326</v>
      </c>
      <c r="C12" s="30" t="s">
        <v>398</v>
      </c>
      <c r="D12" s="229">
        <v>-13934</v>
      </c>
      <c r="E12" s="148">
        <v>0</v>
      </c>
      <c r="F12" s="148">
        <v>-13934</v>
      </c>
      <c r="G12" s="229">
        <v>-54610</v>
      </c>
      <c r="H12" s="229">
        <f t="shared" si="0"/>
        <v>-6677</v>
      </c>
      <c r="I12" s="229">
        <v>-47933</v>
      </c>
      <c r="J12" s="229">
        <v>-39348</v>
      </c>
      <c r="K12" s="148">
        <f t="shared" si="1"/>
        <v>-8585</v>
      </c>
      <c r="L12" s="226">
        <v>-2517</v>
      </c>
      <c r="M12" s="148">
        <v>-6068</v>
      </c>
      <c r="N12" s="148">
        <v>-24131</v>
      </c>
      <c r="O12" s="148">
        <v>-7745</v>
      </c>
      <c r="P12" s="148">
        <v>-16386</v>
      </c>
      <c r="Q12" s="148">
        <v>14429</v>
      </c>
      <c r="R12" s="149">
        <v>-30815</v>
      </c>
      <c r="S12" s="148">
        <v>-25158</v>
      </c>
      <c r="T12" s="148">
        <v>-5657</v>
      </c>
      <c r="U12" s="148">
        <v>17537</v>
      </c>
      <c r="V12" s="148">
        <v>-9199</v>
      </c>
      <c r="W12" s="148">
        <v>26736</v>
      </c>
      <c r="X12" s="148">
        <v>12574</v>
      </c>
      <c r="Y12" s="148">
        <v>14162</v>
      </c>
      <c r="Z12" s="148">
        <v>10486</v>
      </c>
      <c r="AA12" s="148">
        <v>3676</v>
      </c>
      <c r="AB12" s="148">
        <v>149186</v>
      </c>
      <c r="AC12" s="148">
        <v>42417</v>
      </c>
      <c r="AD12" s="148">
        <v>106769</v>
      </c>
      <c r="AE12" s="148">
        <v>78853</v>
      </c>
      <c r="AF12" s="149">
        <v>27916</v>
      </c>
      <c r="AG12" s="148">
        <v>27916</v>
      </c>
      <c r="AH12" s="148">
        <v>0</v>
      </c>
      <c r="AI12" s="148">
        <v>284312</v>
      </c>
      <c r="AJ12" s="148">
        <v>61425</v>
      </c>
      <c r="AK12" s="148">
        <v>222887</v>
      </c>
      <c r="AL12" s="148">
        <v>26522</v>
      </c>
      <c r="AM12" s="148">
        <v>196365</v>
      </c>
      <c r="AN12" s="148">
        <v>196365</v>
      </c>
      <c r="AO12" s="148">
        <v>0</v>
      </c>
      <c r="AP12" s="148">
        <v>0</v>
      </c>
      <c r="AQ12" s="148">
        <v>0</v>
      </c>
      <c r="AR12" s="148">
        <v>0</v>
      </c>
      <c r="AS12" s="148">
        <v>0</v>
      </c>
      <c r="AT12" s="148">
        <v>0</v>
      </c>
      <c r="AU12" s="148">
        <v>-25764</v>
      </c>
      <c r="AV12" s="148">
        <v>25764</v>
      </c>
      <c r="AW12" s="148">
        <v>70771</v>
      </c>
      <c r="AX12" s="148">
        <v>23765</v>
      </c>
      <c r="AY12" s="148">
        <v>47006</v>
      </c>
      <c r="AZ12" s="148">
        <v>47006</v>
      </c>
      <c r="BA12" s="148">
        <v>0</v>
      </c>
      <c r="BB12" s="148">
        <v>0</v>
      </c>
      <c r="BC12" s="148">
        <v>0</v>
      </c>
      <c r="BD12" s="148">
        <v>0</v>
      </c>
      <c r="BE12" s="148">
        <v>0</v>
      </c>
      <c r="BF12" s="148">
        <v>0</v>
      </c>
      <c r="BG12" s="148">
        <v>0</v>
      </c>
      <c r="BH12" s="148">
        <v>0</v>
      </c>
      <c r="BI12" s="148">
        <v>0</v>
      </c>
      <c r="BJ12" s="148">
        <v>0</v>
      </c>
      <c r="BK12" s="148">
        <v>0</v>
      </c>
      <c r="BL12" s="148">
        <v>0</v>
      </c>
      <c r="BM12" s="148">
        <v>0</v>
      </c>
      <c r="BN12" s="148">
        <v>0</v>
      </c>
      <c r="BO12" s="148">
        <v>0</v>
      </c>
      <c r="BP12" s="148">
        <v>0</v>
      </c>
      <c r="BQ12" s="148">
        <v>0</v>
      </c>
      <c r="BR12" s="148">
        <v>71637</v>
      </c>
      <c r="BS12" s="148"/>
      <c r="BT12" s="148"/>
      <c r="BU12" s="148"/>
      <c r="BV12" s="148"/>
      <c r="BW12" s="148"/>
    </row>
    <row r="13" spans="1:75" x14ac:dyDescent="0.25">
      <c r="A13" s="142" t="s">
        <v>327</v>
      </c>
      <c r="B13" s="142" t="s">
        <v>328</v>
      </c>
      <c r="C13" s="30" t="s">
        <v>399</v>
      </c>
      <c r="D13" s="148">
        <v>2576</v>
      </c>
      <c r="E13" s="148">
        <v>2576</v>
      </c>
      <c r="F13" s="148">
        <v>0</v>
      </c>
      <c r="G13" s="148">
        <v>0</v>
      </c>
      <c r="H13" s="148">
        <f t="shared" si="0"/>
        <v>0</v>
      </c>
      <c r="I13" s="148">
        <v>0</v>
      </c>
      <c r="J13" s="148">
        <v>0</v>
      </c>
      <c r="K13" s="148">
        <f t="shared" si="1"/>
        <v>0</v>
      </c>
      <c r="L13" s="148">
        <v>0</v>
      </c>
      <c r="M13" s="148">
        <v>0</v>
      </c>
      <c r="N13" s="148">
        <v>0</v>
      </c>
      <c r="O13" s="148">
        <v>0</v>
      </c>
      <c r="P13" s="148">
        <v>0</v>
      </c>
      <c r="Q13" s="148">
        <v>0</v>
      </c>
      <c r="R13" s="149">
        <v>0</v>
      </c>
      <c r="S13" s="148">
        <v>0</v>
      </c>
      <c r="T13" s="148">
        <v>0</v>
      </c>
      <c r="U13" s="148">
        <v>0</v>
      </c>
      <c r="V13" s="148">
        <v>0</v>
      </c>
      <c r="W13" s="148">
        <v>0</v>
      </c>
      <c r="X13" s="148">
        <v>0</v>
      </c>
      <c r="Y13" s="148">
        <v>0</v>
      </c>
      <c r="Z13" s="148">
        <v>0</v>
      </c>
      <c r="AA13" s="148">
        <v>0</v>
      </c>
      <c r="AB13" s="148">
        <v>0</v>
      </c>
      <c r="AC13" s="148">
        <v>0</v>
      </c>
      <c r="AD13" s="148">
        <v>0</v>
      </c>
      <c r="AE13" s="148">
        <v>0</v>
      </c>
      <c r="AF13" s="149">
        <v>0</v>
      </c>
      <c r="AG13" s="148">
        <v>26918</v>
      </c>
      <c r="AH13" s="148">
        <v>-26918</v>
      </c>
      <c r="AI13" s="148"/>
      <c r="AJ13" s="148">
        <v>0</v>
      </c>
      <c r="AK13" s="148">
        <v>0</v>
      </c>
      <c r="AL13" s="148">
        <v>0</v>
      </c>
      <c r="AM13" s="148">
        <v>0</v>
      </c>
      <c r="AN13" s="148">
        <v>5692</v>
      </c>
      <c r="AO13" s="148">
        <v>-5692</v>
      </c>
      <c r="AP13" s="148">
        <v>-188434</v>
      </c>
      <c r="AQ13" s="148">
        <v>-103516</v>
      </c>
      <c r="AR13" s="148">
        <v>-84918</v>
      </c>
      <c r="AS13" s="148">
        <v>-49618</v>
      </c>
      <c r="AT13" s="148">
        <v>-35300</v>
      </c>
      <c r="AU13" s="148">
        <v>-35300</v>
      </c>
      <c r="AV13" s="148">
        <v>0</v>
      </c>
      <c r="AW13" s="148">
        <v>0</v>
      </c>
      <c r="AX13" s="148">
        <v>0</v>
      </c>
      <c r="AY13" s="148">
        <v>0</v>
      </c>
      <c r="AZ13" s="148">
        <v>3853</v>
      </c>
      <c r="BA13" s="148">
        <v>-3853</v>
      </c>
      <c r="BB13" s="148">
        <v>1988</v>
      </c>
      <c r="BC13" s="148">
        <v>-5841</v>
      </c>
      <c r="BD13" s="148">
        <v>-32739</v>
      </c>
      <c r="BE13" s="148">
        <v>3207</v>
      </c>
      <c r="BF13" s="148">
        <v>-35946</v>
      </c>
      <c r="BG13" s="148">
        <v>-12436</v>
      </c>
      <c r="BH13" s="148">
        <v>-23510</v>
      </c>
      <c r="BI13" s="148">
        <v>-1545</v>
      </c>
      <c r="BJ13" s="148">
        <v>-21965</v>
      </c>
      <c r="BK13" s="148">
        <v>-77500</v>
      </c>
      <c r="BL13" s="148">
        <v>-17645</v>
      </c>
      <c r="BM13" s="148">
        <v>-59855</v>
      </c>
      <c r="BN13" s="148">
        <v>-45808</v>
      </c>
      <c r="BO13" s="148">
        <v>-14047</v>
      </c>
      <c r="BP13" s="148">
        <v>-12181</v>
      </c>
      <c r="BQ13" s="148">
        <v>-1866</v>
      </c>
      <c r="BR13" s="148">
        <v>0</v>
      </c>
      <c r="BS13" s="148"/>
      <c r="BT13" s="148"/>
      <c r="BU13" s="148"/>
      <c r="BV13" s="148"/>
      <c r="BW13" s="148"/>
    </row>
    <row r="14" spans="1:75" x14ac:dyDescent="0.25">
      <c r="A14" s="142" t="s">
        <v>329</v>
      </c>
      <c r="B14" s="142" t="s">
        <v>330</v>
      </c>
      <c r="C14" s="30" t="s">
        <v>400</v>
      </c>
      <c r="D14" s="148">
        <v>10972</v>
      </c>
      <c r="E14" s="148">
        <v>9434</v>
      </c>
      <c r="F14" s="148">
        <v>1538</v>
      </c>
      <c r="G14" s="148">
        <v>50719</v>
      </c>
      <c r="H14" s="148">
        <f t="shared" si="0"/>
        <v>15302</v>
      </c>
      <c r="I14" s="148">
        <v>35417</v>
      </c>
      <c r="J14" s="148">
        <v>11175</v>
      </c>
      <c r="K14" s="148">
        <f t="shared" si="1"/>
        <v>24242</v>
      </c>
      <c r="L14" s="226">
        <v>18776</v>
      </c>
      <c r="M14" s="148">
        <v>5466</v>
      </c>
      <c r="N14" s="148">
        <v>22269</v>
      </c>
      <c r="O14" s="148">
        <v>8126</v>
      </c>
      <c r="P14" s="148">
        <v>14143</v>
      </c>
      <c r="Q14" s="148">
        <v>7072</v>
      </c>
      <c r="R14" s="149">
        <v>7071</v>
      </c>
      <c r="S14" s="148">
        <v>6256</v>
      </c>
      <c r="T14" s="148">
        <v>815</v>
      </c>
      <c r="U14" s="148">
        <v>14373</v>
      </c>
      <c r="V14" s="148">
        <v>-1203</v>
      </c>
      <c r="W14" s="148">
        <v>15576</v>
      </c>
      <c r="X14" s="148">
        <v>6410</v>
      </c>
      <c r="Y14" s="148">
        <v>9166</v>
      </c>
      <c r="Z14" s="148">
        <v>3309</v>
      </c>
      <c r="AA14" s="148">
        <v>5857</v>
      </c>
      <c r="AB14" s="148">
        <v>30445</v>
      </c>
      <c r="AC14" s="148">
        <v>9986</v>
      </c>
      <c r="AD14" s="148">
        <v>20459</v>
      </c>
      <c r="AE14" s="148">
        <v>9761</v>
      </c>
      <c r="AF14" s="149">
        <v>10698</v>
      </c>
      <c r="AG14" s="148">
        <v>6024</v>
      </c>
      <c r="AH14" s="148">
        <v>4674</v>
      </c>
      <c r="AI14" s="148">
        <v>33879</v>
      </c>
      <c r="AJ14" s="148">
        <v>14728</v>
      </c>
      <c r="AK14" s="148">
        <v>19151</v>
      </c>
      <c r="AL14" s="148">
        <v>7568</v>
      </c>
      <c r="AM14" s="148">
        <v>11583</v>
      </c>
      <c r="AN14" s="148">
        <v>10652</v>
      </c>
      <c r="AO14" s="148">
        <v>931</v>
      </c>
      <c r="AP14" s="148">
        <v>2043</v>
      </c>
      <c r="AQ14" s="148">
        <v>-1859</v>
      </c>
      <c r="AR14" s="148">
        <v>3902</v>
      </c>
      <c r="AS14" s="148">
        <v>539</v>
      </c>
      <c r="AT14" s="148">
        <v>3363</v>
      </c>
      <c r="AU14" s="148">
        <v>-2269</v>
      </c>
      <c r="AV14" s="148">
        <v>5632</v>
      </c>
      <c r="AW14" s="148">
        <v>-23902</v>
      </c>
      <c r="AX14" s="148">
        <v>-2504</v>
      </c>
      <c r="AY14" s="148">
        <v>-21398</v>
      </c>
      <c r="AZ14" s="148">
        <v>-9917</v>
      </c>
      <c r="BA14" s="148">
        <v>-11481</v>
      </c>
      <c r="BB14" s="148">
        <v>-3753</v>
      </c>
      <c r="BC14" s="148">
        <v>-7728</v>
      </c>
      <c r="BD14" s="148">
        <v>-14457</v>
      </c>
      <c r="BE14" s="148">
        <v>-4352</v>
      </c>
      <c r="BF14" s="148">
        <v>-10105</v>
      </c>
      <c r="BG14" s="148">
        <v>-4416</v>
      </c>
      <c r="BH14" s="148">
        <v>-5689</v>
      </c>
      <c r="BI14" s="148">
        <v>-8288</v>
      </c>
      <c r="BJ14" s="148">
        <v>2599</v>
      </c>
      <c r="BK14" s="148">
        <v>-19957</v>
      </c>
      <c r="BL14" s="148">
        <v>-2071</v>
      </c>
      <c r="BM14" s="148">
        <v>-17886</v>
      </c>
      <c r="BN14" s="148">
        <v>1019</v>
      </c>
      <c r="BO14" s="148">
        <v>-18905</v>
      </c>
      <c r="BP14" s="148">
        <v>-23749</v>
      </c>
      <c r="BQ14" s="148">
        <v>4844</v>
      </c>
      <c r="BR14" s="148">
        <v>-28799</v>
      </c>
      <c r="BS14" s="148"/>
      <c r="BT14" s="148"/>
      <c r="BU14" s="148"/>
      <c r="BV14" s="148"/>
      <c r="BW14" s="148"/>
    </row>
    <row r="15" spans="1:75" x14ac:dyDescent="0.25">
      <c r="A15" s="142" t="s">
        <v>331</v>
      </c>
      <c r="B15" s="142" t="s">
        <v>332</v>
      </c>
      <c r="C15" s="30" t="s">
        <v>401</v>
      </c>
      <c r="D15" s="148">
        <v>502536</v>
      </c>
      <c r="E15" s="148">
        <v>283713</v>
      </c>
      <c r="F15" s="148">
        <v>218823</v>
      </c>
      <c r="G15" s="148">
        <v>941914</v>
      </c>
      <c r="H15" s="148">
        <f t="shared" si="0"/>
        <v>196117</v>
      </c>
      <c r="I15" s="148">
        <v>745797</v>
      </c>
      <c r="J15" s="148">
        <v>221912</v>
      </c>
      <c r="K15" s="148">
        <f t="shared" si="1"/>
        <v>523885</v>
      </c>
      <c r="L15" s="226">
        <v>306856</v>
      </c>
      <c r="M15" s="148">
        <v>217029</v>
      </c>
      <c r="N15" s="148">
        <v>1021036</v>
      </c>
      <c r="O15" s="148">
        <v>247149</v>
      </c>
      <c r="P15" s="148">
        <v>773887</v>
      </c>
      <c r="Q15" s="148">
        <v>306564</v>
      </c>
      <c r="R15" s="149">
        <v>467323</v>
      </c>
      <c r="S15" s="148">
        <v>266433</v>
      </c>
      <c r="T15" s="148">
        <v>200890</v>
      </c>
      <c r="U15" s="148">
        <v>782576</v>
      </c>
      <c r="V15" s="148">
        <v>173285</v>
      </c>
      <c r="W15" s="148">
        <v>609291</v>
      </c>
      <c r="X15" s="148">
        <v>197906</v>
      </c>
      <c r="Y15" s="148">
        <v>411385</v>
      </c>
      <c r="Z15" s="148">
        <v>245625</v>
      </c>
      <c r="AA15" s="148">
        <v>165760</v>
      </c>
      <c r="AB15" s="148">
        <v>1245684</v>
      </c>
      <c r="AC15" s="148">
        <v>166391</v>
      </c>
      <c r="AD15" s="148">
        <v>1079293</v>
      </c>
      <c r="AE15" s="148">
        <v>245497</v>
      </c>
      <c r="AF15" s="149">
        <v>833796</v>
      </c>
      <c r="AG15" s="148">
        <v>413895</v>
      </c>
      <c r="AH15" s="148">
        <v>419901</v>
      </c>
      <c r="AI15" s="148">
        <v>1281485</v>
      </c>
      <c r="AJ15" s="148">
        <v>249449</v>
      </c>
      <c r="AK15" s="148">
        <v>1032036</v>
      </c>
      <c r="AL15" s="148">
        <v>354664</v>
      </c>
      <c r="AM15" s="148">
        <v>677372</v>
      </c>
      <c r="AN15" s="148">
        <v>454291</v>
      </c>
      <c r="AO15" s="148">
        <v>223081</v>
      </c>
      <c r="AP15" s="148">
        <v>-184721</v>
      </c>
      <c r="AQ15" s="148">
        <v>-9662</v>
      </c>
      <c r="AR15" s="148">
        <v>-175059</v>
      </c>
      <c r="AS15" s="148">
        <v>71479</v>
      </c>
      <c r="AT15" s="148">
        <v>-246538</v>
      </c>
      <c r="AU15" s="148">
        <v>-332034</v>
      </c>
      <c r="AV15" s="148">
        <v>85496</v>
      </c>
      <c r="AW15" s="148">
        <v>676255</v>
      </c>
      <c r="AX15" s="148">
        <v>104099</v>
      </c>
      <c r="AY15" s="148">
        <v>572156</v>
      </c>
      <c r="AZ15" s="148">
        <v>226737</v>
      </c>
      <c r="BA15" s="148">
        <v>345419</v>
      </c>
      <c r="BB15" s="148">
        <v>201652</v>
      </c>
      <c r="BC15" s="148">
        <v>143767</v>
      </c>
      <c r="BD15" s="148">
        <v>701493</v>
      </c>
      <c r="BE15" s="148">
        <v>144651</v>
      </c>
      <c r="BF15" s="148">
        <v>556842</v>
      </c>
      <c r="BG15" s="148">
        <v>219722</v>
      </c>
      <c r="BH15" s="148">
        <v>337120</v>
      </c>
      <c r="BI15" s="148">
        <v>189992</v>
      </c>
      <c r="BJ15" s="148">
        <v>147128</v>
      </c>
      <c r="BK15" s="148">
        <v>496556</v>
      </c>
      <c r="BL15" s="148">
        <v>115665</v>
      </c>
      <c r="BM15" s="148">
        <v>380891</v>
      </c>
      <c r="BN15" s="148">
        <v>143986</v>
      </c>
      <c r="BO15" s="148">
        <v>236905</v>
      </c>
      <c r="BP15" s="148">
        <v>120859</v>
      </c>
      <c r="BQ15" s="148">
        <v>116046</v>
      </c>
      <c r="BR15" s="148">
        <v>479322</v>
      </c>
      <c r="BS15" s="148"/>
      <c r="BT15" s="148"/>
      <c r="BU15" s="148"/>
      <c r="BV15" s="148"/>
      <c r="BW15" s="148"/>
    </row>
    <row r="16" spans="1:75" x14ac:dyDescent="0.25">
      <c r="A16" s="142" t="s">
        <v>333</v>
      </c>
      <c r="B16" s="142" t="s">
        <v>334</v>
      </c>
      <c r="C16" s="30" t="s">
        <v>402</v>
      </c>
      <c r="D16" s="148">
        <v>-263323</v>
      </c>
      <c r="E16" s="148">
        <v>-117042</v>
      </c>
      <c r="F16" s="148">
        <v>-146281</v>
      </c>
      <c r="G16" s="148">
        <v>-578276</v>
      </c>
      <c r="H16" s="148">
        <f t="shared" si="0"/>
        <v>-142347</v>
      </c>
      <c r="I16" s="148">
        <v>-435929</v>
      </c>
      <c r="J16" s="148">
        <v>-144566</v>
      </c>
      <c r="K16" s="148">
        <f>L16+M16-1</f>
        <v>-291363</v>
      </c>
      <c r="L16" s="226">
        <v>-151371</v>
      </c>
      <c r="M16" s="148">
        <v>-139991</v>
      </c>
      <c r="N16" s="148">
        <v>-435573</v>
      </c>
      <c r="O16" s="148">
        <v>-124753</v>
      </c>
      <c r="P16" s="148">
        <v>-310820</v>
      </c>
      <c r="Q16" s="148">
        <v>-99186</v>
      </c>
      <c r="R16" s="149">
        <v>-211634</v>
      </c>
      <c r="S16" s="148">
        <v>-116478</v>
      </c>
      <c r="T16" s="148">
        <v>-95156</v>
      </c>
      <c r="U16" s="148">
        <v>-517876</v>
      </c>
      <c r="V16" s="148">
        <v>-144649</v>
      </c>
      <c r="W16" s="148">
        <v>-373227</v>
      </c>
      <c r="X16" s="148">
        <v>-118930</v>
      </c>
      <c r="Y16" s="148">
        <v>-254297</v>
      </c>
      <c r="Z16" s="148">
        <v>-122408</v>
      </c>
      <c r="AA16" s="148">
        <v>-131889</v>
      </c>
      <c r="AB16" s="148">
        <v>-617664</v>
      </c>
      <c r="AC16" s="148">
        <v>-245269</v>
      </c>
      <c r="AD16" s="148">
        <v>-372395</v>
      </c>
      <c r="AE16" s="148">
        <v>-137777</v>
      </c>
      <c r="AF16" s="149">
        <v>-234618</v>
      </c>
      <c r="AG16" s="148">
        <v>-112366</v>
      </c>
      <c r="AH16" s="148">
        <v>-122252</v>
      </c>
      <c r="AI16" s="148">
        <v>-324617</v>
      </c>
      <c r="AJ16" s="148">
        <v>-118276</v>
      </c>
      <c r="AK16" s="148">
        <v>-206341</v>
      </c>
      <c r="AL16" s="148">
        <v>-78756</v>
      </c>
      <c r="AM16" s="148">
        <v>-127585</v>
      </c>
      <c r="AN16" s="148">
        <v>-68543</v>
      </c>
      <c r="AO16" s="148">
        <v>-59042</v>
      </c>
      <c r="AP16" s="148">
        <v>-232986</v>
      </c>
      <c r="AQ16" s="148">
        <v>-57045</v>
      </c>
      <c r="AR16" s="148">
        <v>-175941</v>
      </c>
      <c r="AS16" s="148">
        <v>-42240</v>
      </c>
      <c r="AT16" s="148">
        <v>-133701</v>
      </c>
      <c r="AU16" s="148">
        <v>-84121</v>
      </c>
      <c r="AV16" s="148">
        <v>-49580</v>
      </c>
      <c r="AW16" s="148">
        <v>-169904</v>
      </c>
      <c r="AX16" s="148">
        <v>-18293</v>
      </c>
      <c r="AY16" s="148">
        <v>-151611</v>
      </c>
      <c r="AZ16" s="148">
        <v>-24105</v>
      </c>
      <c r="BA16" s="148">
        <v>-127506</v>
      </c>
      <c r="BB16" s="148">
        <v>-49704</v>
      </c>
      <c r="BC16" s="148">
        <v>-77802</v>
      </c>
      <c r="BD16" s="148">
        <v>-220819</v>
      </c>
      <c r="BE16" s="148">
        <v>-42216</v>
      </c>
      <c r="BF16" s="148">
        <v>-178603</v>
      </c>
      <c r="BG16" s="148">
        <v>-49149</v>
      </c>
      <c r="BH16" s="148">
        <v>-129454</v>
      </c>
      <c r="BI16" s="148">
        <v>-64847</v>
      </c>
      <c r="BJ16" s="148">
        <v>-64607</v>
      </c>
      <c r="BK16" s="148">
        <v>-347208</v>
      </c>
      <c r="BL16" s="148">
        <v>-80764</v>
      </c>
      <c r="BM16" s="148">
        <v>-266444</v>
      </c>
      <c r="BN16" s="148">
        <v>-148923</v>
      </c>
      <c r="BO16" s="148">
        <v>-117521</v>
      </c>
      <c r="BP16" s="148">
        <v>-49042</v>
      </c>
      <c r="BQ16" s="148">
        <v>-68479</v>
      </c>
      <c r="BR16" s="148">
        <v>-344490</v>
      </c>
      <c r="BS16" s="148"/>
      <c r="BT16" s="148"/>
      <c r="BU16" s="148"/>
      <c r="BV16" s="148"/>
      <c r="BW16" s="148"/>
    </row>
    <row r="17" spans="1:75" x14ac:dyDescent="0.25">
      <c r="A17" s="142" t="s">
        <v>335</v>
      </c>
      <c r="B17" s="142" t="s">
        <v>336</v>
      </c>
      <c r="C17" s="30" t="s">
        <v>403</v>
      </c>
      <c r="D17" s="148">
        <v>59175</v>
      </c>
      <c r="E17" s="148">
        <v>30357</v>
      </c>
      <c r="F17" s="148">
        <v>28818</v>
      </c>
      <c r="G17" s="148">
        <v>873522</v>
      </c>
      <c r="H17" s="148">
        <f t="shared" si="0"/>
        <v>771438</v>
      </c>
      <c r="I17" s="148">
        <v>102084</v>
      </c>
      <c r="J17" s="148">
        <v>33630</v>
      </c>
      <c r="K17" s="148">
        <f t="shared" si="1"/>
        <v>68454</v>
      </c>
      <c r="L17" s="226">
        <v>34225</v>
      </c>
      <c r="M17" s="148">
        <v>34229</v>
      </c>
      <c r="N17" s="148">
        <v>424392</v>
      </c>
      <c r="O17" s="148">
        <v>252694</v>
      </c>
      <c r="P17" s="148">
        <v>171698</v>
      </c>
      <c r="Q17" s="148">
        <v>54759</v>
      </c>
      <c r="R17" s="149">
        <v>116939</v>
      </c>
      <c r="S17" s="148">
        <v>44738</v>
      </c>
      <c r="T17" s="148">
        <v>72201</v>
      </c>
      <c r="U17" s="148">
        <v>216151</v>
      </c>
      <c r="V17" s="148">
        <v>61540</v>
      </c>
      <c r="W17" s="148">
        <v>154611</v>
      </c>
      <c r="X17" s="148">
        <v>50098</v>
      </c>
      <c r="Y17" s="148">
        <v>104513</v>
      </c>
      <c r="Z17" s="148">
        <v>54793</v>
      </c>
      <c r="AA17" s="148">
        <v>49720</v>
      </c>
      <c r="AB17" s="148">
        <v>114455</v>
      </c>
      <c r="AC17" s="148">
        <v>40319</v>
      </c>
      <c r="AD17" s="148">
        <v>74136</v>
      </c>
      <c r="AE17" s="148">
        <v>35162</v>
      </c>
      <c r="AF17" s="149">
        <v>38974</v>
      </c>
      <c r="AG17" s="148">
        <v>24572</v>
      </c>
      <c r="AH17" s="148">
        <v>14402</v>
      </c>
      <c r="AI17" s="148">
        <v>97853</v>
      </c>
      <c r="AJ17" s="148">
        <v>16827</v>
      </c>
      <c r="AK17" s="148">
        <v>81026</v>
      </c>
      <c r="AL17" s="148">
        <v>9307</v>
      </c>
      <c r="AM17" s="148">
        <v>71719</v>
      </c>
      <c r="AN17" s="148">
        <v>62956</v>
      </c>
      <c r="AO17" s="148">
        <v>8763</v>
      </c>
      <c r="AP17" s="148">
        <v>33366</v>
      </c>
      <c r="AQ17" s="148">
        <v>17226</v>
      </c>
      <c r="AR17" s="148">
        <v>16140</v>
      </c>
      <c r="AS17" s="148">
        <v>5534</v>
      </c>
      <c r="AT17" s="148">
        <v>10606</v>
      </c>
      <c r="AU17" s="148">
        <v>7185</v>
      </c>
      <c r="AV17" s="148">
        <v>3421</v>
      </c>
      <c r="AW17" s="148">
        <v>65344</v>
      </c>
      <c r="AX17" s="148">
        <v>24658</v>
      </c>
      <c r="AY17" s="148">
        <v>40686</v>
      </c>
      <c r="AZ17" s="148">
        <v>30214</v>
      </c>
      <c r="BA17" s="148">
        <v>10472</v>
      </c>
      <c r="BB17" s="148">
        <v>4680</v>
      </c>
      <c r="BC17" s="148">
        <v>5792</v>
      </c>
      <c r="BD17" s="148">
        <v>18595</v>
      </c>
      <c r="BE17" s="148">
        <v>7541</v>
      </c>
      <c r="BF17" s="148">
        <v>11054</v>
      </c>
      <c r="BG17" s="148">
        <v>-2463</v>
      </c>
      <c r="BH17" s="148">
        <v>13517</v>
      </c>
      <c r="BI17" s="148">
        <v>8750</v>
      </c>
      <c r="BJ17" s="148">
        <v>4767</v>
      </c>
      <c r="BK17" s="148">
        <v>55160</v>
      </c>
      <c r="BL17" s="148">
        <v>22841</v>
      </c>
      <c r="BM17" s="148">
        <v>32319</v>
      </c>
      <c r="BN17" s="148">
        <v>8884</v>
      </c>
      <c r="BO17" s="148">
        <v>23435</v>
      </c>
      <c r="BP17" s="148">
        <v>16276</v>
      </c>
      <c r="BQ17" s="148">
        <v>7159</v>
      </c>
      <c r="BR17" s="148">
        <v>57837</v>
      </c>
      <c r="BS17" s="148"/>
      <c r="BT17" s="148"/>
      <c r="BU17" s="148"/>
      <c r="BV17" s="148"/>
      <c r="BW17" s="148"/>
    </row>
    <row r="18" spans="1:75" x14ac:dyDescent="0.25">
      <c r="A18" s="142" t="s">
        <v>337</v>
      </c>
      <c r="B18" s="142" t="s">
        <v>336</v>
      </c>
      <c r="C18" s="30" t="s">
        <v>404</v>
      </c>
      <c r="D18" s="148">
        <v>59175</v>
      </c>
      <c r="E18" s="148">
        <v>30357</v>
      </c>
      <c r="F18" s="148">
        <v>28818</v>
      </c>
      <c r="G18" s="148">
        <v>135659</v>
      </c>
      <c r="H18" s="148">
        <f t="shared" si="0"/>
        <v>33575</v>
      </c>
      <c r="I18" s="148">
        <v>102084</v>
      </c>
      <c r="J18" s="148">
        <v>33630</v>
      </c>
      <c r="K18" s="148">
        <f t="shared" si="1"/>
        <v>68454</v>
      </c>
      <c r="L18" s="226">
        <v>34225</v>
      </c>
      <c r="M18" s="148">
        <v>34229</v>
      </c>
      <c r="N18" s="148">
        <v>220456</v>
      </c>
      <c r="O18" s="148">
        <v>48758</v>
      </c>
      <c r="P18" s="148">
        <v>171698</v>
      </c>
      <c r="Q18" s="148">
        <v>54759</v>
      </c>
      <c r="R18" s="149">
        <v>116939</v>
      </c>
      <c r="S18" s="148">
        <v>44738</v>
      </c>
      <c r="T18" s="148">
        <v>72201</v>
      </c>
      <c r="U18" s="148">
        <v>216151</v>
      </c>
      <c r="V18" s="148">
        <v>61540</v>
      </c>
      <c r="W18" s="148">
        <v>154611</v>
      </c>
      <c r="X18" s="148">
        <v>50098</v>
      </c>
      <c r="Y18" s="148">
        <v>104513</v>
      </c>
      <c r="Z18" s="148">
        <v>54793</v>
      </c>
      <c r="AA18" s="148">
        <v>49720</v>
      </c>
      <c r="AB18" s="148">
        <v>114455</v>
      </c>
      <c r="AC18" s="148">
        <v>40319</v>
      </c>
      <c r="AD18" s="148">
        <v>74136</v>
      </c>
      <c r="AE18" s="148">
        <v>35162</v>
      </c>
      <c r="AF18" s="149">
        <v>38974</v>
      </c>
      <c r="AG18" s="148">
        <v>24572</v>
      </c>
      <c r="AH18" s="148">
        <v>14402</v>
      </c>
      <c r="AI18" s="148">
        <v>97853</v>
      </c>
      <c r="AJ18" s="148">
        <v>16827</v>
      </c>
      <c r="AK18" s="148">
        <v>81026</v>
      </c>
      <c r="AL18" s="148">
        <v>9307</v>
      </c>
      <c r="AM18" s="148">
        <v>71719</v>
      </c>
      <c r="AN18" s="148">
        <v>67079</v>
      </c>
      <c r="AO18" s="148">
        <v>4640</v>
      </c>
      <c r="AP18" s="148">
        <v>33366</v>
      </c>
      <c r="AQ18" s="148">
        <v>18414</v>
      </c>
      <c r="AR18" s="148">
        <v>14952</v>
      </c>
      <c r="AS18" s="148">
        <v>4346</v>
      </c>
      <c r="AT18" s="148">
        <v>10606</v>
      </c>
      <c r="AU18" s="148">
        <v>7185</v>
      </c>
      <c r="AV18" s="148">
        <v>3421</v>
      </c>
      <c r="AW18" s="148">
        <v>65344</v>
      </c>
      <c r="AX18" s="148">
        <v>24658</v>
      </c>
      <c r="AY18" s="148">
        <v>40686</v>
      </c>
      <c r="AZ18" s="148">
        <v>30214</v>
      </c>
      <c r="BA18" s="148">
        <v>10472</v>
      </c>
      <c r="BB18" s="148">
        <v>4680</v>
      </c>
      <c r="BC18" s="148">
        <v>5792</v>
      </c>
      <c r="BD18" s="148">
        <v>14838</v>
      </c>
      <c r="BE18" s="148">
        <v>3784</v>
      </c>
      <c r="BF18" s="148">
        <v>11054</v>
      </c>
      <c r="BG18" s="148">
        <v>-2463</v>
      </c>
      <c r="BH18" s="148">
        <v>13517</v>
      </c>
      <c r="BI18" s="148">
        <v>8750</v>
      </c>
      <c r="BJ18" s="148">
        <v>4767</v>
      </c>
      <c r="BK18" s="148">
        <v>55160</v>
      </c>
      <c r="BL18" s="148">
        <v>22841</v>
      </c>
      <c r="BM18" s="148">
        <v>32319</v>
      </c>
      <c r="BN18" s="148">
        <v>8884</v>
      </c>
      <c r="BO18" s="148">
        <v>23435</v>
      </c>
      <c r="BP18" s="148">
        <v>16276</v>
      </c>
      <c r="BQ18" s="148">
        <v>7159</v>
      </c>
      <c r="BR18" s="148">
        <v>57837</v>
      </c>
      <c r="BS18" s="148"/>
      <c r="BT18" s="148"/>
      <c r="BU18" s="148"/>
      <c r="BV18" s="148"/>
      <c r="BW18" s="148"/>
    </row>
    <row r="19" spans="1:75" x14ac:dyDescent="0.25">
      <c r="A19" s="142" t="s">
        <v>338</v>
      </c>
      <c r="B19" s="142" t="s">
        <v>383</v>
      </c>
      <c r="C19" s="30" t="s">
        <v>405</v>
      </c>
      <c r="D19" s="148">
        <v>0</v>
      </c>
      <c r="E19" s="148">
        <v>0</v>
      </c>
      <c r="F19" s="148">
        <v>0</v>
      </c>
      <c r="G19" s="148">
        <v>737863</v>
      </c>
      <c r="H19" s="148">
        <f t="shared" si="0"/>
        <v>737863</v>
      </c>
      <c r="I19" s="148">
        <v>0</v>
      </c>
      <c r="J19" s="148">
        <v>0</v>
      </c>
      <c r="K19" s="148">
        <f t="shared" si="1"/>
        <v>0</v>
      </c>
      <c r="L19" s="148">
        <v>0</v>
      </c>
      <c r="M19" s="148">
        <v>0</v>
      </c>
      <c r="N19" s="148">
        <v>203936</v>
      </c>
      <c r="O19" s="148">
        <v>203936</v>
      </c>
      <c r="P19" s="148">
        <v>0</v>
      </c>
      <c r="Q19" s="148">
        <v>0</v>
      </c>
      <c r="R19" s="149">
        <v>0</v>
      </c>
      <c r="S19" s="148">
        <v>0</v>
      </c>
      <c r="T19" s="148">
        <v>0</v>
      </c>
      <c r="U19" s="148">
        <v>0</v>
      </c>
      <c r="V19" s="148">
        <v>0</v>
      </c>
      <c r="W19" s="148">
        <v>0</v>
      </c>
      <c r="X19" s="148">
        <v>0</v>
      </c>
      <c r="Y19" s="148">
        <v>0</v>
      </c>
      <c r="Z19" s="148">
        <v>0</v>
      </c>
      <c r="AA19" s="148">
        <v>0</v>
      </c>
      <c r="AB19" s="148">
        <v>0</v>
      </c>
      <c r="AC19" s="148">
        <v>0</v>
      </c>
      <c r="AD19" s="148">
        <v>0</v>
      </c>
      <c r="AE19" s="148">
        <v>0</v>
      </c>
      <c r="AF19" s="149">
        <v>0</v>
      </c>
      <c r="AG19" s="148">
        <v>0</v>
      </c>
      <c r="AH19" s="148">
        <v>0</v>
      </c>
      <c r="AI19" s="148"/>
      <c r="AJ19" s="148">
        <v>0</v>
      </c>
      <c r="AK19" s="148">
        <v>0</v>
      </c>
      <c r="AL19" s="148">
        <v>0</v>
      </c>
      <c r="AM19" s="148">
        <v>0</v>
      </c>
      <c r="AN19" s="148">
        <v>-4123</v>
      </c>
      <c r="AO19" s="148">
        <v>4123</v>
      </c>
      <c r="AP19" s="148">
        <v>0</v>
      </c>
      <c r="AQ19" s="148">
        <v>-1188</v>
      </c>
      <c r="AR19" s="148">
        <v>1188</v>
      </c>
      <c r="AS19" s="148">
        <v>1188</v>
      </c>
      <c r="AT19" s="148">
        <v>0</v>
      </c>
      <c r="AU19" s="148">
        <v>0</v>
      </c>
      <c r="AV19" s="148">
        <v>0</v>
      </c>
      <c r="AW19" s="148">
        <v>0</v>
      </c>
      <c r="AX19" s="148">
        <v>0</v>
      </c>
      <c r="AY19" s="148">
        <v>0</v>
      </c>
      <c r="AZ19" s="148">
        <v>0</v>
      </c>
      <c r="BA19" s="148">
        <v>0</v>
      </c>
      <c r="BB19" s="148">
        <v>0</v>
      </c>
      <c r="BC19" s="148">
        <v>0</v>
      </c>
      <c r="BD19" s="148">
        <v>3757</v>
      </c>
      <c r="BE19" s="148">
        <v>3757</v>
      </c>
      <c r="BF19" s="148">
        <v>0</v>
      </c>
      <c r="BG19" s="148">
        <v>0</v>
      </c>
      <c r="BH19" s="148">
        <v>0</v>
      </c>
      <c r="BI19" s="148">
        <v>0</v>
      </c>
      <c r="BJ19" s="148">
        <v>0</v>
      </c>
      <c r="BK19" s="148">
        <v>0</v>
      </c>
      <c r="BL19" s="148">
        <v>0</v>
      </c>
      <c r="BM19" s="148">
        <v>0</v>
      </c>
      <c r="BN19" s="148">
        <v>0</v>
      </c>
      <c r="BO19" s="148">
        <v>0</v>
      </c>
      <c r="BP19" s="148">
        <v>0</v>
      </c>
      <c r="BQ19" s="148">
        <v>0</v>
      </c>
      <c r="BR19" s="148">
        <v>0</v>
      </c>
      <c r="BS19" s="148"/>
      <c r="BT19" s="148"/>
      <c r="BU19" s="148"/>
      <c r="BV19" s="148"/>
      <c r="BW19" s="148"/>
    </row>
    <row r="20" spans="1:75" x14ac:dyDescent="0.25">
      <c r="A20" s="142" t="s">
        <v>339</v>
      </c>
      <c r="B20" s="142" t="s">
        <v>340</v>
      </c>
      <c r="C20" s="30" t="s">
        <v>406</v>
      </c>
      <c r="D20" s="148">
        <v>-322498</v>
      </c>
      <c r="E20" s="148">
        <v>-147399</v>
      </c>
      <c r="F20" s="148">
        <v>-175099</v>
      </c>
      <c r="G20" s="148">
        <v>-1451798</v>
      </c>
      <c r="H20" s="148">
        <f t="shared" si="0"/>
        <v>-913785</v>
      </c>
      <c r="I20" s="148">
        <v>-538013</v>
      </c>
      <c r="J20" s="148">
        <v>-178196</v>
      </c>
      <c r="K20" s="148">
        <f>L20+M20-1</f>
        <v>-359817</v>
      </c>
      <c r="L20" s="226">
        <v>-185596</v>
      </c>
      <c r="M20" s="148">
        <v>-174220</v>
      </c>
      <c r="N20" s="148">
        <v>-859965</v>
      </c>
      <c r="O20" s="148">
        <v>-377447</v>
      </c>
      <c r="P20" s="148">
        <v>-482518</v>
      </c>
      <c r="Q20" s="148">
        <v>-153945</v>
      </c>
      <c r="R20" s="149">
        <v>-328573</v>
      </c>
      <c r="S20" s="148">
        <v>-161216</v>
      </c>
      <c r="T20" s="148">
        <v>-167357</v>
      </c>
      <c r="U20" s="148">
        <v>-734027</v>
      </c>
      <c r="V20" s="148">
        <v>-206189</v>
      </c>
      <c r="W20" s="148">
        <v>-527838</v>
      </c>
      <c r="X20" s="148">
        <v>-169028</v>
      </c>
      <c r="Y20" s="148">
        <v>-358810</v>
      </c>
      <c r="Z20" s="148">
        <v>-177201</v>
      </c>
      <c r="AA20" s="148">
        <v>-181609</v>
      </c>
      <c r="AB20" s="148">
        <v>-732119</v>
      </c>
      <c r="AC20" s="148">
        <v>-285588</v>
      </c>
      <c r="AD20" s="148">
        <v>-446531</v>
      </c>
      <c r="AE20" s="148">
        <v>-172939</v>
      </c>
      <c r="AF20" s="149">
        <v>-273592</v>
      </c>
      <c r="AG20" s="148">
        <v>-136938</v>
      </c>
      <c r="AH20" s="148">
        <v>-136654</v>
      </c>
      <c r="AI20" s="148">
        <v>-422470</v>
      </c>
      <c r="AJ20" s="148">
        <v>-135103</v>
      </c>
      <c r="AK20" s="148">
        <v>-287367</v>
      </c>
      <c r="AL20" s="148">
        <v>-88063</v>
      </c>
      <c r="AM20" s="148">
        <v>-199304</v>
      </c>
      <c r="AN20" s="148">
        <v>-131499</v>
      </c>
      <c r="AO20" s="148">
        <v>-67805</v>
      </c>
      <c r="AP20" s="148">
        <v>-266352</v>
      </c>
      <c r="AQ20" s="148">
        <v>-74271</v>
      </c>
      <c r="AR20" s="148">
        <v>-192081</v>
      </c>
      <c r="AS20" s="148">
        <v>-47774</v>
      </c>
      <c r="AT20" s="148">
        <v>-144307</v>
      </c>
      <c r="AU20" s="148">
        <v>-91306</v>
      </c>
      <c r="AV20" s="148">
        <v>-53001</v>
      </c>
      <c r="AW20" s="148">
        <v>-235248</v>
      </c>
      <c r="AX20" s="148">
        <v>-42951</v>
      </c>
      <c r="AY20" s="148">
        <v>-192297</v>
      </c>
      <c r="AZ20" s="148">
        <v>-54319</v>
      </c>
      <c r="BA20" s="148">
        <v>-137978</v>
      </c>
      <c r="BB20" s="148">
        <v>-54384</v>
      </c>
      <c r="BC20" s="148">
        <v>-83594</v>
      </c>
      <c r="BD20" s="148">
        <v>-239414</v>
      </c>
      <c r="BE20" s="148">
        <v>-49757</v>
      </c>
      <c r="BF20" s="148">
        <v>-189657</v>
      </c>
      <c r="BG20" s="148">
        <v>-46686</v>
      </c>
      <c r="BH20" s="148">
        <v>-142971</v>
      </c>
      <c r="BI20" s="148">
        <v>-73597</v>
      </c>
      <c r="BJ20" s="148">
        <v>-69374</v>
      </c>
      <c r="BK20" s="148">
        <v>-402368</v>
      </c>
      <c r="BL20" s="148">
        <v>-103605</v>
      </c>
      <c r="BM20" s="148">
        <v>-298763</v>
      </c>
      <c r="BN20" s="148">
        <v>-157807</v>
      </c>
      <c r="BO20" s="148">
        <v>-140956</v>
      </c>
      <c r="BP20" s="148">
        <v>-65318</v>
      </c>
      <c r="BQ20" s="148">
        <v>-75638</v>
      </c>
      <c r="BR20" s="148">
        <v>-402327</v>
      </c>
      <c r="BS20" s="148"/>
      <c r="BT20" s="148"/>
      <c r="BU20" s="148"/>
      <c r="BV20" s="148"/>
      <c r="BW20" s="148"/>
    </row>
    <row r="21" spans="1:75" x14ac:dyDescent="0.25">
      <c r="A21" s="142" t="s">
        <v>341</v>
      </c>
      <c r="B21" s="142" t="s">
        <v>340</v>
      </c>
      <c r="C21" s="30" t="s">
        <v>407</v>
      </c>
      <c r="D21" s="148">
        <v>-310189</v>
      </c>
      <c r="E21" s="148">
        <v>-154863</v>
      </c>
      <c r="F21" s="148">
        <v>-155326</v>
      </c>
      <c r="G21" s="148">
        <v>-660432</v>
      </c>
      <c r="H21" s="148">
        <f t="shared" si="0"/>
        <v>-166630</v>
      </c>
      <c r="I21" s="148">
        <v>-493802</v>
      </c>
      <c r="J21" s="148">
        <v>-165639</v>
      </c>
      <c r="K21" s="148">
        <f t="shared" si="1"/>
        <v>-328163</v>
      </c>
      <c r="L21" s="226">
        <v>-159902</v>
      </c>
      <c r="M21" s="148">
        <v>-168261</v>
      </c>
      <c r="N21" s="148">
        <v>-641289</v>
      </c>
      <c r="O21" s="148">
        <v>-169194</v>
      </c>
      <c r="P21" s="148">
        <v>-472095</v>
      </c>
      <c r="Q21" s="148">
        <v>-147954</v>
      </c>
      <c r="R21" s="149">
        <v>-324141</v>
      </c>
      <c r="S21" s="148">
        <v>-159714</v>
      </c>
      <c r="T21" s="148">
        <v>-164427</v>
      </c>
      <c r="U21" s="148">
        <v>-702359</v>
      </c>
      <c r="V21" s="148">
        <v>-193674</v>
      </c>
      <c r="W21" s="148">
        <v>-508685</v>
      </c>
      <c r="X21" s="148">
        <v>-174649</v>
      </c>
      <c r="Y21" s="148">
        <v>-334036</v>
      </c>
      <c r="Z21" s="148">
        <v>-156962</v>
      </c>
      <c r="AA21" s="148">
        <v>-177074</v>
      </c>
      <c r="AB21" s="148">
        <v>-713353</v>
      </c>
      <c r="AC21" s="148">
        <v>-274592</v>
      </c>
      <c r="AD21" s="148">
        <v>-438761</v>
      </c>
      <c r="AE21" s="148">
        <v>-170613</v>
      </c>
      <c r="AF21" s="149">
        <v>-268148</v>
      </c>
      <c r="AG21" s="148">
        <v>-141675</v>
      </c>
      <c r="AH21" s="148">
        <v>-126473</v>
      </c>
      <c r="AI21" s="148">
        <v>-389416</v>
      </c>
      <c r="AJ21" s="148">
        <v>-108327</v>
      </c>
      <c r="AK21" s="148">
        <v>-281089</v>
      </c>
      <c r="AL21" s="148">
        <v>-88614</v>
      </c>
      <c r="AM21" s="148">
        <v>-192475</v>
      </c>
      <c r="AN21" s="148">
        <v>-124670</v>
      </c>
      <c r="AO21" s="148">
        <v>-67805</v>
      </c>
      <c r="AP21" s="148">
        <v>-262431</v>
      </c>
      <c r="AQ21" s="148">
        <v>-70350</v>
      </c>
      <c r="AR21" s="148">
        <v>-192081</v>
      </c>
      <c r="AS21" s="148">
        <v>-66936</v>
      </c>
      <c r="AT21" s="148">
        <v>-125145</v>
      </c>
      <c r="AU21" s="148">
        <v>-75746</v>
      </c>
      <c r="AV21" s="148">
        <v>-49399</v>
      </c>
      <c r="AW21" s="148">
        <v>-230124</v>
      </c>
      <c r="AX21" s="148">
        <v>-44914</v>
      </c>
      <c r="AY21" s="148">
        <v>-185210</v>
      </c>
      <c r="AZ21" s="148">
        <v>-54550</v>
      </c>
      <c r="BA21" s="148">
        <v>-130660</v>
      </c>
      <c r="BB21" s="148">
        <v>-51480</v>
      </c>
      <c r="BC21" s="148">
        <v>-79180</v>
      </c>
      <c r="BD21" s="148">
        <v>-239414</v>
      </c>
      <c r="BE21" s="148">
        <v>-53900</v>
      </c>
      <c r="BF21" s="148">
        <v>-185514</v>
      </c>
      <c r="BG21" s="148">
        <v>-49105</v>
      </c>
      <c r="BH21" s="148">
        <v>-136409</v>
      </c>
      <c r="BI21" s="148">
        <v>-70317</v>
      </c>
      <c r="BJ21" s="148">
        <v>-66092</v>
      </c>
      <c r="BK21" s="148">
        <v>-394624</v>
      </c>
      <c r="BL21" s="148">
        <v>-96796</v>
      </c>
      <c r="BM21" s="148">
        <v>-297828</v>
      </c>
      <c r="BN21" s="148">
        <v>-159716</v>
      </c>
      <c r="BO21" s="148">
        <v>-138112</v>
      </c>
      <c r="BP21" s="148">
        <v>-64987</v>
      </c>
      <c r="BQ21" s="148">
        <v>-73125</v>
      </c>
      <c r="BR21" s="148">
        <v>-382253</v>
      </c>
      <c r="BS21" s="148"/>
      <c r="BT21" s="148"/>
      <c r="BU21" s="148"/>
      <c r="BV21" s="148"/>
      <c r="BW21" s="148"/>
    </row>
    <row r="22" spans="1:75" x14ac:dyDescent="0.25">
      <c r="A22" s="142" t="s">
        <v>342</v>
      </c>
      <c r="B22" s="142" t="s">
        <v>383</v>
      </c>
      <c r="C22" s="30" t="s">
        <v>426</v>
      </c>
      <c r="D22" s="148">
        <v>-12309</v>
      </c>
      <c r="E22" s="148">
        <v>7464</v>
      </c>
      <c r="F22" s="148">
        <v>-19773</v>
      </c>
      <c r="G22" s="148">
        <v>-791366</v>
      </c>
      <c r="H22" s="148">
        <f t="shared" si="0"/>
        <v>-747155</v>
      </c>
      <c r="I22" s="148">
        <v>-44211</v>
      </c>
      <c r="J22" s="148">
        <v>-12557</v>
      </c>
      <c r="K22" s="148">
        <f>L22+M22-1</f>
        <v>-31654</v>
      </c>
      <c r="L22" s="226">
        <v>-25694</v>
      </c>
      <c r="M22" s="148">
        <v>-5959</v>
      </c>
      <c r="N22" s="148">
        <v>-218676</v>
      </c>
      <c r="O22" s="148">
        <v>-208253</v>
      </c>
      <c r="P22" s="148">
        <v>-10423</v>
      </c>
      <c r="Q22" s="148">
        <v>-5991</v>
      </c>
      <c r="R22" s="149">
        <v>-4432</v>
      </c>
      <c r="S22" s="148">
        <v>-1502</v>
      </c>
      <c r="T22" s="148">
        <v>-2930</v>
      </c>
      <c r="U22" s="148">
        <v>-31668</v>
      </c>
      <c r="V22" s="148">
        <v>-12515</v>
      </c>
      <c r="W22" s="148">
        <v>-19153</v>
      </c>
      <c r="X22" s="148">
        <v>5621</v>
      </c>
      <c r="Y22" s="148">
        <v>-24774</v>
      </c>
      <c r="Z22" s="148">
        <v>-20239</v>
      </c>
      <c r="AA22" s="148">
        <v>-4535</v>
      </c>
      <c r="AB22" s="148">
        <v>-18766</v>
      </c>
      <c r="AC22" s="148">
        <v>-10996</v>
      </c>
      <c r="AD22" s="148">
        <v>-7770</v>
      </c>
      <c r="AE22" s="148">
        <v>-2326</v>
      </c>
      <c r="AF22" s="149">
        <v>-5444</v>
      </c>
      <c r="AG22" s="148">
        <v>4737</v>
      </c>
      <c r="AH22" s="148">
        <v>-10181</v>
      </c>
      <c r="AI22" s="148">
        <v>-33054</v>
      </c>
      <c r="AJ22" s="148">
        <v>-26776</v>
      </c>
      <c r="AK22" s="148">
        <v>-6278</v>
      </c>
      <c r="AL22" s="148">
        <v>551</v>
      </c>
      <c r="AM22" s="148">
        <v>-6829</v>
      </c>
      <c r="AN22" s="148">
        <v>-6829</v>
      </c>
      <c r="AO22" s="148">
        <v>0</v>
      </c>
      <c r="AP22" s="148">
        <v>-3921</v>
      </c>
      <c r="AQ22" s="148">
        <v>-3921</v>
      </c>
      <c r="AR22" s="148">
        <v>0</v>
      </c>
      <c r="AS22" s="148">
        <v>19162</v>
      </c>
      <c r="AT22" s="148">
        <v>-19162</v>
      </c>
      <c r="AU22" s="148">
        <v>-15560</v>
      </c>
      <c r="AV22" s="148">
        <v>-3602</v>
      </c>
      <c r="AW22" s="148">
        <v>-5124</v>
      </c>
      <c r="AX22" s="148">
        <v>1963</v>
      </c>
      <c r="AY22" s="148">
        <v>-7087</v>
      </c>
      <c r="AZ22" s="148">
        <v>231</v>
      </c>
      <c r="BA22" s="148">
        <v>-7318</v>
      </c>
      <c r="BB22" s="148">
        <v>-2904</v>
      </c>
      <c r="BC22" s="148">
        <v>-4414</v>
      </c>
      <c r="BD22" s="148">
        <v>0</v>
      </c>
      <c r="BE22" s="148">
        <v>4143</v>
      </c>
      <c r="BF22" s="148">
        <v>-4143</v>
      </c>
      <c r="BG22" s="148">
        <v>2419</v>
      </c>
      <c r="BH22" s="148">
        <v>-6562</v>
      </c>
      <c r="BI22" s="148">
        <v>-3280</v>
      </c>
      <c r="BJ22" s="148">
        <v>-3282</v>
      </c>
      <c r="BK22" s="148">
        <v>-7744</v>
      </c>
      <c r="BL22" s="148">
        <v>-6809</v>
      </c>
      <c r="BM22" s="148">
        <v>-935</v>
      </c>
      <c r="BN22" s="148">
        <v>1909</v>
      </c>
      <c r="BO22" s="148">
        <v>-2844</v>
      </c>
      <c r="BP22" s="148">
        <v>-331</v>
      </c>
      <c r="BQ22" s="148">
        <v>-2513</v>
      </c>
      <c r="BR22" s="148">
        <v>-20074</v>
      </c>
      <c r="BS22" s="148"/>
      <c r="BT22" s="148"/>
      <c r="BU22" s="148"/>
      <c r="BV22" s="148"/>
      <c r="BW22" s="148"/>
    </row>
    <row r="23" spans="1:75" x14ac:dyDescent="0.25">
      <c r="A23" s="142" t="s">
        <v>343</v>
      </c>
      <c r="B23" s="142" t="s">
        <v>344</v>
      </c>
      <c r="C23" s="30" t="s">
        <v>408</v>
      </c>
      <c r="D23" s="148">
        <v>239213</v>
      </c>
      <c r="E23" s="148">
        <v>166671</v>
      </c>
      <c r="F23" s="148">
        <v>72542</v>
      </c>
      <c r="G23" s="148">
        <v>363638</v>
      </c>
      <c r="H23" s="148">
        <f t="shared" si="0"/>
        <v>53770</v>
      </c>
      <c r="I23" s="148">
        <v>309868</v>
      </c>
      <c r="J23" s="148">
        <v>77346</v>
      </c>
      <c r="K23" s="148">
        <f>L23+M23-1</f>
        <v>232522</v>
      </c>
      <c r="L23" s="226">
        <v>155485</v>
      </c>
      <c r="M23" s="148">
        <v>77038</v>
      </c>
      <c r="N23" s="148">
        <v>585463</v>
      </c>
      <c r="O23" s="148">
        <v>122396</v>
      </c>
      <c r="P23" s="148">
        <v>463067</v>
      </c>
      <c r="Q23" s="148">
        <v>207378</v>
      </c>
      <c r="R23" s="149">
        <v>255689</v>
      </c>
      <c r="S23" s="148">
        <v>149955</v>
      </c>
      <c r="T23" s="148">
        <v>105734</v>
      </c>
      <c r="U23" s="148">
        <v>264700</v>
      </c>
      <c r="V23" s="148">
        <v>28636</v>
      </c>
      <c r="W23" s="148">
        <v>236064</v>
      </c>
      <c r="X23" s="148">
        <v>78976</v>
      </c>
      <c r="Y23" s="148">
        <v>157088</v>
      </c>
      <c r="Z23" s="148">
        <v>123217</v>
      </c>
      <c r="AA23" s="148">
        <v>33871</v>
      </c>
      <c r="AB23" s="148">
        <v>628020</v>
      </c>
      <c r="AC23" s="148">
        <v>-78878</v>
      </c>
      <c r="AD23" s="148">
        <v>706898</v>
      </c>
      <c r="AE23" s="148">
        <v>107720</v>
      </c>
      <c r="AF23" s="149">
        <v>599178</v>
      </c>
      <c r="AG23" s="148">
        <v>301529</v>
      </c>
      <c r="AH23" s="148">
        <v>297649</v>
      </c>
      <c r="AI23" s="148">
        <v>956868</v>
      </c>
      <c r="AJ23" s="148">
        <v>131173</v>
      </c>
      <c r="AK23" s="148">
        <v>825695</v>
      </c>
      <c r="AL23" s="148">
        <v>275908</v>
      </c>
      <c r="AM23" s="148">
        <v>549787</v>
      </c>
      <c r="AN23" s="148">
        <v>385748</v>
      </c>
      <c r="AO23" s="148">
        <v>164039</v>
      </c>
      <c r="AP23" s="148">
        <v>-417707</v>
      </c>
      <c r="AQ23" s="148">
        <v>-66707</v>
      </c>
      <c r="AR23" s="148">
        <v>-351000</v>
      </c>
      <c r="AS23" s="148">
        <v>29239</v>
      </c>
      <c r="AT23" s="148">
        <v>-380239</v>
      </c>
      <c r="AU23" s="148">
        <v>-416155</v>
      </c>
      <c r="AV23" s="148">
        <v>35916</v>
      </c>
      <c r="AW23" s="148">
        <v>506351</v>
      </c>
      <c r="AX23" s="148">
        <v>85806</v>
      </c>
      <c r="AY23" s="148">
        <v>420545</v>
      </c>
      <c r="AZ23" s="148">
        <v>202632</v>
      </c>
      <c r="BA23" s="148">
        <v>217913</v>
      </c>
      <c r="BB23" s="148">
        <v>151948</v>
      </c>
      <c r="BC23" s="148">
        <v>65965</v>
      </c>
      <c r="BD23" s="148">
        <v>480674</v>
      </c>
      <c r="BE23" s="148">
        <v>102435</v>
      </c>
      <c r="BF23" s="148">
        <v>378239</v>
      </c>
      <c r="BG23" s="148">
        <v>170573</v>
      </c>
      <c r="BH23" s="148">
        <v>207666</v>
      </c>
      <c r="BI23" s="148">
        <v>125145</v>
      </c>
      <c r="BJ23" s="148">
        <v>82521</v>
      </c>
      <c r="BK23" s="148">
        <v>149348</v>
      </c>
      <c r="BL23" s="148">
        <v>34901</v>
      </c>
      <c r="BM23" s="148">
        <v>114447</v>
      </c>
      <c r="BN23" s="148">
        <v>-4937</v>
      </c>
      <c r="BO23" s="148">
        <v>119384</v>
      </c>
      <c r="BP23" s="148">
        <v>71817</v>
      </c>
      <c r="BQ23" s="148">
        <v>47567</v>
      </c>
      <c r="BR23" s="148">
        <v>134832</v>
      </c>
      <c r="BS23" s="148"/>
      <c r="BT23" s="148"/>
      <c r="BU23" s="148"/>
      <c r="BV23" s="148"/>
      <c r="BW23" s="148"/>
    </row>
    <row r="24" spans="1:75" x14ac:dyDescent="0.25">
      <c r="A24" s="142" t="s">
        <v>345</v>
      </c>
      <c r="B24" s="142" t="s">
        <v>346</v>
      </c>
      <c r="C24" s="30" t="s">
        <v>409</v>
      </c>
      <c r="D24" s="148">
        <v>-78836</v>
      </c>
      <c r="E24" s="148">
        <v>-43399</v>
      </c>
      <c r="F24" s="148">
        <v>-35437</v>
      </c>
      <c r="G24" s="148">
        <v>-146504</v>
      </c>
      <c r="H24" s="148">
        <f t="shared" si="0"/>
        <v>-55996</v>
      </c>
      <c r="I24" s="148">
        <v>-90508</v>
      </c>
      <c r="J24" s="148">
        <v>-3850</v>
      </c>
      <c r="K24" s="148">
        <f t="shared" si="1"/>
        <v>-86658</v>
      </c>
      <c r="L24" s="226">
        <v>-45152</v>
      </c>
      <c r="M24" s="148">
        <v>-41506</v>
      </c>
      <c r="N24" s="148">
        <v>-205379</v>
      </c>
      <c r="O24" s="148">
        <v>-25212</v>
      </c>
      <c r="P24" s="148">
        <v>-180167</v>
      </c>
      <c r="Q24" s="148">
        <v>-77798</v>
      </c>
      <c r="R24" s="149">
        <v>-102369</v>
      </c>
      <c r="S24" s="148">
        <v>-78459</v>
      </c>
      <c r="T24" s="148">
        <v>-23910</v>
      </c>
      <c r="U24" s="148">
        <v>-158809</v>
      </c>
      <c r="V24" s="148">
        <v>-11686</v>
      </c>
      <c r="W24" s="148">
        <v>-147123</v>
      </c>
      <c r="X24" s="148">
        <v>-72542</v>
      </c>
      <c r="Y24" s="148">
        <v>-74581</v>
      </c>
      <c r="Z24" s="148">
        <v>-41112</v>
      </c>
      <c r="AA24" s="148">
        <v>-33469</v>
      </c>
      <c r="AB24" s="148">
        <v>-223848</v>
      </c>
      <c r="AC24" s="148">
        <v>-14442</v>
      </c>
      <c r="AD24" s="148">
        <v>-209406</v>
      </c>
      <c r="AE24" s="148">
        <v>-18131</v>
      </c>
      <c r="AF24" s="149">
        <v>-191275</v>
      </c>
      <c r="AG24" s="148">
        <v>-82338</v>
      </c>
      <c r="AH24" s="148">
        <v>-108937</v>
      </c>
      <c r="AI24" s="148">
        <v>-329930</v>
      </c>
      <c r="AJ24" s="148">
        <v>-21302</v>
      </c>
      <c r="AK24" s="148">
        <v>-308628</v>
      </c>
      <c r="AL24" s="148">
        <v>-71865</v>
      </c>
      <c r="AM24" s="148">
        <v>-236763</v>
      </c>
      <c r="AN24" s="148">
        <v>-150726</v>
      </c>
      <c r="AO24" s="148">
        <v>-86037</v>
      </c>
      <c r="AP24" s="148">
        <v>-2207</v>
      </c>
      <c r="AQ24" s="148">
        <v>-26154</v>
      </c>
      <c r="AR24" s="148">
        <v>23947</v>
      </c>
      <c r="AS24" s="148">
        <v>-34932</v>
      </c>
      <c r="AT24" s="148">
        <v>58879</v>
      </c>
      <c r="AU24" s="148">
        <v>64469</v>
      </c>
      <c r="AV24" s="148">
        <v>-5590</v>
      </c>
      <c r="AW24" s="148">
        <v>-84936</v>
      </c>
      <c r="AX24" s="148">
        <v>-22315</v>
      </c>
      <c r="AY24" s="148">
        <v>-62621</v>
      </c>
      <c r="AZ24" s="148">
        <v>-55824</v>
      </c>
      <c r="BA24" s="148">
        <v>-6797</v>
      </c>
      <c r="BB24" s="148">
        <v>-21886</v>
      </c>
      <c r="BC24" s="148">
        <v>15089</v>
      </c>
      <c r="BD24" s="148">
        <v>-174532</v>
      </c>
      <c r="BE24" s="148">
        <v>18716</v>
      </c>
      <c r="BF24" s="148">
        <v>-193248</v>
      </c>
      <c r="BG24" s="148">
        <v>-58279</v>
      </c>
      <c r="BH24" s="148">
        <v>-134969</v>
      </c>
      <c r="BI24" s="148">
        <v>-60029</v>
      </c>
      <c r="BJ24" s="148">
        <v>-74940</v>
      </c>
      <c r="BK24" s="148">
        <v>-69139</v>
      </c>
      <c r="BL24" s="148">
        <v>2478</v>
      </c>
      <c r="BM24" s="148">
        <v>-71617</v>
      </c>
      <c r="BN24" s="148">
        <v>-4448</v>
      </c>
      <c r="BO24" s="148">
        <v>-67169</v>
      </c>
      <c r="BP24" s="148">
        <v>-32522</v>
      </c>
      <c r="BQ24" s="148">
        <v>-34647</v>
      </c>
      <c r="BR24" s="148">
        <v>-45702</v>
      </c>
      <c r="BS24" s="148"/>
      <c r="BT24" s="148"/>
      <c r="BU24" s="148"/>
      <c r="BV24" s="148"/>
      <c r="BW24" s="148"/>
    </row>
    <row r="25" spans="1:75" x14ac:dyDescent="0.25">
      <c r="A25" s="142" t="s">
        <v>347</v>
      </c>
      <c r="B25" s="142" t="s">
        <v>348</v>
      </c>
      <c r="C25" s="30" t="s">
        <v>410</v>
      </c>
      <c r="D25" s="148">
        <v>-129585</v>
      </c>
      <c r="E25" s="148">
        <v>-68474</v>
      </c>
      <c r="F25" s="148">
        <v>-61111</v>
      </c>
      <c r="G25" s="148">
        <v>-170172</v>
      </c>
      <c r="H25" s="148">
        <f t="shared" si="0"/>
        <v>-65315</v>
      </c>
      <c r="I25" s="148">
        <v>-104857</v>
      </c>
      <c r="J25" s="148">
        <v>-28522</v>
      </c>
      <c r="K25" s="148">
        <f t="shared" si="1"/>
        <v>-76335</v>
      </c>
      <c r="L25" s="226">
        <v>-30808</v>
      </c>
      <c r="M25" s="148">
        <v>-45527</v>
      </c>
      <c r="N25" s="148">
        <v>-202379</v>
      </c>
      <c r="O25" s="148">
        <v>-35154</v>
      </c>
      <c r="P25" s="148">
        <v>-167225</v>
      </c>
      <c r="Q25" s="148">
        <v>-77405</v>
      </c>
      <c r="R25" s="149">
        <v>-89820</v>
      </c>
      <c r="S25" s="148">
        <v>-36112</v>
      </c>
      <c r="T25" s="148">
        <v>-53708</v>
      </c>
      <c r="U25" s="148">
        <v>-138123</v>
      </c>
      <c r="V25" s="148">
        <v>-6161</v>
      </c>
      <c r="W25" s="148">
        <v>-131962</v>
      </c>
      <c r="X25" s="148">
        <v>-70247</v>
      </c>
      <c r="Y25" s="148">
        <v>-61715</v>
      </c>
      <c r="Z25" s="148">
        <v>-14017</v>
      </c>
      <c r="AA25" s="148">
        <v>-47698</v>
      </c>
      <c r="AB25" s="148">
        <v>-284028</v>
      </c>
      <c r="AC25" s="148">
        <v>-95677</v>
      </c>
      <c r="AD25" s="148">
        <v>-188351</v>
      </c>
      <c r="AE25" s="148">
        <v>-50457</v>
      </c>
      <c r="AF25" s="149">
        <v>-137894</v>
      </c>
      <c r="AG25" s="148">
        <v>-46908</v>
      </c>
      <c r="AH25" s="148">
        <v>-90986</v>
      </c>
      <c r="AI25" s="148">
        <v>-355355</v>
      </c>
      <c r="AJ25" s="148">
        <v>-13784</v>
      </c>
      <c r="AK25" s="148">
        <v>-341571</v>
      </c>
      <c r="AL25" s="148">
        <v>-96006</v>
      </c>
      <c r="AM25" s="148">
        <v>-245565</v>
      </c>
      <c r="AN25" s="148">
        <v>-167367</v>
      </c>
      <c r="AO25" s="148">
        <v>-78198</v>
      </c>
      <c r="AP25" s="148">
        <v>-88573</v>
      </c>
      <c r="AQ25" s="148">
        <v>-27830</v>
      </c>
      <c r="AR25" s="148">
        <v>-60743</v>
      </c>
      <c r="AS25" s="148">
        <v>-29013</v>
      </c>
      <c r="AT25" s="148">
        <v>-31730</v>
      </c>
      <c r="AU25" s="148">
        <v>4858</v>
      </c>
      <c r="AV25" s="148">
        <v>-36588</v>
      </c>
      <c r="AW25" s="148">
        <v>-178240</v>
      </c>
      <c r="AX25" s="148">
        <v>-20564</v>
      </c>
      <c r="AY25" s="148">
        <v>-157676</v>
      </c>
      <c r="AZ25" s="148">
        <v>-46957</v>
      </c>
      <c r="BA25" s="148">
        <v>-110719</v>
      </c>
      <c r="BB25" s="148">
        <v>-50226</v>
      </c>
      <c r="BC25" s="148">
        <v>-60493</v>
      </c>
      <c r="BD25" s="148">
        <v>-148043</v>
      </c>
      <c r="BE25" s="148">
        <v>-591</v>
      </c>
      <c r="BF25" s="148">
        <v>-147452</v>
      </c>
      <c r="BG25" s="148">
        <v>-52200</v>
      </c>
      <c r="BH25" s="148">
        <v>-95252</v>
      </c>
      <c r="BI25" s="148">
        <v>-37804</v>
      </c>
      <c r="BJ25" s="148">
        <v>-57448</v>
      </c>
      <c r="BK25" s="148">
        <v>-136828</v>
      </c>
      <c r="BL25" s="148">
        <v>-29010</v>
      </c>
      <c r="BM25" s="148">
        <v>-107818</v>
      </c>
      <c r="BN25" s="148">
        <v>-33313</v>
      </c>
      <c r="BO25" s="148">
        <v>-74505</v>
      </c>
      <c r="BP25" s="148">
        <v>-29959</v>
      </c>
      <c r="BQ25" s="148">
        <v>-44546</v>
      </c>
      <c r="BR25" s="148">
        <v>-112502</v>
      </c>
      <c r="BS25" s="148"/>
      <c r="BT25" s="148"/>
      <c r="BU25" s="148"/>
      <c r="BV25" s="148"/>
      <c r="BW25" s="148"/>
    </row>
    <row r="26" spans="1:75" x14ac:dyDescent="0.25">
      <c r="A26" s="142" t="s">
        <v>349</v>
      </c>
      <c r="B26" s="142" t="s">
        <v>350</v>
      </c>
      <c r="C26" s="30" t="s">
        <v>411</v>
      </c>
      <c r="D26" s="148">
        <v>50749</v>
      </c>
      <c r="E26" s="148">
        <v>25075</v>
      </c>
      <c r="F26" s="148">
        <v>25674</v>
      </c>
      <c r="G26" s="148">
        <v>23668</v>
      </c>
      <c r="H26" s="148">
        <f t="shared" si="0"/>
        <v>9319</v>
      </c>
      <c r="I26" s="148">
        <v>14349</v>
      </c>
      <c r="J26" s="148">
        <v>24672</v>
      </c>
      <c r="K26" s="148">
        <f t="shared" si="1"/>
        <v>-10323</v>
      </c>
      <c r="L26" s="226">
        <v>-14344</v>
      </c>
      <c r="M26" s="148">
        <v>4021</v>
      </c>
      <c r="N26" s="148">
        <v>-3000</v>
      </c>
      <c r="O26" s="148">
        <v>9942</v>
      </c>
      <c r="P26" s="148">
        <v>-12942</v>
      </c>
      <c r="Q26" s="148">
        <v>-393</v>
      </c>
      <c r="R26" s="149">
        <v>-12549</v>
      </c>
      <c r="S26" s="148">
        <v>-42347</v>
      </c>
      <c r="T26" s="148">
        <v>29798</v>
      </c>
      <c r="U26" s="148">
        <v>-20686</v>
      </c>
      <c r="V26" s="148">
        <v>-5525</v>
      </c>
      <c r="W26" s="148">
        <v>-15161</v>
      </c>
      <c r="X26" s="148">
        <v>-2295</v>
      </c>
      <c r="Y26" s="148">
        <v>-12866</v>
      </c>
      <c r="Z26" s="148">
        <v>-27095</v>
      </c>
      <c r="AA26" s="148">
        <v>14229</v>
      </c>
      <c r="AB26" s="148">
        <v>60180</v>
      </c>
      <c r="AC26" s="148">
        <v>81235</v>
      </c>
      <c r="AD26" s="148">
        <v>-21055</v>
      </c>
      <c r="AE26" s="148">
        <v>32326</v>
      </c>
      <c r="AF26" s="149">
        <v>-53381</v>
      </c>
      <c r="AG26" s="148">
        <v>-35430</v>
      </c>
      <c r="AH26" s="148">
        <v>-17951</v>
      </c>
      <c r="AI26" s="148">
        <v>25425</v>
      </c>
      <c r="AJ26" s="148">
        <v>-7518</v>
      </c>
      <c r="AK26" s="148">
        <v>32943</v>
      </c>
      <c r="AL26" s="148">
        <v>24141</v>
      </c>
      <c r="AM26" s="148">
        <v>8802</v>
      </c>
      <c r="AN26" s="148">
        <v>16641</v>
      </c>
      <c r="AO26" s="148">
        <v>-7839</v>
      </c>
      <c r="AP26" s="148">
        <v>86366</v>
      </c>
      <c r="AQ26" s="148">
        <v>1676</v>
      </c>
      <c r="AR26" s="148">
        <v>84690</v>
      </c>
      <c r="AS26" s="148">
        <v>-5919</v>
      </c>
      <c r="AT26" s="148">
        <v>90609</v>
      </c>
      <c r="AU26" s="148">
        <v>59611</v>
      </c>
      <c r="AV26" s="148">
        <v>30998</v>
      </c>
      <c r="AW26" s="148">
        <v>93304</v>
      </c>
      <c r="AX26" s="148">
        <v>-1751</v>
      </c>
      <c r="AY26" s="148">
        <v>95055</v>
      </c>
      <c r="AZ26" s="148">
        <v>-8867</v>
      </c>
      <c r="BA26" s="148">
        <v>103922</v>
      </c>
      <c r="BB26" s="148">
        <v>28340</v>
      </c>
      <c r="BC26" s="148">
        <v>75582</v>
      </c>
      <c r="BD26" s="148">
        <v>-26489</v>
      </c>
      <c r="BE26" s="148">
        <v>19307</v>
      </c>
      <c r="BF26" s="148">
        <v>-45796</v>
      </c>
      <c r="BG26" s="148">
        <v>-6079</v>
      </c>
      <c r="BH26" s="148">
        <v>-39717</v>
      </c>
      <c r="BI26" s="148">
        <v>-22225</v>
      </c>
      <c r="BJ26" s="148">
        <v>-17492</v>
      </c>
      <c r="BK26" s="148">
        <v>67689</v>
      </c>
      <c r="BL26" s="148">
        <v>31488</v>
      </c>
      <c r="BM26" s="148">
        <v>36201</v>
      </c>
      <c r="BN26" s="148">
        <v>28865</v>
      </c>
      <c r="BO26" s="148">
        <v>7336</v>
      </c>
      <c r="BP26" s="148">
        <v>-2563</v>
      </c>
      <c r="BQ26" s="148">
        <v>9899</v>
      </c>
      <c r="BR26" s="148">
        <v>66800</v>
      </c>
      <c r="BS26" s="148"/>
      <c r="BT26" s="148"/>
      <c r="BU26" s="148"/>
      <c r="BV26" s="148"/>
      <c r="BW26" s="148"/>
    </row>
    <row r="27" spans="1:75" x14ac:dyDescent="0.25">
      <c r="A27" s="142" t="s">
        <v>351</v>
      </c>
      <c r="B27" s="142" t="s">
        <v>352</v>
      </c>
      <c r="C27" s="30" t="s">
        <v>412</v>
      </c>
      <c r="D27" s="148">
        <v>160377</v>
      </c>
      <c r="E27" s="148">
        <v>123272</v>
      </c>
      <c r="F27" s="148">
        <v>37105</v>
      </c>
      <c r="G27" s="148">
        <v>217134</v>
      </c>
      <c r="H27" s="148">
        <f t="shared" si="0"/>
        <v>-2226</v>
      </c>
      <c r="I27" s="148">
        <v>219360</v>
      </c>
      <c r="J27" s="148">
        <v>73496</v>
      </c>
      <c r="K27" s="148">
        <f>L27+M27-1</f>
        <v>145864</v>
      </c>
      <c r="L27" s="226">
        <v>110333</v>
      </c>
      <c r="M27" s="148">
        <v>35532</v>
      </c>
      <c r="N27" s="148">
        <v>380084</v>
      </c>
      <c r="O27" s="148">
        <v>97184</v>
      </c>
      <c r="P27" s="148">
        <v>282900</v>
      </c>
      <c r="Q27" s="148">
        <v>129580</v>
      </c>
      <c r="R27" s="149">
        <v>153320</v>
      </c>
      <c r="S27" s="148">
        <v>71496</v>
      </c>
      <c r="T27" s="148">
        <v>81824</v>
      </c>
      <c r="U27" s="148">
        <v>105891</v>
      </c>
      <c r="V27" s="148">
        <v>16950</v>
      </c>
      <c r="W27" s="148">
        <v>88941</v>
      </c>
      <c r="X27" s="148">
        <v>6434</v>
      </c>
      <c r="Y27" s="148">
        <v>82507</v>
      </c>
      <c r="Z27" s="148">
        <v>82105</v>
      </c>
      <c r="AA27" s="148">
        <v>402</v>
      </c>
      <c r="AB27" s="148">
        <v>404172</v>
      </c>
      <c r="AC27" s="148">
        <v>-93320</v>
      </c>
      <c r="AD27" s="148">
        <v>497492</v>
      </c>
      <c r="AE27" s="148">
        <v>89589</v>
      </c>
      <c r="AF27" s="149">
        <v>407903</v>
      </c>
      <c r="AG27" s="148">
        <v>219191</v>
      </c>
      <c r="AH27" s="148">
        <v>188712</v>
      </c>
      <c r="AI27" s="148">
        <v>626938</v>
      </c>
      <c r="AJ27" s="148">
        <v>109871</v>
      </c>
      <c r="AK27" s="148">
        <v>517067</v>
      </c>
      <c r="AL27" s="148">
        <v>204043</v>
      </c>
      <c r="AM27" s="148">
        <v>313024</v>
      </c>
      <c r="AN27" s="148">
        <v>235022</v>
      </c>
      <c r="AO27" s="148">
        <v>78002</v>
      </c>
      <c r="AP27" s="148">
        <v>-419914</v>
      </c>
      <c r="AQ27" s="148">
        <v>-92861</v>
      </c>
      <c r="AR27" s="148">
        <v>-327053</v>
      </c>
      <c r="AS27" s="148">
        <v>-5693</v>
      </c>
      <c r="AT27" s="148">
        <v>-321360</v>
      </c>
      <c r="AU27" s="148">
        <v>-351686</v>
      </c>
      <c r="AV27" s="148">
        <v>30326</v>
      </c>
      <c r="AW27" s="148">
        <v>421415</v>
      </c>
      <c r="AX27" s="148">
        <v>63491</v>
      </c>
      <c r="AY27" s="148">
        <v>357924</v>
      </c>
      <c r="AZ27" s="148">
        <v>146808</v>
      </c>
      <c r="BA27" s="148">
        <v>211116</v>
      </c>
      <c r="BB27" s="148">
        <v>130062</v>
      </c>
      <c r="BC27" s="148">
        <v>81054</v>
      </c>
      <c r="BD27" s="148">
        <v>306142</v>
      </c>
      <c r="BE27" s="148">
        <v>121151</v>
      </c>
      <c r="BF27" s="148">
        <v>184991</v>
      </c>
      <c r="BG27" s="148">
        <v>112294</v>
      </c>
      <c r="BH27" s="148">
        <v>72697</v>
      </c>
      <c r="BI27" s="148">
        <v>65116</v>
      </c>
      <c r="BJ27" s="148">
        <v>7581</v>
      </c>
      <c r="BK27" s="148">
        <v>80209</v>
      </c>
      <c r="BL27" s="148">
        <v>37379</v>
      </c>
      <c r="BM27" s="148">
        <v>42830</v>
      </c>
      <c r="BN27" s="148">
        <v>-9385</v>
      </c>
      <c r="BO27" s="148">
        <v>52215</v>
      </c>
      <c r="BP27" s="148">
        <v>39295</v>
      </c>
      <c r="BQ27" s="148">
        <v>12920</v>
      </c>
      <c r="BR27" s="148">
        <v>89130</v>
      </c>
      <c r="BS27" s="148"/>
      <c r="BT27" s="148"/>
      <c r="BU27" s="148"/>
      <c r="BV27" s="148"/>
      <c r="BW27" s="148"/>
    </row>
    <row r="28" spans="1:75" x14ac:dyDescent="0.25">
      <c r="A28" s="142" t="s">
        <v>353</v>
      </c>
      <c r="B28" s="142" t="s">
        <v>354</v>
      </c>
      <c r="C28" s="30" t="s">
        <v>413</v>
      </c>
      <c r="D28" s="148">
        <v>0</v>
      </c>
      <c r="E28" s="148">
        <v>0</v>
      </c>
      <c r="F28" s="148">
        <v>0</v>
      </c>
      <c r="G28" s="148">
        <v>0</v>
      </c>
      <c r="H28" s="148">
        <f t="shared" si="0"/>
        <v>0</v>
      </c>
      <c r="I28" s="148">
        <v>0</v>
      </c>
      <c r="J28" s="148">
        <v>0</v>
      </c>
      <c r="K28" s="148">
        <f t="shared" si="1"/>
        <v>0</v>
      </c>
      <c r="L28" s="149">
        <v>0</v>
      </c>
      <c r="M28" s="148">
        <v>0</v>
      </c>
      <c r="N28" s="148">
        <v>0</v>
      </c>
      <c r="O28" s="148">
        <v>0</v>
      </c>
      <c r="P28" s="148">
        <v>0</v>
      </c>
      <c r="Q28" s="148">
        <v>0</v>
      </c>
      <c r="R28" s="149">
        <v>0</v>
      </c>
      <c r="S28" s="148">
        <v>0</v>
      </c>
      <c r="T28" s="148">
        <v>0</v>
      </c>
      <c r="U28" s="148">
        <v>0</v>
      </c>
      <c r="V28" s="148">
        <v>0</v>
      </c>
      <c r="W28" s="148">
        <v>0</v>
      </c>
      <c r="X28" s="148">
        <v>0</v>
      </c>
      <c r="Y28" s="148">
        <v>0</v>
      </c>
      <c r="Z28" s="148">
        <v>0</v>
      </c>
      <c r="AA28" s="148">
        <v>0</v>
      </c>
      <c r="AB28" s="148">
        <v>0</v>
      </c>
      <c r="AC28" s="148">
        <v>0</v>
      </c>
      <c r="AD28" s="148">
        <v>0</v>
      </c>
      <c r="AE28" s="148">
        <v>0</v>
      </c>
      <c r="AF28" s="149">
        <v>0</v>
      </c>
      <c r="AG28" s="148">
        <v>0</v>
      </c>
      <c r="AH28" s="148">
        <v>0</v>
      </c>
      <c r="AI28" s="148">
        <v>0</v>
      </c>
      <c r="AJ28" s="148">
        <v>0</v>
      </c>
      <c r="AK28" s="148">
        <v>0</v>
      </c>
      <c r="AL28" s="148">
        <v>0</v>
      </c>
      <c r="AM28" s="148">
        <v>0</v>
      </c>
      <c r="AN28" s="148">
        <v>0</v>
      </c>
      <c r="AO28" s="148">
        <v>0</v>
      </c>
      <c r="AP28" s="148">
        <v>0</v>
      </c>
      <c r="AQ28" s="148">
        <v>0</v>
      </c>
      <c r="AR28" s="148">
        <v>0</v>
      </c>
      <c r="AS28" s="148">
        <v>0</v>
      </c>
      <c r="AT28" s="148">
        <v>0</v>
      </c>
      <c r="AU28" s="148">
        <v>0</v>
      </c>
      <c r="AV28" s="148">
        <v>0</v>
      </c>
      <c r="AW28" s="148">
        <v>0</v>
      </c>
      <c r="AX28" s="148">
        <v>0</v>
      </c>
      <c r="AY28" s="148">
        <v>0</v>
      </c>
      <c r="AZ28" s="148">
        <v>0</v>
      </c>
      <c r="BA28" s="148">
        <v>0</v>
      </c>
      <c r="BB28" s="148">
        <v>0</v>
      </c>
      <c r="BC28" s="148">
        <v>0</v>
      </c>
      <c r="BD28" s="148">
        <v>0</v>
      </c>
      <c r="BE28" s="148">
        <v>0</v>
      </c>
      <c r="BF28" s="148">
        <v>0</v>
      </c>
      <c r="BG28" s="148">
        <v>0</v>
      </c>
      <c r="BH28" s="148">
        <v>0</v>
      </c>
      <c r="BI28" s="148">
        <v>0</v>
      </c>
      <c r="BJ28" s="148">
        <v>0</v>
      </c>
      <c r="BK28" s="148">
        <v>0</v>
      </c>
      <c r="BL28" s="148">
        <v>0</v>
      </c>
      <c r="BM28" s="148">
        <v>0</v>
      </c>
      <c r="BN28" s="148">
        <v>0</v>
      </c>
      <c r="BO28" s="148">
        <v>0</v>
      </c>
      <c r="BP28" s="148">
        <v>0</v>
      </c>
      <c r="BQ28" s="148">
        <v>0</v>
      </c>
      <c r="BR28" s="148">
        <v>0</v>
      </c>
      <c r="BS28" s="148"/>
      <c r="BT28" s="148"/>
      <c r="BU28" s="148"/>
      <c r="BV28" s="148"/>
      <c r="BW28" s="148"/>
    </row>
    <row r="29" spans="1:75" x14ac:dyDescent="0.25">
      <c r="A29" s="142" t="s">
        <v>355</v>
      </c>
      <c r="B29" s="142" t="s">
        <v>356</v>
      </c>
      <c r="C29" s="30" t="s">
        <v>414</v>
      </c>
      <c r="D29" s="148">
        <v>0</v>
      </c>
      <c r="E29" s="148">
        <v>0</v>
      </c>
      <c r="F29" s="148">
        <v>0</v>
      </c>
      <c r="G29" s="148">
        <v>0</v>
      </c>
      <c r="H29" s="148">
        <f t="shared" si="0"/>
        <v>0</v>
      </c>
      <c r="I29" s="148">
        <v>0</v>
      </c>
      <c r="J29" s="148">
        <v>0</v>
      </c>
      <c r="K29" s="148">
        <f t="shared" si="1"/>
        <v>0</v>
      </c>
      <c r="L29" s="149">
        <v>0</v>
      </c>
      <c r="M29" s="148">
        <v>0</v>
      </c>
      <c r="N29" s="148">
        <v>0</v>
      </c>
      <c r="O29" s="148">
        <v>0</v>
      </c>
      <c r="P29" s="148">
        <v>0</v>
      </c>
      <c r="Q29" s="148">
        <v>0</v>
      </c>
      <c r="R29" s="149">
        <v>0</v>
      </c>
      <c r="S29" s="148">
        <v>0</v>
      </c>
      <c r="T29" s="148">
        <v>0</v>
      </c>
      <c r="U29" s="148">
        <v>0</v>
      </c>
      <c r="V29" s="148">
        <v>0</v>
      </c>
      <c r="W29" s="148">
        <v>0</v>
      </c>
      <c r="X29" s="148">
        <v>0</v>
      </c>
      <c r="Y29" s="148">
        <v>0</v>
      </c>
      <c r="Z29" s="148">
        <v>0</v>
      </c>
      <c r="AA29" s="148">
        <v>0</v>
      </c>
      <c r="AB29" s="148">
        <v>0</v>
      </c>
      <c r="AC29" s="148">
        <v>0</v>
      </c>
      <c r="AD29" s="148">
        <v>0</v>
      </c>
      <c r="AE29" s="148">
        <v>0</v>
      </c>
      <c r="AF29" s="149">
        <v>0</v>
      </c>
      <c r="AG29" s="148">
        <v>0</v>
      </c>
      <c r="AH29" s="148">
        <v>0</v>
      </c>
      <c r="AI29" s="148"/>
      <c r="AJ29" s="148">
        <v>0</v>
      </c>
      <c r="AK29" s="148">
        <v>0</v>
      </c>
      <c r="AL29" s="148">
        <v>0</v>
      </c>
      <c r="AM29" s="148">
        <v>0</v>
      </c>
      <c r="AN29" s="148">
        <v>0</v>
      </c>
      <c r="AO29" s="148">
        <v>0</v>
      </c>
      <c r="AP29" s="148">
        <v>0</v>
      </c>
      <c r="AQ29" s="148">
        <v>0</v>
      </c>
      <c r="AR29" s="148">
        <v>0</v>
      </c>
      <c r="AS29" s="148">
        <v>0</v>
      </c>
      <c r="AT29" s="148">
        <v>0</v>
      </c>
      <c r="AU29" s="148">
        <v>0</v>
      </c>
      <c r="AV29" s="148">
        <v>0</v>
      </c>
      <c r="AW29" s="148">
        <v>0</v>
      </c>
      <c r="AX29" s="148">
        <v>0</v>
      </c>
      <c r="AY29" s="148">
        <v>0</v>
      </c>
      <c r="AZ29" s="148">
        <v>0</v>
      </c>
      <c r="BA29" s="148">
        <v>0</v>
      </c>
      <c r="BB29" s="148">
        <v>0</v>
      </c>
      <c r="BC29" s="148">
        <v>0</v>
      </c>
      <c r="BD29" s="148">
        <v>0</v>
      </c>
      <c r="BE29" s="148">
        <v>0</v>
      </c>
      <c r="BF29" s="148">
        <v>0</v>
      </c>
      <c r="BG29" s="148">
        <v>0</v>
      </c>
      <c r="BH29" s="148">
        <v>0</v>
      </c>
      <c r="BI29" s="148">
        <v>0</v>
      </c>
      <c r="BJ29" s="148">
        <v>0</v>
      </c>
      <c r="BK29" s="148">
        <v>0</v>
      </c>
      <c r="BL29" s="148">
        <v>0</v>
      </c>
      <c r="BM29" s="148">
        <v>0</v>
      </c>
      <c r="BN29" s="148">
        <v>0</v>
      </c>
      <c r="BO29" s="148">
        <v>0</v>
      </c>
      <c r="BP29" s="148">
        <v>0</v>
      </c>
      <c r="BQ29" s="148">
        <v>0</v>
      </c>
      <c r="BR29" s="148">
        <v>0</v>
      </c>
      <c r="BS29" s="148"/>
      <c r="BT29" s="148"/>
      <c r="BU29" s="148"/>
      <c r="BV29" s="148"/>
      <c r="BW29" s="148"/>
    </row>
    <row r="30" spans="1:75" x14ac:dyDescent="0.25">
      <c r="A30" s="142" t="s">
        <v>357</v>
      </c>
      <c r="B30" s="142" t="s">
        <v>358</v>
      </c>
      <c r="C30" s="30" t="s">
        <v>415</v>
      </c>
      <c r="D30" s="148">
        <v>0</v>
      </c>
      <c r="E30" s="148">
        <v>0</v>
      </c>
      <c r="F30" s="148">
        <v>0</v>
      </c>
      <c r="G30" s="148">
        <v>0</v>
      </c>
      <c r="H30" s="148">
        <f t="shared" si="0"/>
        <v>0</v>
      </c>
      <c r="I30" s="148">
        <v>0</v>
      </c>
      <c r="J30" s="148">
        <v>0</v>
      </c>
      <c r="K30" s="148">
        <f t="shared" si="1"/>
        <v>0</v>
      </c>
      <c r="L30" s="149">
        <v>0</v>
      </c>
      <c r="M30" s="148">
        <v>0</v>
      </c>
      <c r="N30" s="148">
        <v>0</v>
      </c>
      <c r="O30" s="148">
        <v>0</v>
      </c>
      <c r="P30" s="148">
        <v>0</v>
      </c>
      <c r="Q30" s="148">
        <v>0</v>
      </c>
      <c r="R30" s="149">
        <v>0</v>
      </c>
      <c r="S30" s="148">
        <v>0</v>
      </c>
      <c r="T30" s="148">
        <v>0</v>
      </c>
      <c r="U30" s="148">
        <v>0</v>
      </c>
      <c r="V30" s="148">
        <v>0</v>
      </c>
      <c r="W30" s="148">
        <v>0</v>
      </c>
      <c r="X30" s="148">
        <v>0</v>
      </c>
      <c r="Y30" s="148">
        <v>0</v>
      </c>
      <c r="Z30" s="148">
        <v>0</v>
      </c>
      <c r="AA30" s="148">
        <v>0</v>
      </c>
      <c r="AB30" s="148">
        <v>0</v>
      </c>
      <c r="AC30" s="148">
        <v>0</v>
      </c>
      <c r="AD30" s="148">
        <v>0</v>
      </c>
      <c r="AE30" s="148">
        <v>0</v>
      </c>
      <c r="AF30" s="149">
        <v>0</v>
      </c>
      <c r="AG30" s="148">
        <v>0</v>
      </c>
      <c r="AH30" s="148">
        <v>0</v>
      </c>
      <c r="AI30" s="148"/>
      <c r="AJ30" s="148">
        <v>0</v>
      </c>
      <c r="AK30" s="148">
        <v>0</v>
      </c>
      <c r="AL30" s="148">
        <v>0</v>
      </c>
      <c r="AM30" s="148">
        <v>0</v>
      </c>
      <c r="AN30" s="148">
        <v>0</v>
      </c>
      <c r="AO30" s="148">
        <v>0</v>
      </c>
      <c r="AP30" s="148">
        <v>0</v>
      </c>
      <c r="AQ30" s="148">
        <v>0</v>
      </c>
      <c r="AR30" s="148">
        <v>0</v>
      </c>
      <c r="AS30" s="148">
        <v>0</v>
      </c>
      <c r="AT30" s="148">
        <v>0</v>
      </c>
      <c r="AU30" s="148">
        <v>0</v>
      </c>
      <c r="AV30" s="148">
        <v>0</v>
      </c>
      <c r="AW30" s="148">
        <v>0</v>
      </c>
      <c r="AX30" s="148">
        <v>0</v>
      </c>
      <c r="AY30" s="148">
        <v>0</v>
      </c>
      <c r="AZ30" s="148">
        <v>0</v>
      </c>
      <c r="BA30" s="148">
        <v>0</v>
      </c>
      <c r="BB30" s="148">
        <v>0</v>
      </c>
      <c r="BC30" s="148">
        <v>0</v>
      </c>
      <c r="BD30" s="148">
        <v>0</v>
      </c>
      <c r="BE30" s="148">
        <v>0</v>
      </c>
      <c r="BF30" s="148">
        <v>0</v>
      </c>
      <c r="BG30" s="148">
        <v>0</v>
      </c>
      <c r="BH30" s="148">
        <v>0</v>
      </c>
      <c r="BI30" s="148">
        <v>0</v>
      </c>
      <c r="BJ30" s="148">
        <v>0</v>
      </c>
      <c r="BK30" s="148">
        <v>0</v>
      </c>
      <c r="BL30" s="148">
        <v>0</v>
      </c>
      <c r="BM30" s="148">
        <v>0</v>
      </c>
      <c r="BN30" s="148">
        <v>0</v>
      </c>
      <c r="BO30" s="148">
        <v>0</v>
      </c>
      <c r="BP30" s="148">
        <v>0</v>
      </c>
      <c r="BQ30" s="148">
        <v>0</v>
      </c>
      <c r="BR30" s="148">
        <v>0</v>
      </c>
      <c r="BS30" s="148"/>
      <c r="BT30" s="148"/>
      <c r="BU30" s="148"/>
      <c r="BV30" s="148"/>
      <c r="BW30" s="148"/>
    </row>
    <row r="31" spans="1:75" x14ac:dyDescent="0.25">
      <c r="A31" s="142" t="s">
        <v>359</v>
      </c>
      <c r="B31" s="142" t="s">
        <v>384</v>
      </c>
      <c r="C31" s="30" t="s">
        <v>416</v>
      </c>
      <c r="D31" s="148">
        <v>160377</v>
      </c>
      <c r="E31" s="148">
        <v>123272</v>
      </c>
      <c r="F31" s="148">
        <v>37105</v>
      </c>
      <c r="G31" s="148">
        <v>217134</v>
      </c>
      <c r="H31" s="148">
        <f t="shared" si="0"/>
        <v>-2226</v>
      </c>
      <c r="I31" s="148">
        <v>219360</v>
      </c>
      <c r="J31" s="148">
        <v>73496</v>
      </c>
      <c r="K31" s="148">
        <f>L31+M31-1</f>
        <v>145864</v>
      </c>
      <c r="L31" s="226">
        <v>110333</v>
      </c>
      <c r="M31" s="148">
        <v>35532</v>
      </c>
      <c r="N31" s="148">
        <v>380084</v>
      </c>
      <c r="O31" s="148">
        <v>97184</v>
      </c>
      <c r="P31" s="148">
        <v>282900</v>
      </c>
      <c r="Q31" s="148">
        <v>129580</v>
      </c>
      <c r="R31" s="149">
        <v>153320</v>
      </c>
      <c r="S31" s="148">
        <v>71496</v>
      </c>
      <c r="T31" s="148">
        <v>81824</v>
      </c>
      <c r="U31" s="148">
        <v>105891</v>
      </c>
      <c r="V31" s="148">
        <v>16950</v>
      </c>
      <c r="W31" s="148">
        <v>88941</v>
      </c>
      <c r="X31" s="148">
        <v>6434</v>
      </c>
      <c r="Y31" s="148">
        <v>82507</v>
      </c>
      <c r="Z31" s="148">
        <v>82105</v>
      </c>
      <c r="AA31" s="148">
        <v>402</v>
      </c>
      <c r="AB31" s="148">
        <v>404172</v>
      </c>
      <c r="AC31" s="148">
        <v>-93320</v>
      </c>
      <c r="AD31" s="148">
        <v>497492</v>
      </c>
      <c r="AE31" s="148">
        <v>89589</v>
      </c>
      <c r="AF31" s="149">
        <v>407903</v>
      </c>
      <c r="AG31" s="148">
        <v>219191</v>
      </c>
      <c r="AH31" s="148">
        <v>188712</v>
      </c>
      <c r="AI31" s="148">
        <v>626938</v>
      </c>
      <c r="AJ31" s="148">
        <v>109871</v>
      </c>
      <c r="AK31" s="148">
        <v>517067</v>
      </c>
      <c r="AL31" s="148">
        <v>204043</v>
      </c>
      <c r="AM31" s="148">
        <v>313024</v>
      </c>
      <c r="AN31" s="148">
        <v>235022</v>
      </c>
      <c r="AO31" s="148">
        <v>78002</v>
      </c>
      <c r="AP31" s="148">
        <v>-419914</v>
      </c>
      <c r="AQ31" s="148">
        <v>-92861</v>
      </c>
      <c r="AR31" s="148">
        <v>-327053</v>
      </c>
      <c r="AS31" s="148">
        <v>-5693</v>
      </c>
      <c r="AT31" s="148">
        <v>-321360</v>
      </c>
      <c r="AU31" s="148">
        <v>-351686</v>
      </c>
      <c r="AV31" s="148">
        <v>30326</v>
      </c>
      <c r="AW31" s="148">
        <v>421415</v>
      </c>
      <c r="AX31" s="148">
        <v>63491</v>
      </c>
      <c r="AY31" s="148">
        <v>357924</v>
      </c>
      <c r="AZ31" s="148">
        <v>146808</v>
      </c>
      <c r="BA31" s="148">
        <v>211116</v>
      </c>
      <c r="BB31" s="148">
        <v>130062</v>
      </c>
      <c r="BC31" s="148">
        <v>81054</v>
      </c>
      <c r="BD31" s="148">
        <v>306142</v>
      </c>
      <c r="BE31" s="148">
        <v>121151</v>
      </c>
      <c r="BF31" s="148">
        <v>184991</v>
      </c>
      <c r="BG31" s="148">
        <v>112294</v>
      </c>
      <c r="BH31" s="148">
        <v>72697</v>
      </c>
      <c r="BI31" s="148">
        <v>65116</v>
      </c>
      <c r="BJ31" s="148">
        <v>7581</v>
      </c>
      <c r="BK31" s="148">
        <v>80209</v>
      </c>
      <c r="BL31" s="148">
        <v>37379</v>
      </c>
      <c r="BM31" s="148">
        <v>42830</v>
      </c>
      <c r="BN31" s="148">
        <v>-9385</v>
      </c>
      <c r="BO31" s="148">
        <v>52215</v>
      </c>
      <c r="BP31" s="148">
        <v>39295</v>
      </c>
      <c r="BQ31" s="148">
        <v>12920</v>
      </c>
      <c r="BR31" s="148">
        <v>89130</v>
      </c>
      <c r="BS31" s="148"/>
      <c r="BT31" s="148"/>
      <c r="BU31" s="148"/>
      <c r="BV31" s="148"/>
      <c r="BW31" s="148"/>
    </row>
    <row r="32" spans="1:75" x14ac:dyDescent="0.25">
      <c r="A32" s="142" t="s">
        <v>385</v>
      </c>
      <c r="B32" s="142" t="s">
        <v>386</v>
      </c>
      <c r="C32" s="30" t="s">
        <v>417</v>
      </c>
      <c r="D32" s="148">
        <v>90789</v>
      </c>
      <c r="E32" s="148">
        <v>86869</v>
      </c>
      <c r="F32" s="148">
        <v>3920</v>
      </c>
      <c r="G32" s="148">
        <v>98383</v>
      </c>
      <c r="H32" s="148">
        <f t="shared" si="0"/>
        <v>-34398</v>
      </c>
      <c r="I32" s="148">
        <v>132781</v>
      </c>
      <c r="J32" s="148">
        <v>35067</v>
      </c>
      <c r="K32" s="148">
        <f t="shared" si="1"/>
        <v>97714</v>
      </c>
      <c r="L32" s="226">
        <v>86822</v>
      </c>
      <c r="M32" s="148">
        <v>10892</v>
      </c>
      <c r="N32" s="148">
        <v>264719</v>
      </c>
      <c r="O32" s="148">
        <v>68366</v>
      </c>
      <c r="P32" s="148">
        <v>196353</v>
      </c>
      <c r="Q32" s="148">
        <v>109171</v>
      </c>
      <c r="R32" s="149">
        <v>87182</v>
      </c>
      <c r="S32" s="148">
        <v>36925</v>
      </c>
      <c r="T32" s="148">
        <v>50257</v>
      </c>
      <c r="U32" s="148">
        <v>30733</v>
      </c>
      <c r="V32" s="148">
        <v>-7502</v>
      </c>
      <c r="W32" s="148">
        <v>38235</v>
      </c>
      <c r="X32" s="148">
        <v>-4784</v>
      </c>
      <c r="Y32" s="148">
        <v>43019</v>
      </c>
      <c r="Z32" s="148">
        <v>59360</v>
      </c>
      <c r="AA32" s="148">
        <v>-16341</v>
      </c>
      <c r="AB32" s="148">
        <v>278933</v>
      </c>
      <c r="AC32" s="148">
        <v>-141146</v>
      </c>
      <c r="AD32" s="148">
        <v>420079</v>
      </c>
      <c r="AE32" s="148">
        <v>69388</v>
      </c>
      <c r="AF32" s="149">
        <v>350691</v>
      </c>
      <c r="AG32" s="148">
        <v>190485</v>
      </c>
      <c r="AH32" s="148">
        <v>160206</v>
      </c>
      <c r="AI32" s="148">
        <v>537221</v>
      </c>
      <c r="AJ32" s="148">
        <v>93916</v>
      </c>
      <c r="AK32" s="148">
        <v>443305</v>
      </c>
      <c r="AL32" s="148">
        <v>177016</v>
      </c>
      <c r="AM32" s="148">
        <v>266289</v>
      </c>
      <c r="AN32" s="148">
        <v>214787</v>
      </c>
      <c r="AO32" s="148">
        <v>51502</v>
      </c>
      <c r="AP32" s="148">
        <v>-491780</v>
      </c>
      <c r="AQ32" s="148">
        <v>-129700</v>
      </c>
      <c r="AR32" s="148">
        <v>-362080</v>
      </c>
      <c r="AS32" s="148">
        <v>-18877</v>
      </c>
      <c r="AT32" s="148">
        <v>-343203</v>
      </c>
      <c r="AU32" s="148">
        <v>-352353</v>
      </c>
      <c r="AV32" s="148">
        <v>9150</v>
      </c>
      <c r="AW32" s="148">
        <v>337435</v>
      </c>
      <c r="AX32" s="148">
        <v>39109</v>
      </c>
      <c r="AY32" s="148">
        <v>298326</v>
      </c>
      <c r="AZ32" s="148">
        <v>124838</v>
      </c>
      <c r="BA32" s="148">
        <v>173488</v>
      </c>
      <c r="BB32" s="148">
        <v>110390</v>
      </c>
      <c r="BC32" s="148">
        <v>63098</v>
      </c>
      <c r="BD32" s="148">
        <v>201325</v>
      </c>
      <c r="BE32" s="148">
        <v>76677</v>
      </c>
      <c r="BF32" s="148">
        <v>124648</v>
      </c>
      <c r="BG32" s="148">
        <v>93479</v>
      </c>
      <c r="BH32" s="148">
        <v>31169</v>
      </c>
      <c r="BI32" s="148">
        <v>44135</v>
      </c>
      <c r="BJ32" s="148">
        <v>-12966</v>
      </c>
      <c r="BK32" s="148">
        <v>6403</v>
      </c>
      <c r="BL32" s="148">
        <v>11805</v>
      </c>
      <c r="BM32" s="148">
        <v>-5402</v>
      </c>
      <c r="BN32" s="148">
        <v>-28721</v>
      </c>
      <c r="BO32" s="148">
        <v>23319</v>
      </c>
      <c r="BP32" s="148">
        <v>24570</v>
      </c>
      <c r="BQ32" s="148">
        <v>-1251</v>
      </c>
      <c r="BR32" s="148">
        <v>21531</v>
      </c>
      <c r="BS32" s="148"/>
      <c r="BT32" s="148"/>
      <c r="BU32" s="148"/>
      <c r="BV32" s="148"/>
      <c r="BW32" s="148"/>
    </row>
    <row r="33" spans="1:75" x14ac:dyDescent="0.25">
      <c r="A33" s="142" t="s">
        <v>387</v>
      </c>
      <c r="B33" s="142" t="s">
        <v>388</v>
      </c>
      <c r="C33" s="30" t="s">
        <v>418</v>
      </c>
      <c r="D33" s="148">
        <v>69588</v>
      </c>
      <c r="E33" s="148">
        <v>36403</v>
      </c>
      <c r="F33" s="148">
        <v>33185</v>
      </c>
      <c r="G33" s="148">
        <v>118751</v>
      </c>
      <c r="H33" s="148">
        <f t="shared" si="0"/>
        <v>32172</v>
      </c>
      <c r="I33" s="148">
        <v>86579</v>
      </c>
      <c r="J33" s="148">
        <v>38429</v>
      </c>
      <c r="K33" s="148">
        <f t="shared" si="1"/>
        <v>48150</v>
      </c>
      <c r="L33" s="226">
        <v>23510</v>
      </c>
      <c r="M33" s="148">
        <v>24640</v>
      </c>
      <c r="N33" s="148">
        <v>115365</v>
      </c>
      <c r="O33" s="148">
        <v>28818</v>
      </c>
      <c r="P33" s="148">
        <v>86547</v>
      </c>
      <c r="Q33" s="148">
        <v>20409</v>
      </c>
      <c r="R33" s="149">
        <v>66138</v>
      </c>
      <c r="S33" s="148">
        <v>34571</v>
      </c>
      <c r="T33" s="148">
        <v>31567</v>
      </c>
      <c r="U33" s="148">
        <v>75158</v>
      </c>
      <c r="V33" s="148">
        <v>24452</v>
      </c>
      <c r="W33" s="148">
        <v>50706</v>
      </c>
      <c r="X33" s="148">
        <v>11218</v>
      </c>
      <c r="Y33" s="148">
        <v>39488</v>
      </c>
      <c r="Z33" s="148">
        <v>22745</v>
      </c>
      <c r="AA33" s="148">
        <v>16743</v>
      </c>
      <c r="AB33" s="148">
        <v>125239</v>
      </c>
      <c r="AC33" s="148">
        <v>47826</v>
      </c>
      <c r="AD33" s="148">
        <v>77413</v>
      </c>
      <c r="AE33" s="148">
        <v>20201</v>
      </c>
      <c r="AF33" s="149">
        <v>57212</v>
      </c>
      <c r="AG33" s="148">
        <v>28706</v>
      </c>
      <c r="AH33" s="148">
        <v>28506</v>
      </c>
      <c r="AI33" s="148">
        <v>89717</v>
      </c>
      <c r="AJ33" s="148">
        <v>15955</v>
      </c>
      <c r="AK33" s="148">
        <v>73762</v>
      </c>
      <c r="AL33" s="148">
        <v>27027</v>
      </c>
      <c r="AM33" s="148">
        <v>46735</v>
      </c>
      <c r="AN33" s="148">
        <v>20235</v>
      </c>
      <c r="AO33" s="148">
        <v>26500</v>
      </c>
      <c r="AP33" s="148">
        <v>71866</v>
      </c>
      <c r="AQ33" s="148">
        <v>36839</v>
      </c>
      <c r="AR33" s="148">
        <v>35027</v>
      </c>
      <c r="AS33" s="148">
        <v>13184</v>
      </c>
      <c r="AT33" s="148">
        <v>21843</v>
      </c>
      <c r="AU33" s="148">
        <v>667</v>
      </c>
      <c r="AV33" s="148">
        <v>21176</v>
      </c>
      <c r="AW33" s="148">
        <v>83980</v>
      </c>
      <c r="AX33" s="148">
        <v>24382</v>
      </c>
      <c r="AY33" s="148">
        <v>59598</v>
      </c>
      <c r="AZ33" s="148">
        <v>21970</v>
      </c>
      <c r="BA33" s="148">
        <v>37628</v>
      </c>
      <c r="BB33" s="148">
        <v>19672</v>
      </c>
      <c r="BC33" s="148">
        <v>17956</v>
      </c>
      <c r="BD33" s="148">
        <v>104817</v>
      </c>
      <c r="BE33" s="148">
        <v>44474</v>
      </c>
      <c r="BF33" s="148">
        <v>60343</v>
      </c>
      <c r="BG33" s="148">
        <v>18815</v>
      </c>
      <c r="BH33" s="148">
        <v>41528</v>
      </c>
      <c r="BI33" s="148">
        <v>20981</v>
      </c>
      <c r="BJ33" s="148">
        <v>20547</v>
      </c>
      <c r="BK33" s="148">
        <v>73806</v>
      </c>
      <c r="BL33" s="148">
        <v>25574</v>
      </c>
      <c r="BM33" s="148">
        <v>48232</v>
      </c>
      <c r="BN33" s="148">
        <v>19336</v>
      </c>
      <c r="BO33" s="148">
        <v>28896</v>
      </c>
      <c r="BP33" s="148">
        <v>14725</v>
      </c>
      <c r="BQ33" s="148">
        <v>14171</v>
      </c>
      <c r="BR33" s="148">
        <v>67599</v>
      </c>
      <c r="BS33" s="148"/>
      <c r="BT33" s="148"/>
      <c r="BU33" s="148"/>
      <c r="BV33" s="148"/>
      <c r="BW33" s="148"/>
    </row>
    <row r="34" spans="1:75" x14ac:dyDescent="0.25">
      <c r="A34" s="142" t="s">
        <v>360</v>
      </c>
      <c r="B34" s="142" t="s">
        <v>361</v>
      </c>
      <c r="C34" s="30" t="s">
        <v>419</v>
      </c>
      <c r="D34" s="148">
        <v>0</v>
      </c>
      <c r="E34" s="148">
        <v>0</v>
      </c>
      <c r="F34" s="148">
        <v>0</v>
      </c>
      <c r="G34" s="148"/>
      <c r="H34" s="148"/>
      <c r="I34" s="148"/>
      <c r="J34" s="148"/>
      <c r="K34" s="148">
        <f t="shared" si="1"/>
        <v>0</v>
      </c>
      <c r="L34" s="149">
        <v>0</v>
      </c>
      <c r="M34" s="148">
        <v>0</v>
      </c>
      <c r="N34" s="148">
        <v>0</v>
      </c>
      <c r="O34" s="148">
        <v>0</v>
      </c>
      <c r="P34" s="148">
        <v>0</v>
      </c>
      <c r="Q34" s="148">
        <v>0</v>
      </c>
      <c r="R34" s="150">
        <v>0</v>
      </c>
      <c r="S34" s="148">
        <v>0</v>
      </c>
      <c r="T34" s="148">
        <v>0</v>
      </c>
      <c r="U34" s="148">
        <v>0</v>
      </c>
      <c r="V34" s="148">
        <v>0</v>
      </c>
      <c r="W34" s="148">
        <v>0</v>
      </c>
      <c r="X34" s="148">
        <v>0</v>
      </c>
      <c r="Y34" s="148">
        <v>0</v>
      </c>
      <c r="Z34" s="148">
        <v>0</v>
      </c>
      <c r="AA34" s="148">
        <v>0</v>
      </c>
      <c r="AB34" s="148">
        <v>0</v>
      </c>
      <c r="AC34" s="148">
        <v>0</v>
      </c>
      <c r="AD34" s="148">
        <v>0</v>
      </c>
      <c r="AE34" s="148">
        <v>0</v>
      </c>
      <c r="AF34" s="149">
        <v>0</v>
      </c>
      <c r="AG34" s="148">
        <v>0</v>
      </c>
      <c r="AH34" s="148"/>
      <c r="AI34" s="148"/>
      <c r="AJ34" s="148">
        <v>0</v>
      </c>
      <c r="AK34" s="148">
        <v>0</v>
      </c>
      <c r="AL34" s="148">
        <v>0</v>
      </c>
      <c r="AM34" s="148">
        <v>0</v>
      </c>
      <c r="AN34" s="148">
        <v>0</v>
      </c>
      <c r="AO34" s="148"/>
      <c r="AP34" s="148">
        <v>0</v>
      </c>
      <c r="AQ34" s="148">
        <v>0</v>
      </c>
      <c r="AR34" s="148">
        <v>0</v>
      </c>
      <c r="AS34" s="148">
        <v>0</v>
      </c>
      <c r="AT34" s="148">
        <v>0</v>
      </c>
      <c r="AU34" s="148">
        <v>0</v>
      </c>
      <c r="AV34" s="148">
        <v>0</v>
      </c>
      <c r="AW34" s="148">
        <v>0</v>
      </c>
      <c r="AX34" s="148">
        <v>0</v>
      </c>
      <c r="AY34" s="148">
        <v>0</v>
      </c>
      <c r="AZ34" s="148">
        <v>0</v>
      </c>
      <c r="BA34" s="148">
        <v>0</v>
      </c>
      <c r="BB34" s="148">
        <v>0</v>
      </c>
      <c r="BC34" s="148">
        <v>0</v>
      </c>
      <c r="BD34" s="148">
        <v>0</v>
      </c>
      <c r="BE34" s="148">
        <v>0</v>
      </c>
      <c r="BF34" s="148">
        <v>0</v>
      </c>
      <c r="BG34" s="148">
        <v>0</v>
      </c>
      <c r="BH34" s="148">
        <v>0</v>
      </c>
      <c r="BI34" s="148">
        <v>0</v>
      </c>
      <c r="BJ34" s="148">
        <v>0</v>
      </c>
      <c r="BK34" s="148">
        <v>0</v>
      </c>
      <c r="BL34" s="148">
        <v>0</v>
      </c>
      <c r="BM34" s="148">
        <v>0</v>
      </c>
      <c r="BN34" s="148">
        <v>0</v>
      </c>
      <c r="BO34" s="148">
        <v>0</v>
      </c>
      <c r="BP34" s="148">
        <v>0</v>
      </c>
      <c r="BQ34" s="148">
        <v>0</v>
      </c>
      <c r="BR34" s="148">
        <v>0</v>
      </c>
      <c r="BS34" s="148"/>
      <c r="BT34" s="148"/>
      <c r="BU34" s="148"/>
      <c r="BV34" s="148"/>
      <c r="BW34" s="148"/>
    </row>
    <row r="35" spans="1:75" x14ac:dyDescent="0.25">
      <c r="A35" s="142" t="s">
        <v>362</v>
      </c>
      <c r="B35" s="142" t="s">
        <v>363</v>
      </c>
      <c r="C35" s="30" t="s">
        <v>420</v>
      </c>
      <c r="D35" s="148">
        <v>0</v>
      </c>
      <c r="E35" s="148">
        <v>0</v>
      </c>
      <c r="F35" s="148">
        <v>0</v>
      </c>
      <c r="G35" s="148"/>
      <c r="H35" s="148"/>
      <c r="I35" s="148"/>
      <c r="J35" s="148"/>
      <c r="K35" s="148">
        <f t="shared" si="1"/>
        <v>0</v>
      </c>
      <c r="L35" s="149">
        <v>0</v>
      </c>
      <c r="M35" s="148">
        <v>0</v>
      </c>
      <c r="N35" s="148">
        <v>0</v>
      </c>
      <c r="O35" s="148">
        <v>0</v>
      </c>
      <c r="P35" s="148">
        <v>0</v>
      </c>
      <c r="Q35" s="148">
        <v>0</v>
      </c>
      <c r="R35" s="150">
        <v>0</v>
      </c>
      <c r="S35" s="148">
        <v>0</v>
      </c>
      <c r="T35" s="148">
        <v>0</v>
      </c>
      <c r="U35" s="148">
        <v>0</v>
      </c>
      <c r="V35" s="148">
        <v>0</v>
      </c>
      <c r="W35" s="148">
        <v>0</v>
      </c>
      <c r="X35" s="148">
        <v>0</v>
      </c>
      <c r="Y35" s="148">
        <v>0</v>
      </c>
      <c r="Z35" s="151">
        <v>0</v>
      </c>
      <c r="AA35" s="148">
        <v>0</v>
      </c>
      <c r="AB35" s="148">
        <v>0</v>
      </c>
      <c r="AC35" s="148">
        <v>0</v>
      </c>
      <c r="AD35" s="148">
        <v>0</v>
      </c>
      <c r="AE35" s="148">
        <v>0</v>
      </c>
      <c r="AF35" s="149">
        <v>0</v>
      </c>
      <c r="AG35" s="148">
        <v>0</v>
      </c>
      <c r="AH35" s="148"/>
      <c r="AI35" s="148"/>
      <c r="AJ35" s="148">
        <v>0</v>
      </c>
      <c r="AK35" s="148">
        <v>0</v>
      </c>
      <c r="AL35" s="148">
        <v>0</v>
      </c>
      <c r="AM35" s="148">
        <v>0</v>
      </c>
      <c r="AN35" s="148">
        <v>0</v>
      </c>
      <c r="AO35" s="148"/>
      <c r="AP35" s="148">
        <v>0</v>
      </c>
      <c r="AQ35" s="148">
        <v>0</v>
      </c>
      <c r="AR35" s="148">
        <v>0</v>
      </c>
      <c r="AS35" s="148">
        <v>0</v>
      </c>
      <c r="AT35" s="148">
        <v>0</v>
      </c>
      <c r="AU35" s="148">
        <v>0</v>
      </c>
      <c r="AV35" s="148">
        <v>0</v>
      </c>
      <c r="AW35" s="148">
        <v>0</v>
      </c>
      <c r="AX35" s="148">
        <v>0</v>
      </c>
      <c r="AY35" s="148">
        <v>0</v>
      </c>
      <c r="AZ35" s="148">
        <v>0</v>
      </c>
      <c r="BA35" s="148">
        <v>0</v>
      </c>
      <c r="BB35" s="148">
        <v>0</v>
      </c>
      <c r="BC35" s="148">
        <v>0</v>
      </c>
      <c r="BD35" s="148">
        <v>0</v>
      </c>
      <c r="BE35" s="148">
        <v>0</v>
      </c>
      <c r="BF35" s="148">
        <v>0</v>
      </c>
      <c r="BG35" s="148">
        <v>0</v>
      </c>
      <c r="BH35" s="148">
        <v>0</v>
      </c>
      <c r="BI35" s="148">
        <v>0</v>
      </c>
      <c r="BJ35" s="148">
        <v>0</v>
      </c>
      <c r="BK35" s="148">
        <v>0</v>
      </c>
      <c r="BL35" s="148">
        <v>0</v>
      </c>
      <c r="BM35" s="148">
        <v>0</v>
      </c>
      <c r="BN35" s="148">
        <v>0</v>
      </c>
      <c r="BO35" s="148">
        <v>0</v>
      </c>
      <c r="BP35" s="148">
        <v>0</v>
      </c>
      <c r="BQ35" s="148">
        <v>0</v>
      </c>
      <c r="BR35" s="148">
        <v>0</v>
      </c>
      <c r="BS35" s="148"/>
      <c r="BT35" s="148"/>
      <c r="BU35" s="148"/>
      <c r="BV35" s="148"/>
      <c r="BW35" s="148"/>
    </row>
    <row r="36" spans="1:75" x14ac:dyDescent="0.25">
      <c r="A36" s="142" t="s">
        <v>364</v>
      </c>
      <c r="B36" s="142" t="s">
        <v>365</v>
      </c>
      <c r="C36" s="30" t="s">
        <v>421</v>
      </c>
      <c r="D36" s="225">
        <v>0.60619000000000001</v>
      </c>
      <c r="E36" s="151">
        <v>0.58001000000000003</v>
      </c>
      <c r="F36" s="151">
        <v>2.6179999999999998E-2</v>
      </c>
      <c r="G36" s="151">
        <v>0.656893704509522</v>
      </c>
      <c r="H36" s="151">
        <f>G36-I36</f>
        <v>-0.22967629549047797</v>
      </c>
      <c r="I36" s="151">
        <v>0.88656999999999997</v>
      </c>
      <c r="J36" s="151">
        <v>0.23413</v>
      </c>
      <c r="K36" s="225">
        <f t="shared" si="1"/>
        <v>0.65244000000000002</v>
      </c>
      <c r="L36" s="227">
        <v>0.57969999999999999</v>
      </c>
      <c r="M36" s="151">
        <v>7.2739999999999999E-2</v>
      </c>
      <c r="N36" s="151">
        <v>1.7663500000000001</v>
      </c>
      <c r="O36" s="151">
        <v>0.45728000000000013</v>
      </c>
      <c r="P36" s="151">
        <v>1.30907</v>
      </c>
      <c r="Q36" s="151">
        <v>0.72833999999999999</v>
      </c>
      <c r="R36" s="152">
        <v>0.58072999999999997</v>
      </c>
      <c r="S36" s="151">
        <v>0.24626999999999999</v>
      </c>
      <c r="T36" s="151">
        <v>0.33445999999999998</v>
      </c>
      <c r="U36" s="153">
        <v>0.20415</v>
      </c>
      <c r="V36" s="151">
        <v>-4.931000000000002E-2</v>
      </c>
      <c r="W36" s="151">
        <v>0.25346000000000002</v>
      </c>
      <c r="X36" s="151">
        <v>-3.1129999999999991E-2</v>
      </c>
      <c r="Y36" s="151">
        <v>0.28459000000000001</v>
      </c>
      <c r="Z36" s="151">
        <v>0.39250000000000002</v>
      </c>
      <c r="AA36" s="151">
        <v>-0.10791000000000001</v>
      </c>
      <c r="AB36" s="151">
        <v>1.83996</v>
      </c>
      <c r="AC36" s="151">
        <v>-0.92691999999999997</v>
      </c>
      <c r="AD36" s="151">
        <v>2.76688</v>
      </c>
      <c r="AE36" s="151">
        <v>0.46046999999999993</v>
      </c>
      <c r="AF36" s="152">
        <v>2.3064100000000001</v>
      </c>
      <c r="AG36" s="151">
        <v>1.2543300000000002</v>
      </c>
      <c r="AH36" s="151">
        <v>1.0520799999999999</v>
      </c>
      <c r="AI36" s="151">
        <v>3.5257700000000001</v>
      </c>
      <c r="AJ36" s="151">
        <v>0.61636999999999986</v>
      </c>
      <c r="AK36" s="151">
        <v>2.9094000000000002</v>
      </c>
      <c r="AL36" s="151">
        <v>1.1617500000000003</v>
      </c>
      <c r="AM36" s="151">
        <v>1.7476499999999999</v>
      </c>
      <c r="AN36" s="151">
        <v>1.40964</v>
      </c>
      <c r="AO36" s="151">
        <v>0.33800999999999998</v>
      </c>
      <c r="AP36" s="151">
        <v>-3.2275399999999999</v>
      </c>
      <c r="AQ36" s="151">
        <v>-0.85112999999999994</v>
      </c>
      <c r="AR36" s="151">
        <v>-2.3764099999999999</v>
      </c>
      <c r="AS36" s="151">
        <v>-0.12388999999999983</v>
      </c>
      <c r="AT36" s="151">
        <v>-2.2525200000000001</v>
      </c>
      <c r="AU36" s="151">
        <v>-2.3127300000000002</v>
      </c>
      <c r="AV36" s="151">
        <v>6.021E-2</v>
      </c>
      <c r="AW36" s="151">
        <v>2.2313499999999999</v>
      </c>
      <c r="AX36" s="151">
        <v>0.24865999999999988</v>
      </c>
      <c r="AY36" s="151">
        <v>1.9826900000000001</v>
      </c>
      <c r="AZ36" s="151">
        <v>0.82383000000000006</v>
      </c>
      <c r="BA36" s="151">
        <v>1.15886</v>
      </c>
      <c r="BB36" s="151">
        <v>0.73633999999999999</v>
      </c>
      <c r="BC36" s="151">
        <v>0.42252000000000001</v>
      </c>
      <c r="BD36" s="151">
        <v>1.3549899999999999</v>
      </c>
      <c r="BE36" s="151">
        <v>0.50136999999999987</v>
      </c>
      <c r="BF36" s="151">
        <v>0.85362000000000005</v>
      </c>
      <c r="BG36" s="151">
        <v>0.63586000000000009</v>
      </c>
      <c r="BH36" s="151">
        <v>0.21776000000000001</v>
      </c>
      <c r="BI36" s="151">
        <v>0.31017</v>
      </c>
      <c r="BJ36" s="151">
        <v>-9.2410000000000006E-2</v>
      </c>
      <c r="BK36" s="151">
        <v>4.9730000000000003E-2</v>
      </c>
      <c r="BL36" s="151">
        <v>9.572E-2</v>
      </c>
      <c r="BM36" s="151">
        <v>-4.5990000000000003E-2</v>
      </c>
      <c r="BN36" s="151">
        <v>-0.26485000000000003</v>
      </c>
      <c r="BO36" s="151">
        <v>0.21886</v>
      </c>
      <c r="BP36" s="151">
        <v>0.23191999999999999</v>
      </c>
      <c r="BQ36" s="151">
        <v>-1.306E-2</v>
      </c>
      <c r="BR36" s="151">
        <v>0.22769</v>
      </c>
      <c r="BS36" s="148"/>
      <c r="BT36" s="148"/>
      <c r="BU36" s="148"/>
      <c r="BV36" s="148"/>
      <c r="BW36" s="148"/>
    </row>
    <row r="37" spans="1:75" x14ac:dyDescent="0.25">
      <c r="A37" s="142" t="s">
        <v>366</v>
      </c>
      <c r="B37" s="142" t="s">
        <v>367</v>
      </c>
      <c r="C37" s="30" t="s">
        <v>422</v>
      </c>
      <c r="D37" s="148">
        <v>0</v>
      </c>
      <c r="E37" s="151">
        <v>0</v>
      </c>
      <c r="F37" s="151">
        <v>0</v>
      </c>
      <c r="G37" s="151"/>
      <c r="H37" s="151"/>
      <c r="I37" s="151"/>
      <c r="J37" s="151"/>
      <c r="K37" s="148">
        <f t="shared" si="1"/>
        <v>0</v>
      </c>
      <c r="L37" s="149">
        <v>0</v>
      </c>
      <c r="M37" s="151">
        <v>0</v>
      </c>
      <c r="N37" s="151">
        <v>0</v>
      </c>
      <c r="O37" s="151">
        <v>0</v>
      </c>
      <c r="P37" s="151">
        <v>0</v>
      </c>
      <c r="Q37" s="151">
        <v>0</v>
      </c>
      <c r="R37" s="152">
        <v>0</v>
      </c>
      <c r="S37" s="151">
        <v>0</v>
      </c>
      <c r="T37" s="151">
        <v>0</v>
      </c>
      <c r="U37" s="153">
        <v>0</v>
      </c>
      <c r="V37" s="151">
        <v>0</v>
      </c>
      <c r="W37" s="151">
        <v>0</v>
      </c>
      <c r="X37" s="151">
        <v>0</v>
      </c>
      <c r="Y37" s="151">
        <v>0</v>
      </c>
      <c r="Z37" s="151">
        <v>0</v>
      </c>
      <c r="AA37" s="151">
        <v>0</v>
      </c>
      <c r="AB37" s="151">
        <v>0</v>
      </c>
      <c r="AC37" s="151">
        <v>0</v>
      </c>
      <c r="AD37" s="151">
        <v>0</v>
      </c>
      <c r="AE37" s="151">
        <v>0</v>
      </c>
      <c r="AF37" s="152">
        <v>0</v>
      </c>
      <c r="AG37" s="151">
        <v>0</v>
      </c>
      <c r="AH37" s="151">
        <v>0</v>
      </c>
      <c r="AI37" s="151"/>
      <c r="AJ37" s="151">
        <v>0</v>
      </c>
      <c r="AK37" s="151">
        <v>0</v>
      </c>
      <c r="AL37" s="151">
        <v>0</v>
      </c>
      <c r="AM37" s="151">
        <v>0</v>
      </c>
      <c r="AN37" s="151">
        <v>0</v>
      </c>
      <c r="AO37" s="151"/>
      <c r="AP37" s="151">
        <v>0</v>
      </c>
      <c r="AQ37" s="151">
        <v>0</v>
      </c>
      <c r="AR37" s="151">
        <v>0</v>
      </c>
      <c r="AS37" s="151">
        <v>0</v>
      </c>
      <c r="AT37" s="151">
        <v>0</v>
      </c>
      <c r="AU37" s="151">
        <v>0</v>
      </c>
      <c r="AV37" s="151">
        <v>0</v>
      </c>
      <c r="AW37" s="151">
        <v>0</v>
      </c>
      <c r="AX37" s="151">
        <v>0</v>
      </c>
      <c r="AY37" s="151">
        <v>0</v>
      </c>
      <c r="AZ37" s="151">
        <v>0</v>
      </c>
      <c r="BA37" s="151">
        <v>0</v>
      </c>
      <c r="BB37" s="151">
        <v>0</v>
      </c>
      <c r="BC37" s="151">
        <v>0</v>
      </c>
      <c r="BD37" s="151">
        <v>0</v>
      </c>
      <c r="BE37" s="151">
        <v>0</v>
      </c>
      <c r="BF37" s="151">
        <v>0</v>
      </c>
      <c r="BG37" s="151">
        <v>0</v>
      </c>
      <c r="BH37" s="151">
        <v>0</v>
      </c>
      <c r="BI37" s="151">
        <v>0</v>
      </c>
      <c r="BJ37" s="151">
        <v>0</v>
      </c>
      <c r="BK37" s="151">
        <v>0</v>
      </c>
      <c r="BL37" s="151">
        <v>0</v>
      </c>
      <c r="BM37" s="151">
        <v>0</v>
      </c>
      <c r="BN37" s="151">
        <v>0</v>
      </c>
      <c r="BO37" s="151">
        <v>0</v>
      </c>
      <c r="BP37" s="151">
        <v>0</v>
      </c>
      <c r="BQ37" s="151">
        <v>0</v>
      </c>
      <c r="BR37" s="151">
        <v>0</v>
      </c>
      <c r="BS37" s="148"/>
      <c r="BT37" s="148"/>
      <c r="BU37" s="148"/>
      <c r="BV37" s="148"/>
      <c r="BW37" s="148"/>
    </row>
    <row r="38" spans="1:75" ht="14" thickBot="1" x14ac:dyDescent="0.3">
      <c r="A38" s="143" t="s">
        <v>368</v>
      </c>
      <c r="B38" s="143" t="s">
        <v>365</v>
      </c>
      <c r="C38" s="143" t="s">
        <v>423</v>
      </c>
      <c r="D38" s="154">
        <v>0.60619000000000001</v>
      </c>
      <c r="E38" s="154">
        <v>0.58001000000000003</v>
      </c>
      <c r="F38" s="154">
        <v>2.6179999999999998E-2</v>
      </c>
      <c r="G38" s="154">
        <v>0.656893704509522</v>
      </c>
      <c r="H38" s="154">
        <v>-0.22967629549047797</v>
      </c>
      <c r="I38" s="154">
        <v>0.88656999999999997</v>
      </c>
      <c r="J38" s="154">
        <v>0.23413</v>
      </c>
      <c r="K38" s="154">
        <f>L38+M38</f>
        <v>0.65244000000000002</v>
      </c>
      <c r="L38" s="228">
        <v>0.57969999999999999</v>
      </c>
      <c r="M38" s="154">
        <v>7.2739999999999999E-2</v>
      </c>
      <c r="N38" s="154">
        <v>1.7663500000000001</v>
      </c>
      <c r="O38" s="154">
        <v>0.45728000000000013</v>
      </c>
      <c r="P38" s="154">
        <v>1.30907</v>
      </c>
      <c r="Q38" s="154">
        <v>0.72833999999999999</v>
      </c>
      <c r="R38" s="155">
        <v>0.58072999999999997</v>
      </c>
      <c r="S38" s="154">
        <v>0.24626999999999999</v>
      </c>
      <c r="T38" s="154">
        <v>0.33445999999999998</v>
      </c>
      <c r="U38" s="156">
        <v>0.20415</v>
      </c>
      <c r="V38" s="154">
        <v>-4.931000000000002E-2</v>
      </c>
      <c r="W38" s="154">
        <v>0.25346000000000002</v>
      </c>
      <c r="X38" s="154">
        <v>-3.1129999999999991E-2</v>
      </c>
      <c r="Y38" s="154">
        <v>0.28459000000000001</v>
      </c>
      <c r="Z38" s="154">
        <v>0.39250000000000002</v>
      </c>
      <c r="AA38" s="154">
        <v>-0.10791000000000001</v>
      </c>
      <c r="AB38" s="154">
        <v>1.83996</v>
      </c>
      <c r="AC38" s="154">
        <v>-0.92691999999999997</v>
      </c>
      <c r="AD38" s="154">
        <v>2.76688</v>
      </c>
      <c r="AE38" s="154">
        <v>0.46046999999999993</v>
      </c>
      <c r="AF38" s="155">
        <v>2.3064100000000001</v>
      </c>
      <c r="AG38" s="154">
        <v>1.2543300000000002</v>
      </c>
      <c r="AH38" s="154">
        <v>1.0520799999999999</v>
      </c>
      <c r="AI38" s="154">
        <v>3.5256099999999999</v>
      </c>
      <c r="AJ38" s="154">
        <v>0.61634000000000011</v>
      </c>
      <c r="AK38" s="154">
        <v>2.9092699999999998</v>
      </c>
      <c r="AL38" s="154">
        <v>1.1616999999999997</v>
      </c>
      <c r="AM38" s="154">
        <v>1.7475700000000001</v>
      </c>
      <c r="AN38" s="154">
        <v>1.4095800000000001</v>
      </c>
      <c r="AO38" s="154">
        <v>0.33799000000000001</v>
      </c>
      <c r="AP38" s="154">
        <v>-3.2275399999999999</v>
      </c>
      <c r="AQ38" s="154">
        <v>-0.85112999999999994</v>
      </c>
      <c r="AR38" s="154">
        <v>-2.3764099999999999</v>
      </c>
      <c r="AS38" s="154">
        <v>-0.12388999999999983</v>
      </c>
      <c r="AT38" s="154">
        <v>-2.2525200000000001</v>
      </c>
      <c r="AU38" s="154">
        <v>-2.3127200000000001</v>
      </c>
      <c r="AV38" s="154">
        <v>6.0199999999999997E-2</v>
      </c>
      <c r="AW38" s="154">
        <v>2.2307800000000002</v>
      </c>
      <c r="AX38" s="154">
        <v>0.24836000000000014</v>
      </c>
      <c r="AY38" s="154">
        <v>1.9824200000000001</v>
      </c>
      <c r="AZ38" s="154">
        <v>0.82372000000000001</v>
      </c>
      <c r="BA38" s="154">
        <v>1.1587000000000001</v>
      </c>
      <c r="BB38" s="154">
        <v>0.73625000000000007</v>
      </c>
      <c r="BC38" s="154">
        <v>0.42244999999999999</v>
      </c>
      <c r="BD38" s="154">
        <v>1.3545100000000001</v>
      </c>
      <c r="BE38" s="154">
        <v>0.50108000000000008</v>
      </c>
      <c r="BF38" s="154">
        <v>0.85343000000000002</v>
      </c>
      <c r="BG38" s="154">
        <v>0.63572000000000006</v>
      </c>
      <c r="BH38" s="154">
        <v>0.21770999999999999</v>
      </c>
      <c r="BI38" s="154">
        <v>0.31007999999999997</v>
      </c>
      <c r="BJ38" s="154">
        <v>-9.2369999999999994E-2</v>
      </c>
      <c r="BK38" s="154">
        <v>4.9709999999999997E-2</v>
      </c>
      <c r="BL38" s="154">
        <v>9.1620000000000007E-2</v>
      </c>
      <c r="BM38" s="154">
        <v>-4.1910000000000003E-2</v>
      </c>
      <c r="BN38" s="154">
        <v>-0.25068999999999997</v>
      </c>
      <c r="BO38" s="154">
        <v>0.20877999999999999</v>
      </c>
      <c r="BP38" s="154">
        <v>0.22114</v>
      </c>
      <c r="BQ38" s="154">
        <v>-1.2359999999999999E-2</v>
      </c>
      <c r="BR38" s="154">
        <v>0.22697000000000001</v>
      </c>
      <c r="BS38" s="148"/>
      <c r="BT38" s="148"/>
      <c r="BU38" s="148"/>
      <c r="BV38" s="148"/>
      <c r="BW38" s="148"/>
    </row>
    <row r="39" spans="1:75" ht="14" thickTop="1" x14ac:dyDescent="0.25">
      <c r="R39" s="137"/>
      <c r="V39" s="137"/>
      <c r="W39" s="137"/>
      <c r="X39" s="137"/>
    </row>
    <row r="40" spans="1:75" ht="14" x14ac:dyDescent="0.3">
      <c r="D40" s="218">
        <f t="shared" ref="D40" si="2">SUM(D3:D4)-D5</f>
        <v>0</v>
      </c>
      <c r="E40" s="218">
        <f t="shared" ref="E40:F40" si="3">SUM(E3:E4)-E5</f>
        <v>0</v>
      </c>
      <c r="F40" s="218">
        <f t="shared" si="3"/>
        <v>0</v>
      </c>
      <c r="I40" s="218">
        <f t="shared" ref="I40:J40" si="4">SUM(I3:I4)-I5</f>
        <v>0</v>
      </c>
      <c r="J40" s="218">
        <f t="shared" si="4"/>
        <v>0</v>
      </c>
      <c r="K40" s="218">
        <f t="shared" ref="K40" si="5">SUM(K3:K4)-K5</f>
        <v>0</v>
      </c>
      <c r="L40" s="218"/>
      <c r="M40" s="218">
        <f t="shared" ref="M40:U40" si="6">SUM(M3:M4)-M5</f>
        <v>0</v>
      </c>
      <c r="N40" s="218">
        <f t="shared" si="6"/>
        <v>0</v>
      </c>
      <c r="O40" s="218">
        <f t="shared" si="6"/>
        <v>0</v>
      </c>
      <c r="P40" s="218">
        <f t="shared" si="6"/>
        <v>0</v>
      </c>
      <c r="Q40" s="218">
        <f t="shared" si="6"/>
        <v>0</v>
      </c>
      <c r="R40" s="218">
        <f t="shared" si="6"/>
        <v>0</v>
      </c>
      <c r="S40" s="218">
        <f t="shared" si="6"/>
        <v>0</v>
      </c>
      <c r="T40" s="218">
        <f t="shared" si="6"/>
        <v>0</v>
      </c>
      <c r="U40" s="218">
        <f t="shared" si="6"/>
        <v>0</v>
      </c>
      <c r="V40" s="218">
        <f t="shared" ref="V40:BR40" si="7">SUM(V3:V4)-V5</f>
        <v>0</v>
      </c>
      <c r="W40" s="218">
        <f t="shared" si="7"/>
        <v>0</v>
      </c>
      <c r="X40" s="218">
        <f t="shared" si="7"/>
        <v>0</v>
      </c>
      <c r="Y40" s="218">
        <f t="shared" si="7"/>
        <v>0</v>
      </c>
      <c r="Z40" s="218">
        <f t="shared" si="7"/>
        <v>0</v>
      </c>
      <c r="AA40" s="218">
        <f t="shared" si="7"/>
        <v>0</v>
      </c>
      <c r="AB40" s="218">
        <f t="shared" si="7"/>
        <v>0</v>
      </c>
      <c r="AC40" s="218">
        <f t="shared" si="7"/>
        <v>0</v>
      </c>
      <c r="AD40" s="218">
        <f t="shared" si="7"/>
        <v>0</v>
      </c>
      <c r="AE40" s="218">
        <f t="shared" si="7"/>
        <v>0</v>
      </c>
      <c r="AF40" s="218">
        <f t="shared" si="7"/>
        <v>0</v>
      </c>
      <c r="AG40" s="218">
        <f t="shared" si="7"/>
        <v>0</v>
      </c>
      <c r="AH40" s="218">
        <f t="shared" si="7"/>
        <v>0</v>
      </c>
      <c r="AI40" s="218">
        <f t="shared" si="7"/>
        <v>0</v>
      </c>
      <c r="AJ40" s="218">
        <f t="shared" si="7"/>
        <v>0</v>
      </c>
      <c r="AK40" s="218">
        <f t="shared" si="7"/>
        <v>0</v>
      </c>
      <c r="AL40" s="218">
        <f t="shared" si="7"/>
        <v>0</v>
      </c>
      <c r="AM40" s="218">
        <f t="shared" si="7"/>
        <v>0</v>
      </c>
      <c r="AN40" s="218">
        <f t="shared" si="7"/>
        <v>0</v>
      </c>
      <c r="AO40" s="218">
        <f t="shared" si="7"/>
        <v>0</v>
      </c>
      <c r="AP40" s="218">
        <f t="shared" si="7"/>
        <v>0</v>
      </c>
      <c r="AQ40" s="218">
        <f t="shared" si="7"/>
        <v>0</v>
      </c>
      <c r="AR40" s="218">
        <f t="shared" si="7"/>
        <v>0</v>
      </c>
      <c r="AS40" s="218">
        <f t="shared" si="7"/>
        <v>0</v>
      </c>
      <c r="AT40" s="218">
        <f t="shared" si="7"/>
        <v>0</v>
      </c>
      <c r="AU40" s="218">
        <f t="shared" si="7"/>
        <v>0</v>
      </c>
      <c r="AV40" s="218">
        <f t="shared" si="7"/>
        <v>0</v>
      </c>
      <c r="AW40" s="218">
        <f t="shared" si="7"/>
        <v>0</v>
      </c>
      <c r="AX40" s="218">
        <f t="shared" si="7"/>
        <v>0</v>
      </c>
      <c r="AY40" s="218">
        <f t="shared" si="7"/>
        <v>0</v>
      </c>
      <c r="AZ40" s="218">
        <f t="shared" si="7"/>
        <v>0</v>
      </c>
      <c r="BA40" s="218">
        <f t="shared" si="7"/>
        <v>0</v>
      </c>
      <c r="BB40" s="218">
        <f t="shared" si="7"/>
        <v>0</v>
      </c>
      <c r="BC40" s="218">
        <f t="shared" si="7"/>
        <v>0</v>
      </c>
      <c r="BD40" s="218">
        <f t="shared" si="7"/>
        <v>0</v>
      </c>
      <c r="BE40" s="218">
        <f t="shared" si="7"/>
        <v>0</v>
      </c>
      <c r="BF40" s="218">
        <f t="shared" si="7"/>
        <v>0</v>
      </c>
      <c r="BG40" s="218">
        <f t="shared" si="7"/>
        <v>0</v>
      </c>
      <c r="BH40" s="218">
        <f t="shared" si="7"/>
        <v>0</v>
      </c>
      <c r="BI40" s="218">
        <f t="shared" si="7"/>
        <v>0</v>
      </c>
      <c r="BJ40" s="218">
        <f t="shared" si="7"/>
        <v>0</v>
      </c>
      <c r="BK40" s="218">
        <f t="shared" si="7"/>
        <v>0</v>
      </c>
      <c r="BL40" s="218">
        <f t="shared" si="7"/>
        <v>0</v>
      </c>
      <c r="BM40" s="218">
        <f t="shared" si="7"/>
        <v>0</v>
      </c>
      <c r="BN40" s="218">
        <f t="shared" si="7"/>
        <v>0</v>
      </c>
      <c r="BO40" s="218">
        <f t="shared" si="7"/>
        <v>0</v>
      </c>
      <c r="BP40" s="218">
        <f t="shared" si="7"/>
        <v>0</v>
      </c>
      <c r="BQ40" s="218">
        <f t="shared" si="7"/>
        <v>0</v>
      </c>
      <c r="BR40" s="218">
        <f t="shared" si="7"/>
        <v>0</v>
      </c>
    </row>
    <row r="41" spans="1:75" ht="14" x14ac:dyDescent="0.3">
      <c r="D41" s="218">
        <f t="shared" ref="D41" si="8">SUM(D7,D8,D11,D12,D13,D14)-D6</f>
        <v>0</v>
      </c>
      <c r="E41" s="218">
        <f t="shared" ref="E41:F41" si="9">SUM(E7,E8,E11,E12,E13,E14)-E6</f>
        <v>0</v>
      </c>
      <c r="F41" s="218">
        <f t="shared" si="9"/>
        <v>0</v>
      </c>
      <c r="I41" s="218">
        <f t="shared" ref="I41:J41" si="10">SUM(I7,I8,I11,I12,I13,I14)-I6</f>
        <v>0</v>
      </c>
      <c r="J41" s="218">
        <f t="shared" si="10"/>
        <v>0</v>
      </c>
      <c r="K41" s="218">
        <f t="shared" ref="K41" si="11">SUM(K7,K8,K11,K12,K13,K14)-K6</f>
        <v>0</v>
      </c>
      <c r="L41" s="218"/>
      <c r="M41" s="218">
        <f t="shared" ref="M41:U41" si="12">SUM(M7,M8,M11,M12,M13,M14)-M6</f>
        <v>0</v>
      </c>
      <c r="N41" s="218">
        <f t="shared" si="12"/>
        <v>0</v>
      </c>
      <c r="O41" s="218">
        <f t="shared" si="12"/>
        <v>0</v>
      </c>
      <c r="P41" s="218">
        <f t="shared" si="12"/>
        <v>0</v>
      </c>
      <c r="Q41" s="218">
        <f t="shared" si="12"/>
        <v>0</v>
      </c>
      <c r="R41" s="218">
        <f t="shared" si="12"/>
        <v>0</v>
      </c>
      <c r="S41" s="218">
        <f t="shared" si="12"/>
        <v>0</v>
      </c>
      <c r="T41" s="218">
        <f t="shared" si="12"/>
        <v>0</v>
      </c>
      <c r="U41" s="218">
        <f t="shared" si="12"/>
        <v>0</v>
      </c>
      <c r="V41" s="218">
        <f t="shared" ref="V41:BR41" si="13">SUM(V7,V8,V11,V12,V13,V14)-V6</f>
        <v>0</v>
      </c>
      <c r="W41" s="218">
        <f t="shared" si="13"/>
        <v>0</v>
      </c>
      <c r="X41" s="218">
        <f t="shared" si="13"/>
        <v>0</v>
      </c>
      <c r="Y41" s="218">
        <f t="shared" si="13"/>
        <v>0</v>
      </c>
      <c r="Z41" s="218">
        <f t="shared" si="13"/>
        <v>0</v>
      </c>
      <c r="AA41" s="218">
        <f t="shared" si="13"/>
        <v>0</v>
      </c>
      <c r="AB41" s="218">
        <f t="shared" si="13"/>
        <v>0</v>
      </c>
      <c r="AC41" s="218">
        <f t="shared" si="13"/>
        <v>0</v>
      </c>
      <c r="AD41" s="218">
        <f t="shared" si="13"/>
        <v>0</v>
      </c>
      <c r="AE41" s="218">
        <f t="shared" si="13"/>
        <v>0</v>
      </c>
      <c r="AF41" s="218">
        <f t="shared" si="13"/>
        <v>0</v>
      </c>
      <c r="AG41" s="218">
        <f t="shared" si="13"/>
        <v>0</v>
      </c>
      <c r="AH41" s="218">
        <f t="shared" si="13"/>
        <v>0</v>
      </c>
      <c r="AI41" s="218">
        <f t="shared" si="13"/>
        <v>0</v>
      </c>
      <c r="AJ41" s="218">
        <f t="shared" si="13"/>
        <v>0</v>
      </c>
      <c r="AK41" s="218">
        <f t="shared" si="13"/>
        <v>0</v>
      </c>
      <c r="AL41" s="218">
        <f t="shared" si="13"/>
        <v>0</v>
      </c>
      <c r="AM41" s="218">
        <f t="shared" si="13"/>
        <v>0</v>
      </c>
      <c r="AN41" s="218">
        <f t="shared" si="13"/>
        <v>0</v>
      </c>
      <c r="AO41" s="218">
        <f t="shared" si="13"/>
        <v>0</v>
      </c>
      <c r="AP41" s="218">
        <f t="shared" si="13"/>
        <v>0</v>
      </c>
      <c r="AQ41" s="218">
        <f t="shared" si="13"/>
        <v>0</v>
      </c>
      <c r="AR41" s="218">
        <f t="shared" si="13"/>
        <v>0</v>
      </c>
      <c r="AS41" s="218">
        <f t="shared" si="13"/>
        <v>0</v>
      </c>
      <c r="AT41" s="218">
        <f t="shared" si="13"/>
        <v>0</v>
      </c>
      <c r="AU41" s="218">
        <f t="shared" si="13"/>
        <v>0</v>
      </c>
      <c r="AV41" s="218">
        <f t="shared" si="13"/>
        <v>0</v>
      </c>
      <c r="AW41" s="218">
        <f t="shared" si="13"/>
        <v>0</v>
      </c>
      <c r="AX41" s="218">
        <f t="shared" si="13"/>
        <v>0</v>
      </c>
      <c r="AY41" s="218">
        <f t="shared" si="13"/>
        <v>0</v>
      </c>
      <c r="AZ41" s="218">
        <f t="shared" si="13"/>
        <v>0</v>
      </c>
      <c r="BA41" s="218">
        <f t="shared" si="13"/>
        <v>0</v>
      </c>
      <c r="BB41" s="218">
        <f t="shared" si="13"/>
        <v>0</v>
      </c>
      <c r="BC41" s="218">
        <f t="shared" si="13"/>
        <v>0</v>
      </c>
      <c r="BD41" s="218">
        <f t="shared" si="13"/>
        <v>0</v>
      </c>
      <c r="BE41" s="218">
        <f t="shared" si="13"/>
        <v>0</v>
      </c>
      <c r="BF41" s="218">
        <f t="shared" si="13"/>
        <v>0</v>
      </c>
      <c r="BG41" s="218">
        <f t="shared" si="13"/>
        <v>0</v>
      </c>
      <c r="BH41" s="218">
        <f t="shared" si="13"/>
        <v>0</v>
      </c>
      <c r="BI41" s="218">
        <f t="shared" si="13"/>
        <v>0</v>
      </c>
      <c r="BJ41" s="218">
        <f t="shared" si="13"/>
        <v>0</v>
      </c>
      <c r="BK41" s="218">
        <f t="shared" si="13"/>
        <v>0</v>
      </c>
      <c r="BL41" s="218">
        <f t="shared" si="13"/>
        <v>0</v>
      </c>
      <c r="BM41" s="218">
        <f t="shared" si="13"/>
        <v>0</v>
      </c>
      <c r="BN41" s="218">
        <f t="shared" si="13"/>
        <v>0</v>
      </c>
      <c r="BO41" s="218">
        <f t="shared" si="13"/>
        <v>0</v>
      </c>
      <c r="BP41" s="218">
        <f t="shared" si="13"/>
        <v>0</v>
      </c>
      <c r="BQ41" s="218">
        <f t="shared" si="13"/>
        <v>0</v>
      </c>
      <c r="BR41" s="218">
        <f t="shared" si="13"/>
        <v>0</v>
      </c>
    </row>
    <row r="42" spans="1:75" ht="14" x14ac:dyDescent="0.3">
      <c r="D42" s="218">
        <f t="shared" ref="D42" si="14">SUM(D9:D10)-D8</f>
        <v>0</v>
      </c>
      <c r="E42" s="218">
        <f t="shared" ref="E42:F42" si="15">SUM(E9:E10)-E8</f>
        <v>0</v>
      </c>
      <c r="F42" s="218">
        <f t="shared" si="15"/>
        <v>0</v>
      </c>
      <c r="I42" s="218">
        <f t="shared" ref="I42:J42" si="16">SUM(I9:I10)-I8</f>
        <v>0</v>
      </c>
      <c r="J42" s="218">
        <f t="shared" si="16"/>
        <v>0</v>
      </c>
      <c r="K42" s="218">
        <f t="shared" ref="K42" si="17">SUM(K9:K10)-K8</f>
        <v>0</v>
      </c>
      <c r="L42" s="218"/>
      <c r="M42" s="218">
        <f t="shared" ref="M42:U42" si="18">SUM(M9:M10)-M8</f>
        <v>0</v>
      </c>
      <c r="N42" s="218">
        <f t="shared" si="18"/>
        <v>0</v>
      </c>
      <c r="O42" s="218">
        <f t="shared" si="18"/>
        <v>0</v>
      </c>
      <c r="P42" s="218">
        <f t="shared" si="18"/>
        <v>0</v>
      </c>
      <c r="Q42" s="218">
        <f t="shared" si="18"/>
        <v>0</v>
      </c>
      <c r="R42" s="218">
        <f t="shared" si="18"/>
        <v>0</v>
      </c>
      <c r="S42" s="218">
        <f t="shared" si="18"/>
        <v>0</v>
      </c>
      <c r="T42" s="218">
        <f t="shared" si="18"/>
        <v>0</v>
      </c>
      <c r="U42" s="218">
        <f t="shared" si="18"/>
        <v>0</v>
      </c>
      <c r="V42" s="218">
        <f t="shared" ref="V42:BR42" si="19">SUM(V9:V10)-V8</f>
        <v>0</v>
      </c>
      <c r="W42" s="218">
        <f t="shared" si="19"/>
        <v>0</v>
      </c>
      <c r="X42" s="218">
        <f t="shared" si="19"/>
        <v>0</v>
      </c>
      <c r="Y42" s="218">
        <f t="shared" si="19"/>
        <v>0</v>
      </c>
      <c r="Z42" s="218">
        <f t="shared" si="19"/>
        <v>0</v>
      </c>
      <c r="AA42" s="218">
        <f t="shared" si="19"/>
        <v>0</v>
      </c>
      <c r="AB42" s="218">
        <f t="shared" si="19"/>
        <v>0</v>
      </c>
      <c r="AC42" s="218">
        <f t="shared" si="19"/>
        <v>0</v>
      </c>
      <c r="AD42" s="218">
        <f t="shared" si="19"/>
        <v>0</v>
      </c>
      <c r="AE42" s="218">
        <f t="shared" si="19"/>
        <v>0</v>
      </c>
      <c r="AF42" s="218">
        <f t="shared" si="19"/>
        <v>0</v>
      </c>
      <c r="AG42" s="218">
        <f t="shared" si="19"/>
        <v>0</v>
      </c>
      <c r="AH42" s="218">
        <f t="shared" si="19"/>
        <v>0</v>
      </c>
      <c r="AI42" s="218">
        <f t="shared" si="19"/>
        <v>0</v>
      </c>
      <c r="AJ42" s="218">
        <f t="shared" si="19"/>
        <v>0</v>
      </c>
      <c r="AK42" s="218">
        <f t="shared" si="19"/>
        <v>0</v>
      </c>
      <c r="AL42" s="218">
        <f t="shared" si="19"/>
        <v>0</v>
      </c>
      <c r="AM42" s="218">
        <f t="shared" si="19"/>
        <v>0</v>
      </c>
      <c r="AN42" s="218">
        <f t="shared" si="19"/>
        <v>0</v>
      </c>
      <c r="AO42" s="218">
        <f t="shared" si="19"/>
        <v>0</v>
      </c>
      <c r="AP42" s="218">
        <f t="shared" si="19"/>
        <v>0</v>
      </c>
      <c r="AQ42" s="218">
        <f t="shared" si="19"/>
        <v>0</v>
      </c>
      <c r="AR42" s="218">
        <f t="shared" si="19"/>
        <v>0</v>
      </c>
      <c r="AS42" s="218">
        <f t="shared" si="19"/>
        <v>0</v>
      </c>
      <c r="AT42" s="218">
        <f t="shared" si="19"/>
        <v>0</v>
      </c>
      <c r="AU42" s="218">
        <f t="shared" si="19"/>
        <v>0</v>
      </c>
      <c r="AV42" s="218">
        <f t="shared" si="19"/>
        <v>0</v>
      </c>
      <c r="AW42" s="218">
        <f t="shared" si="19"/>
        <v>0</v>
      </c>
      <c r="AX42" s="218">
        <f t="shared" si="19"/>
        <v>0</v>
      </c>
      <c r="AY42" s="218">
        <f t="shared" si="19"/>
        <v>0</v>
      </c>
      <c r="AZ42" s="218">
        <f t="shared" si="19"/>
        <v>0</v>
      </c>
      <c r="BA42" s="218">
        <f t="shared" si="19"/>
        <v>0</v>
      </c>
      <c r="BB42" s="218">
        <f t="shared" si="19"/>
        <v>0</v>
      </c>
      <c r="BC42" s="218">
        <f t="shared" si="19"/>
        <v>0</v>
      </c>
      <c r="BD42" s="218">
        <f t="shared" si="19"/>
        <v>0</v>
      </c>
      <c r="BE42" s="218">
        <f t="shared" si="19"/>
        <v>0</v>
      </c>
      <c r="BF42" s="218">
        <f t="shared" si="19"/>
        <v>0</v>
      </c>
      <c r="BG42" s="218">
        <f t="shared" si="19"/>
        <v>0</v>
      </c>
      <c r="BH42" s="218">
        <f t="shared" si="19"/>
        <v>0</v>
      </c>
      <c r="BI42" s="218">
        <f t="shared" si="19"/>
        <v>0</v>
      </c>
      <c r="BJ42" s="218">
        <f t="shared" si="19"/>
        <v>0</v>
      </c>
      <c r="BK42" s="218">
        <f t="shared" si="19"/>
        <v>0</v>
      </c>
      <c r="BL42" s="218">
        <f t="shared" si="19"/>
        <v>0</v>
      </c>
      <c r="BM42" s="218">
        <f t="shared" si="19"/>
        <v>0</v>
      </c>
      <c r="BN42" s="218">
        <f t="shared" si="19"/>
        <v>0</v>
      </c>
      <c r="BO42" s="218">
        <f t="shared" si="19"/>
        <v>0</v>
      </c>
      <c r="BP42" s="218">
        <f t="shared" si="19"/>
        <v>0</v>
      </c>
      <c r="BQ42" s="218">
        <f t="shared" si="19"/>
        <v>0</v>
      </c>
      <c r="BR42" s="218">
        <f t="shared" si="19"/>
        <v>0</v>
      </c>
    </row>
    <row r="43" spans="1:75" ht="14" x14ac:dyDescent="0.3">
      <c r="D43" s="218">
        <f t="shared" ref="D43" si="20">SUM(D5:D6)-D15</f>
        <v>0</v>
      </c>
      <c r="E43" s="218">
        <f t="shared" ref="E43:F43" si="21">SUM(E5:E6)-E15</f>
        <v>0</v>
      </c>
      <c r="F43" s="218">
        <f t="shared" si="21"/>
        <v>0</v>
      </c>
      <c r="I43" s="218">
        <f t="shared" ref="I43:J43" si="22">SUM(I5:I6)-I15</f>
        <v>0</v>
      </c>
      <c r="J43" s="218">
        <f t="shared" si="22"/>
        <v>0</v>
      </c>
      <c r="K43" s="218">
        <f t="shared" ref="K43" si="23">SUM(K5:K6)-K15</f>
        <v>0</v>
      </c>
      <c r="L43" s="218"/>
      <c r="M43" s="218">
        <f t="shared" ref="M43:U43" si="24">SUM(M5:M6)-M15</f>
        <v>0</v>
      </c>
      <c r="N43" s="218">
        <f t="shared" si="24"/>
        <v>0</v>
      </c>
      <c r="O43" s="218">
        <f t="shared" si="24"/>
        <v>0</v>
      </c>
      <c r="P43" s="218">
        <f t="shared" si="24"/>
        <v>0</v>
      </c>
      <c r="Q43" s="218">
        <f t="shared" si="24"/>
        <v>0</v>
      </c>
      <c r="R43" s="218">
        <f t="shared" si="24"/>
        <v>0</v>
      </c>
      <c r="S43" s="218">
        <f t="shared" si="24"/>
        <v>0</v>
      </c>
      <c r="T43" s="218">
        <f t="shared" si="24"/>
        <v>0</v>
      </c>
      <c r="U43" s="218">
        <f t="shared" si="24"/>
        <v>0</v>
      </c>
      <c r="V43" s="218">
        <f t="shared" ref="V43:BR43" si="25">SUM(V5:V6)-V15</f>
        <v>0</v>
      </c>
      <c r="W43" s="218">
        <f t="shared" si="25"/>
        <v>0</v>
      </c>
      <c r="X43" s="218">
        <f t="shared" si="25"/>
        <v>0</v>
      </c>
      <c r="Y43" s="218">
        <f t="shared" si="25"/>
        <v>0</v>
      </c>
      <c r="Z43" s="218">
        <f t="shared" si="25"/>
        <v>0</v>
      </c>
      <c r="AA43" s="218">
        <f t="shared" si="25"/>
        <v>0</v>
      </c>
      <c r="AB43" s="218">
        <f t="shared" si="25"/>
        <v>0</v>
      </c>
      <c r="AC43" s="218">
        <f t="shared" si="25"/>
        <v>0</v>
      </c>
      <c r="AD43" s="218">
        <f t="shared" si="25"/>
        <v>0</v>
      </c>
      <c r="AE43" s="218">
        <f t="shared" si="25"/>
        <v>0</v>
      </c>
      <c r="AF43" s="218">
        <f t="shared" si="25"/>
        <v>0</v>
      </c>
      <c r="AG43" s="218">
        <f t="shared" si="25"/>
        <v>0</v>
      </c>
      <c r="AH43" s="218">
        <f t="shared" si="25"/>
        <v>0</v>
      </c>
      <c r="AI43" s="218">
        <f t="shared" si="25"/>
        <v>0</v>
      </c>
      <c r="AJ43" s="218">
        <f t="shared" si="25"/>
        <v>0</v>
      </c>
      <c r="AK43" s="218">
        <f t="shared" si="25"/>
        <v>0</v>
      </c>
      <c r="AL43" s="218">
        <f t="shared" si="25"/>
        <v>0</v>
      </c>
      <c r="AM43" s="218">
        <f t="shared" si="25"/>
        <v>0</v>
      </c>
      <c r="AN43" s="218">
        <f t="shared" si="25"/>
        <v>0</v>
      </c>
      <c r="AO43" s="218">
        <f t="shared" si="25"/>
        <v>0</v>
      </c>
      <c r="AP43" s="218">
        <f t="shared" si="25"/>
        <v>0</v>
      </c>
      <c r="AQ43" s="218">
        <f t="shared" si="25"/>
        <v>0</v>
      </c>
      <c r="AR43" s="218">
        <f t="shared" si="25"/>
        <v>0</v>
      </c>
      <c r="AS43" s="218">
        <f t="shared" si="25"/>
        <v>0</v>
      </c>
      <c r="AT43" s="218">
        <f t="shared" si="25"/>
        <v>0</v>
      </c>
      <c r="AU43" s="218">
        <f t="shared" si="25"/>
        <v>0</v>
      </c>
      <c r="AV43" s="218">
        <f t="shared" si="25"/>
        <v>0</v>
      </c>
      <c r="AW43" s="218">
        <f t="shared" si="25"/>
        <v>0</v>
      </c>
      <c r="AX43" s="218">
        <f t="shared" si="25"/>
        <v>0</v>
      </c>
      <c r="AY43" s="218">
        <f t="shared" si="25"/>
        <v>0</v>
      </c>
      <c r="AZ43" s="218">
        <f t="shared" si="25"/>
        <v>0</v>
      </c>
      <c r="BA43" s="218">
        <f t="shared" si="25"/>
        <v>0</v>
      </c>
      <c r="BB43" s="218">
        <f t="shared" si="25"/>
        <v>0</v>
      </c>
      <c r="BC43" s="218">
        <f t="shared" si="25"/>
        <v>0</v>
      </c>
      <c r="BD43" s="218">
        <f t="shared" si="25"/>
        <v>0</v>
      </c>
      <c r="BE43" s="218">
        <f t="shared" si="25"/>
        <v>0</v>
      </c>
      <c r="BF43" s="218">
        <f t="shared" si="25"/>
        <v>0</v>
      </c>
      <c r="BG43" s="218">
        <f t="shared" si="25"/>
        <v>0</v>
      </c>
      <c r="BH43" s="218">
        <f t="shared" si="25"/>
        <v>0</v>
      </c>
      <c r="BI43" s="218">
        <f t="shared" si="25"/>
        <v>0</v>
      </c>
      <c r="BJ43" s="218">
        <f t="shared" si="25"/>
        <v>0</v>
      </c>
      <c r="BK43" s="218">
        <f t="shared" si="25"/>
        <v>0</v>
      </c>
      <c r="BL43" s="218">
        <f t="shared" si="25"/>
        <v>0</v>
      </c>
      <c r="BM43" s="218">
        <f t="shared" si="25"/>
        <v>0</v>
      </c>
      <c r="BN43" s="218">
        <f t="shared" si="25"/>
        <v>0</v>
      </c>
      <c r="BO43" s="218">
        <f t="shared" si="25"/>
        <v>0</v>
      </c>
      <c r="BP43" s="218">
        <f t="shared" si="25"/>
        <v>0</v>
      </c>
      <c r="BQ43" s="218">
        <f t="shared" si="25"/>
        <v>0</v>
      </c>
      <c r="BR43" s="218">
        <f t="shared" si="25"/>
        <v>0</v>
      </c>
    </row>
    <row r="44" spans="1:75" ht="14" x14ac:dyDescent="0.3">
      <c r="D44" s="218">
        <f t="shared" ref="D44" si="26">SUM(D17,D20)-D16</f>
        <v>0</v>
      </c>
      <c r="E44" s="218">
        <f t="shared" ref="E44:F44" si="27">SUM(E17,E20)-E16</f>
        <v>0</v>
      </c>
      <c r="F44" s="218">
        <f t="shared" si="27"/>
        <v>0</v>
      </c>
      <c r="I44" s="218">
        <f t="shared" ref="I44:J44" si="28">SUM(I17,I20)-I16</f>
        <v>0</v>
      </c>
      <c r="J44" s="218">
        <f t="shared" si="28"/>
        <v>0</v>
      </c>
      <c r="K44" s="218">
        <f t="shared" ref="K44" si="29">SUM(K17,K20)-K16</f>
        <v>0</v>
      </c>
      <c r="L44" s="218"/>
      <c r="M44" s="218">
        <f t="shared" ref="M44:U44" si="30">SUM(M17,M20)-M16</f>
        <v>0</v>
      </c>
      <c r="N44" s="218">
        <f t="shared" si="30"/>
        <v>0</v>
      </c>
      <c r="O44" s="218">
        <f t="shared" si="30"/>
        <v>0</v>
      </c>
      <c r="P44" s="218">
        <f t="shared" si="30"/>
        <v>0</v>
      </c>
      <c r="Q44" s="218">
        <f t="shared" si="30"/>
        <v>0</v>
      </c>
      <c r="R44" s="218">
        <f t="shared" si="30"/>
        <v>0</v>
      </c>
      <c r="S44" s="218">
        <f t="shared" si="30"/>
        <v>0</v>
      </c>
      <c r="T44" s="218">
        <f t="shared" si="30"/>
        <v>0</v>
      </c>
      <c r="U44" s="218">
        <f t="shared" si="30"/>
        <v>0</v>
      </c>
      <c r="V44" s="218">
        <f t="shared" ref="V44:BR44" si="31">SUM(V17,V20)-V16</f>
        <v>0</v>
      </c>
      <c r="W44" s="218">
        <f t="shared" si="31"/>
        <v>0</v>
      </c>
      <c r="X44" s="218">
        <f t="shared" si="31"/>
        <v>0</v>
      </c>
      <c r="Y44" s="218">
        <f t="shared" si="31"/>
        <v>0</v>
      </c>
      <c r="Z44" s="218">
        <f t="shared" si="31"/>
        <v>0</v>
      </c>
      <c r="AA44" s="218">
        <f t="shared" si="31"/>
        <v>0</v>
      </c>
      <c r="AB44" s="218">
        <f t="shared" si="31"/>
        <v>0</v>
      </c>
      <c r="AC44" s="218">
        <f t="shared" si="31"/>
        <v>0</v>
      </c>
      <c r="AD44" s="218">
        <f t="shared" si="31"/>
        <v>0</v>
      </c>
      <c r="AE44" s="218">
        <f t="shared" si="31"/>
        <v>0</v>
      </c>
      <c r="AF44" s="218">
        <f t="shared" si="31"/>
        <v>0</v>
      </c>
      <c r="AG44" s="218">
        <f t="shared" si="31"/>
        <v>0</v>
      </c>
      <c r="AH44" s="218">
        <f t="shared" si="31"/>
        <v>0</v>
      </c>
      <c r="AI44" s="218">
        <f t="shared" si="31"/>
        <v>0</v>
      </c>
      <c r="AJ44" s="218">
        <f t="shared" si="31"/>
        <v>0</v>
      </c>
      <c r="AK44" s="218">
        <f t="shared" si="31"/>
        <v>0</v>
      </c>
      <c r="AL44" s="218">
        <f t="shared" si="31"/>
        <v>0</v>
      </c>
      <c r="AM44" s="218">
        <f t="shared" si="31"/>
        <v>0</v>
      </c>
      <c r="AN44" s="218">
        <f t="shared" si="31"/>
        <v>0</v>
      </c>
      <c r="AO44" s="218">
        <f t="shared" si="31"/>
        <v>0</v>
      </c>
      <c r="AP44" s="218">
        <f t="shared" si="31"/>
        <v>0</v>
      </c>
      <c r="AQ44" s="218">
        <f t="shared" si="31"/>
        <v>0</v>
      </c>
      <c r="AR44" s="218">
        <f t="shared" si="31"/>
        <v>0</v>
      </c>
      <c r="AS44" s="218">
        <f t="shared" si="31"/>
        <v>0</v>
      </c>
      <c r="AT44" s="218">
        <f t="shared" si="31"/>
        <v>0</v>
      </c>
      <c r="AU44" s="218">
        <f t="shared" si="31"/>
        <v>0</v>
      </c>
      <c r="AV44" s="218">
        <f t="shared" si="31"/>
        <v>0</v>
      </c>
      <c r="AW44" s="218">
        <f t="shared" si="31"/>
        <v>0</v>
      </c>
      <c r="AX44" s="218">
        <f t="shared" si="31"/>
        <v>0</v>
      </c>
      <c r="AY44" s="218">
        <f t="shared" si="31"/>
        <v>0</v>
      </c>
      <c r="AZ44" s="218">
        <f t="shared" si="31"/>
        <v>0</v>
      </c>
      <c r="BA44" s="218">
        <f t="shared" si="31"/>
        <v>0</v>
      </c>
      <c r="BB44" s="218">
        <f t="shared" si="31"/>
        <v>0</v>
      </c>
      <c r="BC44" s="218">
        <f t="shared" si="31"/>
        <v>0</v>
      </c>
      <c r="BD44" s="218">
        <f t="shared" si="31"/>
        <v>0</v>
      </c>
      <c r="BE44" s="218">
        <f t="shared" si="31"/>
        <v>0</v>
      </c>
      <c r="BF44" s="218">
        <f t="shared" si="31"/>
        <v>0</v>
      </c>
      <c r="BG44" s="218">
        <f t="shared" si="31"/>
        <v>0</v>
      </c>
      <c r="BH44" s="218">
        <f t="shared" si="31"/>
        <v>0</v>
      </c>
      <c r="BI44" s="218">
        <f t="shared" si="31"/>
        <v>0</v>
      </c>
      <c r="BJ44" s="218">
        <f t="shared" si="31"/>
        <v>0</v>
      </c>
      <c r="BK44" s="218">
        <f t="shared" si="31"/>
        <v>0</v>
      </c>
      <c r="BL44" s="218">
        <f t="shared" si="31"/>
        <v>0</v>
      </c>
      <c r="BM44" s="218">
        <f t="shared" si="31"/>
        <v>0</v>
      </c>
      <c r="BN44" s="218">
        <f t="shared" si="31"/>
        <v>0</v>
      </c>
      <c r="BO44" s="218">
        <f t="shared" si="31"/>
        <v>0</v>
      </c>
      <c r="BP44" s="218">
        <f t="shared" si="31"/>
        <v>0</v>
      </c>
      <c r="BQ44" s="218">
        <f t="shared" si="31"/>
        <v>0</v>
      </c>
      <c r="BR44" s="218">
        <f t="shared" si="31"/>
        <v>0</v>
      </c>
    </row>
    <row r="45" spans="1:75" ht="14" x14ac:dyDescent="0.3">
      <c r="D45" s="218">
        <f t="shared" ref="D45" si="32">SUM(D18:D19)-D17</f>
        <v>0</v>
      </c>
      <c r="E45" s="218">
        <f t="shared" ref="E45:F45" si="33">SUM(E18:E19)-E17</f>
        <v>0</v>
      </c>
      <c r="F45" s="218">
        <f t="shared" si="33"/>
        <v>0</v>
      </c>
      <c r="I45" s="218">
        <f t="shared" ref="I45:J45" si="34">SUM(I18:I19)-I17</f>
        <v>0</v>
      </c>
      <c r="J45" s="218">
        <f t="shared" si="34"/>
        <v>0</v>
      </c>
      <c r="K45" s="218">
        <f t="shared" ref="K45" si="35">SUM(K18:K19)-K17</f>
        <v>0</v>
      </c>
      <c r="L45" s="218"/>
      <c r="M45" s="218">
        <f t="shared" ref="M45:U45" si="36">SUM(M18:M19)-M17</f>
        <v>0</v>
      </c>
      <c r="N45" s="218">
        <f t="shared" si="36"/>
        <v>0</v>
      </c>
      <c r="O45" s="218">
        <f t="shared" si="36"/>
        <v>0</v>
      </c>
      <c r="P45" s="218">
        <f t="shared" si="36"/>
        <v>0</v>
      </c>
      <c r="Q45" s="218">
        <f t="shared" si="36"/>
        <v>0</v>
      </c>
      <c r="R45" s="218">
        <f t="shared" si="36"/>
        <v>0</v>
      </c>
      <c r="S45" s="218">
        <f t="shared" si="36"/>
        <v>0</v>
      </c>
      <c r="T45" s="218">
        <f t="shared" si="36"/>
        <v>0</v>
      </c>
      <c r="U45" s="218">
        <f t="shared" si="36"/>
        <v>0</v>
      </c>
      <c r="V45" s="218">
        <f t="shared" ref="V45:BR45" si="37">SUM(V18:V19)-V17</f>
        <v>0</v>
      </c>
      <c r="W45" s="218">
        <f t="shared" si="37"/>
        <v>0</v>
      </c>
      <c r="X45" s="218">
        <f t="shared" si="37"/>
        <v>0</v>
      </c>
      <c r="Y45" s="218">
        <f t="shared" si="37"/>
        <v>0</v>
      </c>
      <c r="Z45" s="218">
        <f t="shared" si="37"/>
        <v>0</v>
      </c>
      <c r="AA45" s="218">
        <f t="shared" si="37"/>
        <v>0</v>
      </c>
      <c r="AB45" s="218">
        <f t="shared" si="37"/>
        <v>0</v>
      </c>
      <c r="AC45" s="218">
        <f t="shared" si="37"/>
        <v>0</v>
      </c>
      <c r="AD45" s="218">
        <f t="shared" si="37"/>
        <v>0</v>
      </c>
      <c r="AE45" s="218">
        <f t="shared" si="37"/>
        <v>0</v>
      </c>
      <c r="AF45" s="218">
        <f t="shared" si="37"/>
        <v>0</v>
      </c>
      <c r="AG45" s="218">
        <f t="shared" si="37"/>
        <v>0</v>
      </c>
      <c r="AH45" s="218">
        <f t="shared" si="37"/>
        <v>0</v>
      </c>
      <c r="AI45" s="218">
        <f t="shared" si="37"/>
        <v>0</v>
      </c>
      <c r="AJ45" s="218">
        <f t="shared" si="37"/>
        <v>0</v>
      </c>
      <c r="AK45" s="218">
        <f t="shared" si="37"/>
        <v>0</v>
      </c>
      <c r="AL45" s="218">
        <f t="shared" si="37"/>
        <v>0</v>
      </c>
      <c r="AM45" s="218">
        <f t="shared" si="37"/>
        <v>0</v>
      </c>
      <c r="AN45" s="218">
        <f t="shared" si="37"/>
        <v>0</v>
      </c>
      <c r="AO45" s="218">
        <f t="shared" si="37"/>
        <v>0</v>
      </c>
      <c r="AP45" s="218">
        <f t="shared" si="37"/>
        <v>0</v>
      </c>
      <c r="AQ45" s="218">
        <f t="shared" si="37"/>
        <v>0</v>
      </c>
      <c r="AR45" s="218">
        <f t="shared" si="37"/>
        <v>0</v>
      </c>
      <c r="AS45" s="218">
        <f t="shared" si="37"/>
        <v>0</v>
      </c>
      <c r="AT45" s="218">
        <f t="shared" si="37"/>
        <v>0</v>
      </c>
      <c r="AU45" s="218">
        <f t="shared" si="37"/>
        <v>0</v>
      </c>
      <c r="AV45" s="218">
        <f t="shared" si="37"/>
        <v>0</v>
      </c>
      <c r="AW45" s="218">
        <f t="shared" si="37"/>
        <v>0</v>
      </c>
      <c r="AX45" s="218">
        <f t="shared" si="37"/>
        <v>0</v>
      </c>
      <c r="AY45" s="218">
        <f t="shared" si="37"/>
        <v>0</v>
      </c>
      <c r="AZ45" s="218">
        <f t="shared" si="37"/>
        <v>0</v>
      </c>
      <c r="BA45" s="218">
        <f t="shared" si="37"/>
        <v>0</v>
      </c>
      <c r="BB45" s="218">
        <f t="shared" si="37"/>
        <v>0</v>
      </c>
      <c r="BC45" s="218">
        <f t="shared" si="37"/>
        <v>0</v>
      </c>
      <c r="BD45" s="218">
        <f t="shared" si="37"/>
        <v>0</v>
      </c>
      <c r="BE45" s="218">
        <f t="shared" si="37"/>
        <v>0</v>
      </c>
      <c r="BF45" s="218">
        <f t="shared" si="37"/>
        <v>0</v>
      </c>
      <c r="BG45" s="218">
        <f t="shared" si="37"/>
        <v>0</v>
      </c>
      <c r="BH45" s="218">
        <f t="shared" si="37"/>
        <v>0</v>
      </c>
      <c r="BI45" s="218">
        <f t="shared" si="37"/>
        <v>0</v>
      </c>
      <c r="BJ45" s="218">
        <f t="shared" si="37"/>
        <v>0</v>
      </c>
      <c r="BK45" s="218">
        <f t="shared" si="37"/>
        <v>0</v>
      </c>
      <c r="BL45" s="218">
        <f t="shared" si="37"/>
        <v>0</v>
      </c>
      <c r="BM45" s="218">
        <f t="shared" si="37"/>
        <v>0</v>
      </c>
      <c r="BN45" s="218">
        <f t="shared" si="37"/>
        <v>0</v>
      </c>
      <c r="BO45" s="218">
        <f t="shared" si="37"/>
        <v>0</v>
      </c>
      <c r="BP45" s="218">
        <f t="shared" si="37"/>
        <v>0</v>
      </c>
      <c r="BQ45" s="218">
        <f t="shared" si="37"/>
        <v>0</v>
      </c>
      <c r="BR45" s="218">
        <f t="shared" si="37"/>
        <v>0</v>
      </c>
    </row>
    <row r="46" spans="1:75" ht="14" x14ac:dyDescent="0.3">
      <c r="D46" s="218">
        <f t="shared" ref="D46" si="38">SUM(D21:D22)-D20</f>
        <v>0</v>
      </c>
      <c r="E46" s="218">
        <f t="shared" ref="E46:F46" si="39">SUM(E21:E22)-E20</f>
        <v>0</v>
      </c>
      <c r="F46" s="218">
        <f t="shared" si="39"/>
        <v>0</v>
      </c>
      <c r="I46" s="218">
        <f t="shared" ref="I46:J46" si="40">SUM(I21:I22)-I20</f>
        <v>0</v>
      </c>
      <c r="J46" s="218">
        <f t="shared" si="40"/>
        <v>0</v>
      </c>
      <c r="K46" s="218">
        <f t="shared" ref="K46" si="41">SUM(K21:K22)-K20</f>
        <v>0</v>
      </c>
      <c r="L46" s="218"/>
      <c r="M46" s="218">
        <f t="shared" ref="M46:U46" si="42">SUM(M21:M22)-M20</f>
        <v>0</v>
      </c>
      <c r="N46" s="218">
        <f t="shared" si="42"/>
        <v>0</v>
      </c>
      <c r="O46" s="218">
        <f t="shared" si="42"/>
        <v>0</v>
      </c>
      <c r="P46" s="218">
        <f t="shared" si="42"/>
        <v>0</v>
      </c>
      <c r="Q46" s="218">
        <f t="shared" si="42"/>
        <v>0</v>
      </c>
      <c r="R46" s="218">
        <f t="shared" si="42"/>
        <v>0</v>
      </c>
      <c r="S46" s="218">
        <f t="shared" si="42"/>
        <v>0</v>
      </c>
      <c r="T46" s="218">
        <f t="shared" si="42"/>
        <v>0</v>
      </c>
      <c r="U46" s="218">
        <f t="shared" si="42"/>
        <v>0</v>
      </c>
      <c r="V46" s="218">
        <f t="shared" ref="V46:BR46" si="43">SUM(V21:V22)-V20</f>
        <v>0</v>
      </c>
      <c r="W46" s="218">
        <f t="shared" si="43"/>
        <v>0</v>
      </c>
      <c r="X46" s="218">
        <f t="shared" si="43"/>
        <v>0</v>
      </c>
      <c r="Y46" s="218">
        <f t="shared" si="43"/>
        <v>0</v>
      </c>
      <c r="Z46" s="218">
        <f t="shared" si="43"/>
        <v>0</v>
      </c>
      <c r="AA46" s="218">
        <f t="shared" si="43"/>
        <v>0</v>
      </c>
      <c r="AB46" s="218">
        <f t="shared" si="43"/>
        <v>0</v>
      </c>
      <c r="AC46" s="218">
        <f t="shared" si="43"/>
        <v>0</v>
      </c>
      <c r="AD46" s="218">
        <f t="shared" si="43"/>
        <v>0</v>
      </c>
      <c r="AE46" s="218">
        <f t="shared" si="43"/>
        <v>0</v>
      </c>
      <c r="AF46" s="218">
        <f t="shared" si="43"/>
        <v>0</v>
      </c>
      <c r="AG46" s="218">
        <f t="shared" si="43"/>
        <v>0</v>
      </c>
      <c r="AH46" s="218">
        <f t="shared" si="43"/>
        <v>0</v>
      </c>
      <c r="AI46" s="218">
        <f t="shared" si="43"/>
        <v>0</v>
      </c>
      <c r="AJ46" s="218">
        <f t="shared" si="43"/>
        <v>0</v>
      </c>
      <c r="AK46" s="218">
        <f t="shared" si="43"/>
        <v>0</v>
      </c>
      <c r="AL46" s="218">
        <f t="shared" si="43"/>
        <v>0</v>
      </c>
      <c r="AM46" s="218">
        <f t="shared" si="43"/>
        <v>0</v>
      </c>
      <c r="AN46" s="218">
        <f t="shared" si="43"/>
        <v>0</v>
      </c>
      <c r="AO46" s="218">
        <f t="shared" si="43"/>
        <v>0</v>
      </c>
      <c r="AP46" s="218">
        <f t="shared" si="43"/>
        <v>0</v>
      </c>
      <c r="AQ46" s="218">
        <f t="shared" si="43"/>
        <v>0</v>
      </c>
      <c r="AR46" s="218">
        <f t="shared" si="43"/>
        <v>0</v>
      </c>
      <c r="AS46" s="218">
        <f t="shared" si="43"/>
        <v>0</v>
      </c>
      <c r="AT46" s="218">
        <f t="shared" si="43"/>
        <v>0</v>
      </c>
      <c r="AU46" s="218">
        <f t="shared" si="43"/>
        <v>0</v>
      </c>
      <c r="AV46" s="218">
        <f t="shared" si="43"/>
        <v>0</v>
      </c>
      <c r="AW46" s="218">
        <f t="shared" si="43"/>
        <v>0</v>
      </c>
      <c r="AX46" s="218">
        <f t="shared" si="43"/>
        <v>0</v>
      </c>
      <c r="AY46" s="218">
        <f t="shared" si="43"/>
        <v>0</v>
      </c>
      <c r="AZ46" s="218">
        <f t="shared" si="43"/>
        <v>0</v>
      </c>
      <c r="BA46" s="218">
        <f t="shared" si="43"/>
        <v>0</v>
      </c>
      <c r="BB46" s="218">
        <f t="shared" si="43"/>
        <v>0</v>
      </c>
      <c r="BC46" s="218">
        <f t="shared" si="43"/>
        <v>0</v>
      </c>
      <c r="BD46" s="218">
        <f t="shared" si="43"/>
        <v>0</v>
      </c>
      <c r="BE46" s="218">
        <f t="shared" si="43"/>
        <v>0</v>
      </c>
      <c r="BF46" s="218">
        <f t="shared" si="43"/>
        <v>0</v>
      </c>
      <c r="BG46" s="218">
        <f t="shared" si="43"/>
        <v>0</v>
      </c>
      <c r="BH46" s="218">
        <f t="shared" si="43"/>
        <v>0</v>
      </c>
      <c r="BI46" s="218">
        <f t="shared" si="43"/>
        <v>0</v>
      </c>
      <c r="BJ46" s="218">
        <f t="shared" si="43"/>
        <v>0</v>
      </c>
      <c r="BK46" s="218">
        <f t="shared" si="43"/>
        <v>0</v>
      </c>
      <c r="BL46" s="218">
        <f t="shared" si="43"/>
        <v>0</v>
      </c>
      <c r="BM46" s="218">
        <f t="shared" si="43"/>
        <v>0</v>
      </c>
      <c r="BN46" s="218">
        <f t="shared" si="43"/>
        <v>0</v>
      </c>
      <c r="BO46" s="218">
        <f t="shared" si="43"/>
        <v>0</v>
      </c>
      <c r="BP46" s="218">
        <f t="shared" si="43"/>
        <v>0</v>
      </c>
      <c r="BQ46" s="218">
        <f t="shared" si="43"/>
        <v>0</v>
      </c>
      <c r="BR46" s="218">
        <f t="shared" si="43"/>
        <v>0</v>
      </c>
    </row>
    <row r="47" spans="1:75" ht="14" x14ac:dyDescent="0.3">
      <c r="D47" s="218">
        <f t="shared" ref="D47" si="44">SUM(D15:D16)-D23</f>
        <v>0</v>
      </c>
      <c r="E47" s="218">
        <f t="shared" ref="E47:F47" si="45">SUM(E15:E16)-E23</f>
        <v>0</v>
      </c>
      <c r="F47" s="218">
        <f t="shared" si="45"/>
        <v>0</v>
      </c>
      <c r="I47" s="218">
        <f t="shared" ref="I47:J47" si="46">SUM(I15:I16)-I23</f>
        <v>0</v>
      </c>
      <c r="J47" s="218">
        <f t="shared" si="46"/>
        <v>0</v>
      </c>
      <c r="K47" s="218">
        <f t="shared" ref="K47" si="47">SUM(K15:K16)-K23</f>
        <v>0</v>
      </c>
      <c r="L47" s="218"/>
      <c r="M47" s="218">
        <f t="shared" ref="M47:U47" si="48">SUM(M15:M16)-M23</f>
        <v>0</v>
      </c>
      <c r="N47" s="218">
        <f t="shared" si="48"/>
        <v>0</v>
      </c>
      <c r="O47" s="218">
        <f t="shared" si="48"/>
        <v>0</v>
      </c>
      <c r="P47" s="218">
        <f t="shared" si="48"/>
        <v>0</v>
      </c>
      <c r="Q47" s="218">
        <f t="shared" si="48"/>
        <v>0</v>
      </c>
      <c r="R47" s="218">
        <f t="shared" si="48"/>
        <v>0</v>
      </c>
      <c r="S47" s="218">
        <f t="shared" si="48"/>
        <v>0</v>
      </c>
      <c r="T47" s="218">
        <f t="shared" si="48"/>
        <v>0</v>
      </c>
      <c r="U47" s="218">
        <f t="shared" si="48"/>
        <v>0</v>
      </c>
      <c r="V47" s="218">
        <f t="shared" ref="V47:BR47" si="49">SUM(V15:V16)-V23</f>
        <v>0</v>
      </c>
      <c r="W47" s="218">
        <f t="shared" si="49"/>
        <v>0</v>
      </c>
      <c r="X47" s="218">
        <f t="shared" si="49"/>
        <v>0</v>
      </c>
      <c r="Y47" s="218">
        <f t="shared" si="49"/>
        <v>0</v>
      </c>
      <c r="Z47" s="218">
        <f t="shared" si="49"/>
        <v>0</v>
      </c>
      <c r="AA47" s="218">
        <f t="shared" si="49"/>
        <v>0</v>
      </c>
      <c r="AB47" s="218">
        <f t="shared" si="49"/>
        <v>0</v>
      </c>
      <c r="AC47" s="218">
        <f t="shared" si="49"/>
        <v>0</v>
      </c>
      <c r="AD47" s="218">
        <f t="shared" si="49"/>
        <v>0</v>
      </c>
      <c r="AE47" s="218">
        <f t="shared" si="49"/>
        <v>0</v>
      </c>
      <c r="AF47" s="218">
        <f t="shared" si="49"/>
        <v>0</v>
      </c>
      <c r="AG47" s="218">
        <f t="shared" si="49"/>
        <v>0</v>
      </c>
      <c r="AH47" s="218">
        <f t="shared" si="49"/>
        <v>0</v>
      </c>
      <c r="AI47" s="218">
        <f t="shared" si="49"/>
        <v>0</v>
      </c>
      <c r="AJ47" s="218">
        <f t="shared" si="49"/>
        <v>0</v>
      </c>
      <c r="AK47" s="218">
        <f t="shared" si="49"/>
        <v>0</v>
      </c>
      <c r="AL47" s="218">
        <f t="shared" si="49"/>
        <v>0</v>
      </c>
      <c r="AM47" s="218">
        <f t="shared" si="49"/>
        <v>0</v>
      </c>
      <c r="AN47" s="218">
        <f t="shared" si="49"/>
        <v>0</v>
      </c>
      <c r="AO47" s="218">
        <f t="shared" si="49"/>
        <v>0</v>
      </c>
      <c r="AP47" s="218">
        <f t="shared" si="49"/>
        <v>0</v>
      </c>
      <c r="AQ47" s="218">
        <f t="shared" si="49"/>
        <v>0</v>
      </c>
      <c r="AR47" s="218">
        <f t="shared" si="49"/>
        <v>0</v>
      </c>
      <c r="AS47" s="218">
        <f t="shared" si="49"/>
        <v>0</v>
      </c>
      <c r="AT47" s="218">
        <f t="shared" si="49"/>
        <v>0</v>
      </c>
      <c r="AU47" s="218">
        <f t="shared" si="49"/>
        <v>0</v>
      </c>
      <c r="AV47" s="218">
        <f t="shared" si="49"/>
        <v>0</v>
      </c>
      <c r="AW47" s="218">
        <f t="shared" si="49"/>
        <v>0</v>
      </c>
      <c r="AX47" s="218">
        <f t="shared" si="49"/>
        <v>0</v>
      </c>
      <c r="AY47" s="218">
        <f t="shared" si="49"/>
        <v>0</v>
      </c>
      <c r="AZ47" s="218">
        <f t="shared" si="49"/>
        <v>0</v>
      </c>
      <c r="BA47" s="218">
        <f t="shared" si="49"/>
        <v>0</v>
      </c>
      <c r="BB47" s="218">
        <f t="shared" si="49"/>
        <v>0</v>
      </c>
      <c r="BC47" s="218">
        <f t="shared" si="49"/>
        <v>0</v>
      </c>
      <c r="BD47" s="218">
        <f t="shared" si="49"/>
        <v>0</v>
      </c>
      <c r="BE47" s="218">
        <f t="shared" si="49"/>
        <v>0</v>
      </c>
      <c r="BF47" s="218">
        <f t="shared" si="49"/>
        <v>0</v>
      </c>
      <c r="BG47" s="218">
        <f t="shared" si="49"/>
        <v>0</v>
      </c>
      <c r="BH47" s="218">
        <f t="shared" si="49"/>
        <v>0</v>
      </c>
      <c r="BI47" s="218">
        <f t="shared" si="49"/>
        <v>0</v>
      </c>
      <c r="BJ47" s="218">
        <f t="shared" si="49"/>
        <v>0</v>
      </c>
      <c r="BK47" s="218">
        <f t="shared" si="49"/>
        <v>0</v>
      </c>
      <c r="BL47" s="218">
        <f t="shared" si="49"/>
        <v>0</v>
      </c>
      <c r="BM47" s="218">
        <f t="shared" si="49"/>
        <v>0</v>
      </c>
      <c r="BN47" s="218">
        <f t="shared" si="49"/>
        <v>0</v>
      </c>
      <c r="BO47" s="218">
        <f t="shared" si="49"/>
        <v>0</v>
      </c>
      <c r="BP47" s="218">
        <f t="shared" si="49"/>
        <v>0</v>
      </c>
      <c r="BQ47" s="218">
        <f t="shared" si="49"/>
        <v>0</v>
      </c>
      <c r="BR47" s="218">
        <f t="shared" si="49"/>
        <v>0</v>
      </c>
    </row>
    <row r="48" spans="1:75" ht="14" x14ac:dyDescent="0.3">
      <c r="D48" s="218">
        <f t="shared" ref="D48" si="50">SUM(D25:D26)-D24</f>
        <v>0</v>
      </c>
      <c r="E48" s="218">
        <f t="shared" ref="E48:F48" si="51">SUM(E25:E26)-E24</f>
        <v>0</v>
      </c>
      <c r="F48" s="218">
        <f t="shared" si="51"/>
        <v>0</v>
      </c>
      <c r="I48" s="218">
        <f t="shared" ref="I48:J48" si="52">SUM(I25:I26)-I24</f>
        <v>0</v>
      </c>
      <c r="J48" s="218">
        <f t="shared" si="52"/>
        <v>0</v>
      </c>
      <c r="K48" s="218">
        <f t="shared" ref="K48" si="53">SUM(K25:K26)-K24</f>
        <v>0</v>
      </c>
      <c r="L48" s="218"/>
      <c r="M48" s="218">
        <f t="shared" ref="M48:U48" si="54">SUM(M25:M26)-M24</f>
        <v>0</v>
      </c>
      <c r="N48" s="218">
        <f t="shared" si="54"/>
        <v>0</v>
      </c>
      <c r="O48" s="218">
        <f t="shared" si="54"/>
        <v>0</v>
      </c>
      <c r="P48" s="218">
        <f t="shared" si="54"/>
        <v>0</v>
      </c>
      <c r="Q48" s="218">
        <f t="shared" si="54"/>
        <v>0</v>
      </c>
      <c r="R48" s="218">
        <f t="shared" si="54"/>
        <v>0</v>
      </c>
      <c r="S48" s="218">
        <f t="shared" si="54"/>
        <v>0</v>
      </c>
      <c r="T48" s="218">
        <f t="shared" si="54"/>
        <v>0</v>
      </c>
      <c r="U48" s="218">
        <f t="shared" si="54"/>
        <v>0</v>
      </c>
      <c r="V48" s="218">
        <f t="shared" ref="V48:BR48" si="55">SUM(V25:V26)-V24</f>
        <v>0</v>
      </c>
      <c r="W48" s="218">
        <f t="shared" si="55"/>
        <v>0</v>
      </c>
      <c r="X48" s="218">
        <f t="shared" si="55"/>
        <v>0</v>
      </c>
      <c r="Y48" s="218">
        <f t="shared" si="55"/>
        <v>0</v>
      </c>
      <c r="Z48" s="218">
        <f t="shared" si="55"/>
        <v>0</v>
      </c>
      <c r="AA48" s="218">
        <f t="shared" si="55"/>
        <v>0</v>
      </c>
      <c r="AB48" s="218">
        <f t="shared" si="55"/>
        <v>0</v>
      </c>
      <c r="AC48" s="218">
        <f t="shared" si="55"/>
        <v>0</v>
      </c>
      <c r="AD48" s="218">
        <f t="shared" si="55"/>
        <v>0</v>
      </c>
      <c r="AE48" s="218">
        <f t="shared" si="55"/>
        <v>0</v>
      </c>
      <c r="AF48" s="218">
        <f t="shared" si="55"/>
        <v>0</v>
      </c>
      <c r="AG48" s="218">
        <f t="shared" si="55"/>
        <v>0</v>
      </c>
      <c r="AH48" s="218">
        <f t="shared" si="55"/>
        <v>0</v>
      </c>
      <c r="AI48" s="218">
        <f t="shared" si="55"/>
        <v>0</v>
      </c>
      <c r="AJ48" s="218">
        <f t="shared" si="55"/>
        <v>0</v>
      </c>
      <c r="AK48" s="218">
        <f t="shared" si="55"/>
        <v>0</v>
      </c>
      <c r="AL48" s="218">
        <f t="shared" si="55"/>
        <v>0</v>
      </c>
      <c r="AM48" s="218">
        <f t="shared" si="55"/>
        <v>0</v>
      </c>
      <c r="AN48" s="218">
        <f t="shared" si="55"/>
        <v>0</v>
      </c>
      <c r="AO48" s="218">
        <f t="shared" si="55"/>
        <v>0</v>
      </c>
      <c r="AP48" s="218">
        <f t="shared" si="55"/>
        <v>0</v>
      </c>
      <c r="AQ48" s="218">
        <f t="shared" si="55"/>
        <v>0</v>
      </c>
      <c r="AR48" s="218">
        <f t="shared" si="55"/>
        <v>0</v>
      </c>
      <c r="AS48" s="218">
        <f t="shared" si="55"/>
        <v>0</v>
      </c>
      <c r="AT48" s="218">
        <f t="shared" si="55"/>
        <v>0</v>
      </c>
      <c r="AU48" s="218">
        <f t="shared" si="55"/>
        <v>0</v>
      </c>
      <c r="AV48" s="218">
        <f t="shared" si="55"/>
        <v>0</v>
      </c>
      <c r="AW48" s="218">
        <f t="shared" si="55"/>
        <v>0</v>
      </c>
      <c r="AX48" s="218">
        <f t="shared" si="55"/>
        <v>0</v>
      </c>
      <c r="AY48" s="218">
        <f t="shared" si="55"/>
        <v>0</v>
      </c>
      <c r="AZ48" s="218">
        <f t="shared" si="55"/>
        <v>0</v>
      </c>
      <c r="BA48" s="218">
        <f t="shared" si="55"/>
        <v>0</v>
      </c>
      <c r="BB48" s="218">
        <f t="shared" si="55"/>
        <v>0</v>
      </c>
      <c r="BC48" s="218">
        <f t="shared" si="55"/>
        <v>0</v>
      </c>
      <c r="BD48" s="218">
        <f t="shared" si="55"/>
        <v>0</v>
      </c>
      <c r="BE48" s="218">
        <f t="shared" si="55"/>
        <v>0</v>
      </c>
      <c r="BF48" s="218">
        <f t="shared" si="55"/>
        <v>0</v>
      </c>
      <c r="BG48" s="218">
        <f t="shared" si="55"/>
        <v>0</v>
      </c>
      <c r="BH48" s="218">
        <f t="shared" si="55"/>
        <v>0</v>
      </c>
      <c r="BI48" s="218">
        <f t="shared" si="55"/>
        <v>0</v>
      </c>
      <c r="BJ48" s="218">
        <f t="shared" si="55"/>
        <v>0</v>
      </c>
      <c r="BK48" s="218">
        <f t="shared" si="55"/>
        <v>0</v>
      </c>
      <c r="BL48" s="218">
        <f t="shared" si="55"/>
        <v>0</v>
      </c>
      <c r="BM48" s="218">
        <f t="shared" si="55"/>
        <v>0</v>
      </c>
      <c r="BN48" s="218">
        <f t="shared" si="55"/>
        <v>0</v>
      </c>
      <c r="BO48" s="218">
        <f t="shared" si="55"/>
        <v>0</v>
      </c>
      <c r="BP48" s="218">
        <f t="shared" si="55"/>
        <v>0</v>
      </c>
      <c r="BQ48" s="218">
        <f t="shared" si="55"/>
        <v>0</v>
      </c>
      <c r="BR48" s="218">
        <f t="shared" si="55"/>
        <v>0</v>
      </c>
    </row>
    <row r="49" spans="4:70" ht="14" x14ac:dyDescent="0.3">
      <c r="D49" s="218">
        <f t="shared" ref="D49" si="56">SUM(D23:D24)-D27</f>
        <v>0</v>
      </c>
      <c r="E49" s="218">
        <f t="shared" ref="E49:F49" si="57">SUM(E23:E24)-E27</f>
        <v>0</v>
      </c>
      <c r="F49" s="218">
        <f t="shared" si="57"/>
        <v>0</v>
      </c>
      <c r="I49" s="218">
        <f t="shared" ref="I49:J49" si="58">SUM(I23:I24)-I27</f>
        <v>0</v>
      </c>
      <c r="J49" s="218">
        <f t="shared" si="58"/>
        <v>0</v>
      </c>
      <c r="K49" s="218">
        <f t="shared" ref="K49" si="59">SUM(K23:K24)-K27</f>
        <v>0</v>
      </c>
      <c r="L49" s="218"/>
      <c r="M49" s="218">
        <f t="shared" ref="M49:U49" si="60">SUM(M23:M24)-M27</f>
        <v>0</v>
      </c>
      <c r="N49" s="218">
        <f t="shared" si="60"/>
        <v>0</v>
      </c>
      <c r="O49" s="218">
        <f t="shared" si="60"/>
        <v>0</v>
      </c>
      <c r="P49" s="218">
        <f t="shared" si="60"/>
        <v>0</v>
      </c>
      <c r="Q49" s="218">
        <f t="shared" si="60"/>
        <v>0</v>
      </c>
      <c r="R49" s="218">
        <f t="shared" si="60"/>
        <v>0</v>
      </c>
      <c r="S49" s="218">
        <f t="shared" si="60"/>
        <v>0</v>
      </c>
      <c r="T49" s="218">
        <f t="shared" si="60"/>
        <v>0</v>
      </c>
      <c r="U49" s="218">
        <f t="shared" si="60"/>
        <v>0</v>
      </c>
      <c r="V49" s="218">
        <f t="shared" ref="V49:BR49" si="61">SUM(V23:V24)-V27</f>
        <v>0</v>
      </c>
      <c r="W49" s="218">
        <f t="shared" si="61"/>
        <v>0</v>
      </c>
      <c r="X49" s="218">
        <f t="shared" si="61"/>
        <v>0</v>
      </c>
      <c r="Y49" s="218">
        <f t="shared" si="61"/>
        <v>0</v>
      </c>
      <c r="Z49" s="218">
        <f t="shared" si="61"/>
        <v>0</v>
      </c>
      <c r="AA49" s="218">
        <f t="shared" si="61"/>
        <v>0</v>
      </c>
      <c r="AB49" s="218">
        <f t="shared" si="61"/>
        <v>0</v>
      </c>
      <c r="AC49" s="218">
        <f t="shared" si="61"/>
        <v>0</v>
      </c>
      <c r="AD49" s="218">
        <f t="shared" si="61"/>
        <v>0</v>
      </c>
      <c r="AE49" s="218">
        <f t="shared" si="61"/>
        <v>0</v>
      </c>
      <c r="AF49" s="218">
        <f t="shared" si="61"/>
        <v>0</v>
      </c>
      <c r="AG49" s="218">
        <f t="shared" si="61"/>
        <v>0</v>
      </c>
      <c r="AH49" s="218">
        <f t="shared" si="61"/>
        <v>0</v>
      </c>
      <c r="AI49" s="218">
        <f t="shared" si="61"/>
        <v>0</v>
      </c>
      <c r="AJ49" s="218">
        <f t="shared" si="61"/>
        <v>0</v>
      </c>
      <c r="AK49" s="218">
        <f t="shared" si="61"/>
        <v>0</v>
      </c>
      <c r="AL49" s="218">
        <f t="shared" si="61"/>
        <v>0</v>
      </c>
      <c r="AM49" s="218">
        <f t="shared" si="61"/>
        <v>0</v>
      </c>
      <c r="AN49" s="218">
        <f t="shared" si="61"/>
        <v>0</v>
      </c>
      <c r="AO49" s="218">
        <f t="shared" si="61"/>
        <v>0</v>
      </c>
      <c r="AP49" s="218">
        <f t="shared" si="61"/>
        <v>0</v>
      </c>
      <c r="AQ49" s="218">
        <f t="shared" si="61"/>
        <v>0</v>
      </c>
      <c r="AR49" s="218">
        <f t="shared" si="61"/>
        <v>0</v>
      </c>
      <c r="AS49" s="218">
        <f t="shared" si="61"/>
        <v>0</v>
      </c>
      <c r="AT49" s="218">
        <f t="shared" si="61"/>
        <v>0</v>
      </c>
      <c r="AU49" s="218">
        <f t="shared" si="61"/>
        <v>0</v>
      </c>
      <c r="AV49" s="218">
        <f t="shared" si="61"/>
        <v>0</v>
      </c>
      <c r="AW49" s="218">
        <f t="shared" si="61"/>
        <v>0</v>
      </c>
      <c r="AX49" s="218">
        <f t="shared" si="61"/>
        <v>0</v>
      </c>
      <c r="AY49" s="218">
        <f t="shared" si="61"/>
        <v>0</v>
      </c>
      <c r="AZ49" s="218">
        <f t="shared" si="61"/>
        <v>0</v>
      </c>
      <c r="BA49" s="218">
        <f t="shared" si="61"/>
        <v>0</v>
      </c>
      <c r="BB49" s="218">
        <f t="shared" si="61"/>
        <v>0</v>
      </c>
      <c r="BC49" s="218">
        <f t="shared" si="61"/>
        <v>0</v>
      </c>
      <c r="BD49" s="218">
        <f t="shared" si="61"/>
        <v>0</v>
      </c>
      <c r="BE49" s="218">
        <f t="shared" si="61"/>
        <v>0</v>
      </c>
      <c r="BF49" s="218">
        <f t="shared" si="61"/>
        <v>0</v>
      </c>
      <c r="BG49" s="218">
        <f t="shared" si="61"/>
        <v>0</v>
      </c>
      <c r="BH49" s="218">
        <f t="shared" si="61"/>
        <v>0</v>
      </c>
      <c r="BI49" s="218">
        <f t="shared" si="61"/>
        <v>0</v>
      </c>
      <c r="BJ49" s="218">
        <f t="shared" si="61"/>
        <v>0</v>
      </c>
      <c r="BK49" s="218">
        <f t="shared" si="61"/>
        <v>0</v>
      </c>
      <c r="BL49" s="218">
        <f t="shared" si="61"/>
        <v>0</v>
      </c>
      <c r="BM49" s="218">
        <f t="shared" si="61"/>
        <v>0</v>
      </c>
      <c r="BN49" s="218">
        <f t="shared" si="61"/>
        <v>0</v>
      </c>
      <c r="BO49" s="218">
        <f t="shared" si="61"/>
        <v>0</v>
      </c>
      <c r="BP49" s="218">
        <f t="shared" si="61"/>
        <v>0</v>
      </c>
      <c r="BQ49" s="218">
        <f t="shared" si="61"/>
        <v>0</v>
      </c>
      <c r="BR49" s="218">
        <f t="shared" si="61"/>
        <v>0</v>
      </c>
    </row>
    <row r="50" spans="4:70" ht="14" x14ac:dyDescent="0.3">
      <c r="D50" s="218">
        <f t="shared" ref="D50" si="62">SUM(D32:D33)-D31</f>
        <v>0</v>
      </c>
      <c r="E50" s="218">
        <f t="shared" ref="E50:F50" si="63">SUM(E32:E33)-E31</f>
        <v>0</v>
      </c>
      <c r="F50" s="218">
        <f t="shared" si="63"/>
        <v>0</v>
      </c>
      <c r="I50" s="218">
        <f t="shared" ref="I50:J50" si="64">SUM(I32:I33)-I31</f>
        <v>0</v>
      </c>
      <c r="J50" s="218">
        <f t="shared" si="64"/>
        <v>0</v>
      </c>
      <c r="K50" s="218">
        <f t="shared" ref="K50" si="65">SUM(K32:K33)-K31</f>
        <v>0</v>
      </c>
      <c r="L50" s="218"/>
      <c r="M50" s="218">
        <f t="shared" ref="M50:U50" si="66">SUM(M32:M33)-M31</f>
        <v>0</v>
      </c>
      <c r="N50" s="218">
        <f t="shared" si="66"/>
        <v>0</v>
      </c>
      <c r="O50" s="218">
        <f t="shared" si="66"/>
        <v>0</v>
      </c>
      <c r="P50" s="218">
        <f t="shared" si="66"/>
        <v>0</v>
      </c>
      <c r="Q50" s="218">
        <f t="shared" si="66"/>
        <v>0</v>
      </c>
      <c r="R50" s="218">
        <f t="shared" si="66"/>
        <v>0</v>
      </c>
      <c r="S50" s="218">
        <f t="shared" si="66"/>
        <v>0</v>
      </c>
      <c r="T50" s="218">
        <f t="shared" si="66"/>
        <v>0</v>
      </c>
      <c r="U50" s="218">
        <f t="shared" si="66"/>
        <v>0</v>
      </c>
      <c r="V50" s="218">
        <f t="shared" ref="V50:BR50" si="67">SUM(V32:V33)-V31</f>
        <v>0</v>
      </c>
      <c r="W50" s="218">
        <f t="shared" si="67"/>
        <v>0</v>
      </c>
      <c r="X50" s="218">
        <f t="shared" si="67"/>
        <v>0</v>
      </c>
      <c r="Y50" s="218">
        <f t="shared" si="67"/>
        <v>0</v>
      </c>
      <c r="Z50" s="218">
        <f t="shared" si="67"/>
        <v>0</v>
      </c>
      <c r="AA50" s="218">
        <f t="shared" si="67"/>
        <v>0</v>
      </c>
      <c r="AB50" s="218">
        <f t="shared" si="67"/>
        <v>0</v>
      </c>
      <c r="AC50" s="218">
        <f t="shared" si="67"/>
        <v>0</v>
      </c>
      <c r="AD50" s="218">
        <f t="shared" si="67"/>
        <v>0</v>
      </c>
      <c r="AE50" s="218">
        <f t="shared" si="67"/>
        <v>0</v>
      </c>
      <c r="AF50" s="218">
        <f t="shared" si="67"/>
        <v>0</v>
      </c>
      <c r="AG50" s="218">
        <f t="shared" si="67"/>
        <v>0</v>
      </c>
      <c r="AH50" s="218">
        <f t="shared" si="67"/>
        <v>0</v>
      </c>
      <c r="AI50" s="218">
        <f t="shared" si="67"/>
        <v>0</v>
      </c>
      <c r="AJ50" s="218">
        <f t="shared" si="67"/>
        <v>0</v>
      </c>
      <c r="AK50" s="218">
        <f t="shared" si="67"/>
        <v>0</v>
      </c>
      <c r="AL50" s="218">
        <f t="shared" si="67"/>
        <v>0</v>
      </c>
      <c r="AM50" s="218">
        <f t="shared" si="67"/>
        <v>0</v>
      </c>
      <c r="AN50" s="218">
        <f t="shared" si="67"/>
        <v>0</v>
      </c>
      <c r="AO50" s="218">
        <f t="shared" si="67"/>
        <v>0</v>
      </c>
      <c r="AP50" s="218">
        <f t="shared" si="67"/>
        <v>0</v>
      </c>
      <c r="AQ50" s="218">
        <f t="shared" si="67"/>
        <v>0</v>
      </c>
      <c r="AR50" s="218">
        <f t="shared" si="67"/>
        <v>0</v>
      </c>
      <c r="AS50" s="218">
        <f t="shared" si="67"/>
        <v>0</v>
      </c>
      <c r="AT50" s="218">
        <f t="shared" si="67"/>
        <v>0</v>
      </c>
      <c r="AU50" s="218">
        <f t="shared" si="67"/>
        <v>0</v>
      </c>
      <c r="AV50" s="218">
        <f t="shared" si="67"/>
        <v>0</v>
      </c>
      <c r="AW50" s="218">
        <f t="shared" si="67"/>
        <v>0</v>
      </c>
      <c r="AX50" s="218">
        <f t="shared" si="67"/>
        <v>0</v>
      </c>
      <c r="AY50" s="218">
        <f t="shared" si="67"/>
        <v>0</v>
      </c>
      <c r="AZ50" s="218">
        <f t="shared" si="67"/>
        <v>0</v>
      </c>
      <c r="BA50" s="218">
        <f t="shared" si="67"/>
        <v>0</v>
      </c>
      <c r="BB50" s="218">
        <f t="shared" si="67"/>
        <v>0</v>
      </c>
      <c r="BC50" s="218">
        <f t="shared" si="67"/>
        <v>0</v>
      </c>
      <c r="BD50" s="218">
        <f t="shared" si="67"/>
        <v>0</v>
      </c>
      <c r="BE50" s="218">
        <f t="shared" si="67"/>
        <v>0</v>
      </c>
      <c r="BF50" s="218">
        <f t="shared" si="67"/>
        <v>0</v>
      </c>
      <c r="BG50" s="218">
        <f t="shared" si="67"/>
        <v>0</v>
      </c>
      <c r="BH50" s="218">
        <f t="shared" si="67"/>
        <v>0</v>
      </c>
      <c r="BI50" s="218">
        <f t="shared" si="67"/>
        <v>0</v>
      </c>
      <c r="BJ50" s="218">
        <f t="shared" si="67"/>
        <v>0</v>
      </c>
      <c r="BK50" s="218">
        <f t="shared" si="67"/>
        <v>0</v>
      </c>
      <c r="BL50" s="218">
        <f t="shared" si="67"/>
        <v>0</v>
      </c>
      <c r="BM50" s="218">
        <f t="shared" si="67"/>
        <v>0</v>
      </c>
      <c r="BN50" s="218">
        <f t="shared" si="67"/>
        <v>0</v>
      </c>
      <c r="BO50" s="218">
        <f t="shared" si="67"/>
        <v>0</v>
      </c>
      <c r="BP50" s="218">
        <f t="shared" si="67"/>
        <v>0</v>
      </c>
      <c r="BQ50" s="218">
        <f t="shared" si="67"/>
        <v>0</v>
      </c>
      <c r="BR50" s="218">
        <f t="shared" si="67"/>
        <v>0</v>
      </c>
    </row>
    <row r="52" spans="4:70" x14ac:dyDescent="0.25">
      <c r="I52" s="137">
        <v>0</v>
      </c>
      <c r="J52" s="137"/>
      <c r="P52" s="137">
        <v>0</v>
      </c>
      <c r="Q52" s="137"/>
      <c r="R52" s="137">
        <v>0</v>
      </c>
      <c r="S52" s="137"/>
      <c r="T52" s="137">
        <v>0</v>
      </c>
      <c r="U52" s="137">
        <v>0</v>
      </c>
      <c r="V52" s="137"/>
      <c r="W52" s="137">
        <v>0</v>
      </c>
      <c r="X52" s="137"/>
      <c r="Y52" s="137">
        <v>0</v>
      </c>
      <c r="Z52" s="137"/>
      <c r="AA52" s="137">
        <v>0</v>
      </c>
      <c r="AB52" s="137">
        <v>0</v>
      </c>
      <c r="AC52" s="137"/>
      <c r="AD52" s="137">
        <v>0</v>
      </c>
      <c r="AE52" s="137"/>
      <c r="AF52" s="137">
        <v>0</v>
      </c>
      <c r="AG52" s="137"/>
      <c r="AH52" s="137">
        <v>0</v>
      </c>
      <c r="AI52" s="137">
        <v>0</v>
      </c>
      <c r="AJ52" s="137"/>
      <c r="AK52" s="137">
        <v>0</v>
      </c>
      <c r="AL52" s="137"/>
      <c r="AM52" s="137">
        <v>0</v>
      </c>
      <c r="AN52" s="137"/>
      <c r="AO52" s="137">
        <v>0</v>
      </c>
      <c r="AP52" s="137">
        <v>0</v>
      </c>
      <c r="AQ52" s="137"/>
      <c r="AR52" s="137">
        <v>0</v>
      </c>
      <c r="AS52" s="137"/>
      <c r="AT52" s="137">
        <v>0</v>
      </c>
      <c r="AU52" s="137"/>
      <c r="AV52" s="137">
        <v>0</v>
      </c>
      <c r="AW52" s="137">
        <v>0</v>
      </c>
      <c r="AX52" s="137"/>
      <c r="AY52" s="137">
        <v>0</v>
      </c>
      <c r="AZ52" s="137"/>
      <c r="BA52" s="137">
        <v>0</v>
      </c>
      <c r="BB52" s="137"/>
      <c r="BC52" s="137">
        <v>0</v>
      </c>
      <c r="BD52" s="137">
        <v>0</v>
      </c>
      <c r="BE52" s="137"/>
      <c r="BF52" s="137">
        <v>0</v>
      </c>
      <c r="BG52" s="137"/>
      <c r="BH52" s="137">
        <v>0</v>
      </c>
      <c r="BI52" s="137"/>
      <c r="BJ52" s="137">
        <v>0</v>
      </c>
      <c r="BK52" s="137">
        <v>0</v>
      </c>
      <c r="BL52" s="137"/>
      <c r="BM52" s="137">
        <v>0</v>
      </c>
      <c r="BN52" s="137"/>
      <c r="BO52" s="137">
        <v>0</v>
      </c>
      <c r="BP52" s="137"/>
      <c r="BQ52" s="137">
        <v>0</v>
      </c>
      <c r="BR52" s="137">
        <v>0</v>
      </c>
    </row>
    <row r="53" spans="4:70" x14ac:dyDescent="0.25">
      <c r="R53" s="137"/>
      <c r="T53" s="137"/>
      <c r="U53" s="137"/>
      <c r="W53" s="137"/>
      <c r="Y53" s="137"/>
      <c r="AA53" s="137"/>
      <c r="AB53" s="137"/>
      <c r="AD53" s="137"/>
      <c r="AF53" s="137"/>
      <c r="AH53" s="137"/>
      <c r="AI53" s="137"/>
      <c r="AK53" s="137"/>
      <c r="AM53" s="137"/>
      <c r="AO53" s="137"/>
      <c r="AP53" s="137"/>
      <c r="AR53" s="137"/>
      <c r="AT53" s="137"/>
      <c r="AV53" s="137"/>
      <c r="AW53" s="137"/>
      <c r="AY53" s="137"/>
      <c r="BA53" s="137"/>
      <c r="BC53" s="137"/>
      <c r="BD53" s="137"/>
      <c r="BF53" s="137"/>
      <c r="BH53" s="137"/>
      <c r="BJ53" s="137"/>
      <c r="BK53" s="137"/>
      <c r="BM53" s="137"/>
      <c r="BO53" s="137"/>
      <c r="BQ53" s="137"/>
      <c r="BR53" s="137"/>
    </row>
    <row r="54" spans="4:70" x14ac:dyDescent="0.25">
      <c r="I54" s="30">
        <v>0</v>
      </c>
      <c r="P54" s="30">
        <v>0</v>
      </c>
      <c r="R54" s="137">
        <v>0</v>
      </c>
      <c r="T54" s="137">
        <v>0</v>
      </c>
      <c r="U54" s="137">
        <v>0</v>
      </c>
      <c r="W54" s="137">
        <v>0</v>
      </c>
      <c r="Y54" s="137">
        <v>0</v>
      </c>
      <c r="AA54" s="137">
        <v>0</v>
      </c>
      <c r="AB54" s="137">
        <v>0</v>
      </c>
      <c r="AD54" s="137">
        <v>0</v>
      </c>
      <c r="AF54" s="137">
        <v>0</v>
      </c>
      <c r="AH54" s="137">
        <v>0</v>
      </c>
      <c r="AI54" s="137">
        <v>0</v>
      </c>
      <c r="AK54" s="137">
        <v>0</v>
      </c>
      <c r="AM54" s="137">
        <v>0</v>
      </c>
      <c r="AO54" s="137">
        <v>0</v>
      </c>
      <c r="AP54" s="137">
        <v>0</v>
      </c>
      <c r="AR54" s="137">
        <v>0</v>
      </c>
      <c r="AT54" s="137">
        <v>0</v>
      </c>
      <c r="AV54" s="137">
        <v>0</v>
      </c>
      <c r="AW54" s="137">
        <v>0</v>
      </c>
      <c r="AY54" s="137">
        <v>0</v>
      </c>
      <c r="BA54" s="137">
        <v>0</v>
      </c>
      <c r="BC54" s="137">
        <v>0</v>
      </c>
      <c r="BD54" s="137">
        <v>0</v>
      </c>
      <c r="BF54" s="137">
        <v>0</v>
      </c>
      <c r="BH54" s="137">
        <v>0</v>
      </c>
      <c r="BJ54" s="137">
        <v>0</v>
      </c>
      <c r="BK54" s="137">
        <v>0</v>
      </c>
      <c r="BM54" s="137">
        <v>0</v>
      </c>
      <c r="BO54" s="137">
        <v>0</v>
      </c>
      <c r="BQ54" s="137">
        <v>0</v>
      </c>
      <c r="BR54" s="137">
        <v>0</v>
      </c>
    </row>
  </sheetData>
  <pageMargins left="0.511811024" right="0.511811024" top="0.78740157499999996" bottom="0.78740157499999996" header="0.31496062000000002" footer="0.31496062000000002"/>
  <pageSetup orientation="portrait" r:id="rId1"/>
  <headerFooter>
    <oddFooter>&amp;C&amp;1#&amp;"Calibri"&amp;10&amp;K000000INFORMAÇÃO INTERNA – INTERNAL INFORMATION</oddFooter>
  </headerFooter>
  <customProperties>
    <customPr name="OrphanNamesChecked" r:id="rId2"/>
  </customProperties>
  <ignoredErrors>
    <ignoredError sqref="AI43:AI47" formulaRange="1"/>
    <ignoredError sqref="K16 K20 K22 K21 K23:K27 K31" formula="1"/>
  </ignoredErrors>
</worksheet>
</file>

<file path=docMetadata/LabelInfo.xml><?xml version="1.0" encoding="utf-8"?>
<clbl:labelList xmlns:clbl="http://schemas.microsoft.com/office/2020/mipLabelMetadata">
  <clbl:label id="{4bb6bc27-bd35-4ad1-a043-eb72dfe2e79d}" enabled="1" method="Standard" siteId="{58288272-c24c-4c0c-bc60-dc0cbadd086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Home</vt:lpstr>
      <vt:lpstr>Indicadores | KPI</vt:lpstr>
      <vt:lpstr>DRE- Income Statement</vt:lpstr>
      <vt:lpstr>Receita - Revenue</vt:lpstr>
      <vt:lpstr>EBITDA</vt:lpstr>
      <vt:lpstr>Balanço - Balance Sheet</vt:lpstr>
      <vt:lpstr>BS - Consolidado</vt:lpstr>
      <vt:lpstr>P&amp;L - Consolidado</vt:lpstr>
    </vt:vector>
  </TitlesOfParts>
  <Company>MAXION Wheels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Aliny Takara</dc:creator>
  <cp:lastModifiedBy>Costa Caetano, Giovani</cp:lastModifiedBy>
  <dcterms:created xsi:type="dcterms:W3CDTF">2022-05-30T18:42:37Z</dcterms:created>
  <dcterms:modified xsi:type="dcterms:W3CDTF">2026-08-11T20:48:28Z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4bb6bc27-bd35-4ad1-a043-eb72dfe2e79d_Enabled">
    <vt:lpwstr>true</vt:lpwstr>
  </property>
  <property fmtid="{D5CDD505-2E9C-101B-9397-08002B2CF9AE}" pid="5" name="MSIP_Label_4bb6bc27-bd35-4ad1-a043-eb72dfe2e79d_SetDate">
    <vt:lpwstr>2025-01-16T14:03:54Z</vt:lpwstr>
  </property>
  <property fmtid="{D5CDD505-2E9C-101B-9397-08002B2CF9AE}" pid="6" name="MSIP_Label_4bb6bc27-bd35-4ad1-a043-eb72dfe2e79d_Method">
    <vt:lpwstr>Standard</vt:lpwstr>
  </property>
  <property fmtid="{D5CDD505-2E9C-101B-9397-08002B2CF9AE}" pid="7" name="MSIP_Label_4bb6bc27-bd35-4ad1-a043-eb72dfe2e79d_Name">
    <vt:lpwstr>Confidential Info - Internal</vt:lpwstr>
  </property>
  <property fmtid="{D5CDD505-2E9C-101B-9397-08002B2CF9AE}" pid="8" name="MSIP_Label_4bb6bc27-bd35-4ad1-a043-eb72dfe2e79d_SiteId">
    <vt:lpwstr>58288272-c24c-4c0c-bc60-dc0cbadd0866</vt:lpwstr>
  </property>
  <property fmtid="{D5CDD505-2E9C-101B-9397-08002B2CF9AE}" pid="9" name="MSIP_Label_4bb6bc27-bd35-4ad1-a043-eb72dfe2e79d_ActionId">
    <vt:lpwstr>d3ff94e1-d199-4c4f-a447-8122a39ff655</vt:lpwstr>
  </property>
  <property fmtid="{D5CDD505-2E9C-101B-9397-08002B2CF9AE}" pid="10" name="MSIP_Label_4bb6bc27-bd35-4ad1-a043-eb72dfe2e79d_ContentBits">
    <vt:lpwstr>0</vt:lpwstr>
  </property>
</Properties>
</file>