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Financial Statement/"/>
    </mc:Choice>
  </mc:AlternateContent>
  <xr:revisionPtr revIDLastSave="0" documentId="13_ncr:1_{F6B2EAA9-F54E-B943-A8FE-71CA966C1F9E}" xr6:coauthVersionLast="47" xr6:coauthVersionMax="47" xr10:uidLastSave="{00000000-0000-0000-0000-000000000000}"/>
  <bookViews>
    <workbookView xWindow="260" yWindow="600" windowWidth="35840" windowHeight="20460" activeTab="2" xr2:uid="{00000000-000D-0000-FFFF-FFFF00000000}"/>
  </bookViews>
  <sheets>
    <sheet name="TESLA" sheetId="4" r:id="rId1"/>
    <sheet name="Ford Motors" sheetId="1" r:id="rId2"/>
    <sheet name="Ratio Analysi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2" i="3" l="1"/>
  <c r="D112" i="3" s="1"/>
  <c r="E112" i="3" s="1"/>
  <c r="C28" i="3"/>
  <c r="D28" i="3"/>
  <c r="E28" i="3"/>
  <c r="B28" i="3"/>
  <c r="C29" i="3"/>
  <c r="D29" i="3"/>
  <c r="E29" i="3"/>
  <c r="B29" i="3"/>
  <c r="B81" i="1" l="1"/>
  <c r="U4" i="3"/>
  <c r="V4" i="3" s="1"/>
  <c r="W4" i="3" s="1"/>
  <c r="D31" i="4"/>
  <c r="N90" i="3"/>
  <c r="O90" i="3" s="1"/>
  <c r="P90" i="3" s="1"/>
  <c r="C90" i="3"/>
  <c r="D90" i="3" s="1"/>
  <c r="E90" i="3" s="1"/>
  <c r="O67" i="3"/>
  <c r="P67" i="3" s="1"/>
  <c r="Q67" i="3" s="1"/>
  <c r="I67" i="3"/>
  <c r="J67" i="3" s="1"/>
  <c r="K67" i="3" s="1"/>
  <c r="C67" i="3"/>
  <c r="D67" i="3" s="1"/>
  <c r="E67" i="3" s="1"/>
  <c r="L46" i="3"/>
  <c r="M46" i="3" s="1"/>
  <c r="N46" i="3" s="1"/>
  <c r="C46" i="3"/>
  <c r="D46" i="3" s="1"/>
  <c r="E46" i="3" s="1"/>
  <c r="C27" i="3"/>
  <c r="D27" i="3" s="1"/>
  <c r="E27" i="3" s="1"/>
  <c r="O4" i="3"/>
  <c r="P4" i="3" s="1"/>
  <c r="Q4" i="3" s="1"/>
  <c r="I4" i="3"/>
  <c r="J4" i="3" s="1"/>
  <c r="K4" i="3" s="1"/>
  <c r="C4" i="3"/>
  <c r="D4" i="3" s="1"/>
  <c r="E4" i="3" s="1"/>
  <c r="E91" i="3"/>
  <c r="C47" i="4"/>
  <c r="C58" i="4" s="1"/>
  <c r="D47" i="4"/>
  <c r="D58" i="4" s="1"/>
  <c r="E47" i="4"/>
  <c r="B47" i="4"/>
  <c r="E9" i="4"/>
  <c r="E12" i="4" s="1"/>
  <c r="C9" i="4"/>
  <c r="C12" i="4" s="1"/>
  <c r="D9" i="4"/>
  <c r="D12" i="4" s="1"/>
  <c r="D14" i="4" s="1"/>
  <c r="D19" i="4" s="1"/>
  <c r="D24" i="4" s="1"/>
  <c r="D27" i="4" s="1"/>
  <c r="D29" i="4" s="1"/>
  <c r="B9" i="4"/>
  <c r="B12" i="4" s="1"/>
  <c r="C38" i="1"/>
  <c r="D38" i="1" s="1"/>
  <c r="E38" i="1" s="1"/>
  <c r="C5" i="1"/>
  <c r="D5" i="1" s="1"/>
  <c r="E5" i="1" s="1"/>
  <c r="D79" i="1"/>
  <c r="D81" i="1" s="1"/>
  <c r="D82" i="1" s="1"/>
  <c r="C79" i="1"/>
  <c r="C81" i="1" s="1"/>
  <c r="D68" i="1"/>
  <c r="C68" i="1"/>
  <c r="B68" i="1"/>
  <c r="D62" i="1"/>
  <c r="D69" i="1" s="1"/>
  <c r="C62" i="1"/>
  <c r="B62" i="1"/>
  <c r="B69" i="1" s="1"/>
  <c r="D47" i="1"/>
  <c r="D54" i="1" s="1"/>
  <c r="C47" i="1"/>
  <c r="C54" i="1" s="1"/>
  <c r="U6" i="3" s="1"/>
  <c r="B47" i="1"/>
  <c r="B54" i="1" s="1"/>
  <c r="T6" i="3" s="1"/>
  <c r="D10" i="1"/>
  <c r="D12" i="1" s="1"/>
  <c r="C10" i="1"/>
  <c r="C12" i="1" s="1"/>
  <c r="B10" i="1"/>
  <c r="H6" i="3" s="1"/>
  <c r="D82" i="4"/>
  <c r="C82" i="4"/>
  <c r="B82" i="4"/>
  <c r="D71" i="4"/>
  <c r="C71" i="4"/>
  <c r="B71" i="4"/>
  <c r="D66" i="4"/>
  <c r="C66" i="4"/>
  <c r="B66" i="4"/>
  <c r="C38" i="4"/>
  <c r="D38" i="4" s="1"/>
  <c r="E38" i="4" s="1"/>
  <c r="C5" i="4"/>
  <c r="D5" i="4" s="1"/>
  <c r="E5" i="4" s="1"/>
  <c r="E10" i="1"/>
  <c r="N92" i="3"/>
  <c r="O92" i="3"/>
  <c r="P92" i="3"/>
  <c r="M92" i="3"/>
  <c r="N91" i="3"/>
  <c r="O91" i="3"/>
  <c r="P91" i="3"/>
  <c r="M91" i="3"/>
  <c r="O69" i="3"/>
  <c r="P69" i="3"/>
  <c r="Q69" i="3"/>
  <c r="N69" i="3"/>
  <c r="I69" i="3"/>
  <c r="J69" i="3"/>
  <c r="K69" i="3"/>
  <c r="H69" i="3"/>
  <c r="E68" i="1"/>
  <c r="E71" i="4"/>
  <c r="B92" i="3"/>
  <c r="C92" i="3"/>
  <c r="D92" i="3"/>
  <c r="E92" i="3"/>
  <c r="C91" i="3"/>
  <c r="D91" i="3"/>
  <c r="B91" i="3"/>
  <c r="O68" i="3"/>
  <c r="P68" i="3"/>
  <c r="Q68" i="3"/>
  <c r="N68" i="3"/>
  <c r="I68" i="3"/>
  <c r="J68" i="3"/>
  <c r="K68" i="3"/>
  <c r="H68" i="3"/>
  <c r="E82" i="4"/>
  <c r="E58" i="4"/>
  <c r="E66" i="4"/>
  <c r="E79" i="1"/>
  <c r="E81" i="1" s="1"/>
  <c r="E82" i="1" s="1"/>
  <c r="E62" i="1"/>
  <c r="E69" i="1"/>
  <c r="E47" i="1"/>
  <c r="N48" i="3" s="1"/>
  <c r="V5" i="3" l="1"/>
  <c r="P5" i="3"/>
  <c r="B69" i="3"/>
  <c r="D69" i="3"/>
  <c r="B82" i="1"/>
  <c r="I6" i="3"/>
  <c r="E48" i="3"/>
  <c r="E54" i="1"/>
  <c r="D6" i="3"/>
  <c r="D15" i="1"/>
  <c r="P6" i="3" s="1"/>
  <c r="L48" i="3"/>
  <c r="B12" i="1"/>
  <c r="B15" i="1" s="1"/>
  <c r="N6" i="3" s="1"/>
  <c r="C69" i="3"/>
  <c r="E69" i="3"/>
  <c r="E12" i="1"/>
  <c r="B72" i="4"/>
  <c r="K47" i="3"/>
  <c r="E47" i="3"/>
  <c r="N47" i="3"/>
  <c r="E72" i="4"/>
  <c r="B47" i="3"/>
  <c r="E68" i="3"/>
  <c r="E14" i="4"/>
  <c r="E19" i="4" s="1"/>
  <c r="Q5" i="3" s="1"/>
  <c r="C15" i="1"/>
  <c r="C6" i="3"/>
  <c r="B48" i="3"/>
  <c r="M48" i="3"/>
  <c r="K48" i="3"/>
  <c r="C48" i="3"/>
  <c r="C69" i="1"/>
  <c r="D48" i="3"/>
  <c r="B68" i="3"/>
  <c r="B14" i="4"/>
  <c r="C14" i="4"/>
  <c r="U5" i="4"/>
  <c r="D72" i="4"/>
  <c r="B58" i="4"/>
  <c r="C72" i="4"/>
  <c r="M47" i="3"/>
  <c r="D47" i="3"/>
  <c r="C47" i="3"/>
  <c r="L47" i="3"/>
  <c r="D68" i="3"/>
  <c r="C68" i="3"/>
  <c r="D84" i="4" l="1"/>
  <c r="D86" i="4"/>
  <c r="E84" i="4"/>
  <c r="B84" i="4"/>
  <c r="C84" i="4"/>
  <c r="C82" i="1"/>
  <c r="D20" i="1"/>
  <c r="D22" i="1" s="1"/>
  <c r="D24" i="1" s="1"/>
  <c r="B20" i="1"/>
  <c r="B6" i="3"/>
  <c r="E6" i="3"/>
  <c r="E15" i="1"/>
  <c r="C19" i="4"/>
  <c r="C24" i="4" s="1"/>
  <c r="C27" i="4" s="1"/>
  <c r="C29" i="4" s="1"/>
  <c r="C31" i="4" s="1"/>
  <c r="U5" i="3" s="1"/>
  <c r="B19" i="4"/>
  <c r="E5" i="3"/>
  <c r="C20" i="1"/>
  <c r="O6" i="3"/>
  <c r="D5" i="3"/>
  <c r="B5" i="3"/>
  <c r="C5" i="3"/>
  <c r="B24" i="4" l="1"/>
  <c r="B27" i="4" s="1"/>
  <c r="B29" i="4" s="1"/>
  <c r="N5" i="3"/>
  <c r="J6" i="3"/>
  <c r="V6" i="3"/>
  <c r="Q6" i="3"/>
  <c r="E20" i="1"/>
  <c r="E22" i="1" s="1"/>
  <c r="E24" i="1" s="1"/>
  <c r="E24" i="4"/>
  <c r="E27" i="4" s="1"/>
  <c r="E29" i="4" s="1"/>
  <c r="E31" i="4" s="1"/>
  <c r="W5" i="3" s="1"/>
  <c r="O5" i="3"/>
  <c r="H5" i="3" l="1"/>
  <c r="B31" i="4"/>
  <c r="T5" i="3" s="1"/>
  <c r="K6" i="3"/>
  <c r="W6" i="3"/>
  <c r="K5" i="3"/>
  <c r="J5" i="3"/>
  <c r="I5" i="3"/>
</calcChain>
</file>

<file path=xl/sharedStrings.xml><?xml version="1.0" encoding="utf-8"?>
<sst xmlns="http://schemas.openxmlformats.org/spreadsheetml/2006/main" count="247" uniqueCount="169">
  <si>
    <t xml:space="preserve">Ford Group </t>
  </si>
  <si>
    <t>Income statement for the Group</t>
  </si>
  <si>
    <t>In $ million , except per share amounts</t>
  </si>
  <si>
    <t xml:space="preserve">Revenues </t>
  </si>
  <si>
    <t>Automotive</t>
  </si>
  <si>
    <t>Ford Credit</t>
  </si>
  <si>
    <t>Mobility</t>
  </si>
  <si>
    <t>Total Revenue</t>
  </si>
  <si>
    <t xml:space="preserve">Cost of sales </t>
  </si>
  <si>
    <t>Ford Credit interest , operating, and other expenses</t>
  </si>
  <si>
    <t xml:space="preserve">Interest expense on Other debt </t>
  </si>
  <si>
    <t xml:space="preserve">Other Income/(loss),net </t>
  </si>
  <si>
    <t xml:space="preserve">Equity in net income(loss) of affiliated companies </t>
  </si>
  <si>
    <t xml:space="preserve">Income/(loss) before income taxes </t>
  </si>
  <si>
    <t xml:space="preserve">Provision for/(benefit from) income taxes </t>
  </si>
  <si>
    <t xml:space="preserve">Net income/(loss) </t>
  </si>
  <si>
    <t xml:space="preserve">Less: Income/(loss) attributable to Non controlling interest </t>
  </si>
  <si>
    <t xml:space="preserve">Net Income/(Loss) attributable to Ford Motor Company </t>
  </si>
  <si>
    <t>Basic Income/(Loss)</t>
  </si>
  <si>
    <t xml:space="preserve">Diluted Income/(loss) </t>
  </si>
  <si>
    <t>Weighted Average shares used in computation of earnings/(loss) per share</t>
  </si>
  <si>
    <t>Basic shares</t>
  </si>
  <si>
    <t>Diluted Shares</t>
  </si>
  <si>
    <t xml:space="preserve">Earnings/(loss) per share attributable to ford motor Company common </t>
  </si>
  <si>
    <t>-</t>
  </si>
  <si>
    <t>Assets</t>
  </si>
  <si>
    <t xml:space="preserve">Cash and cash equivalents </t>
  </si>
  <si>
    <t xml:space="preserve">Marketable securities </t>
  </si>
  <si>
    <t>Ford Credit finance receivables, net of allowance</t>
  </si>
  <si>
    <t xml:space="preserve">Trade and other receivables, net of allowance </t>
  </si>
  <si>
    <t xml:space="preserve">Inventories </t>
  </si>
  <si>
    <t xml:space="preserve">Asset held for sale </t>
  </si>
  <si>
    <t xml:space="preserve">Other assets </t>
  </si>
  <si>
    <t xml:space="preserve">Total Current assets </t>
  </si>
  <si>
    <t xml:space="preserve">Net investment in operating leases </t>
  </si>
  <si>
    <t>Net property</t>
  </si>
  <si>
    <t xml:space="preserve">Equity in net assets of affiliated companiess </t>
  </si>
  <si>
    <t xml:space="preserve">Deffered income taxes </t>
  </si>
  <si>
    <t xml:space="preserve">Total Assets </t>
  </si>
  <si>
    <t xml:space="preserve">Liabilities </t>
  </si>
  <si>
    <t>Payables</t>
  </si>
  <si>
    <t xml:space="preserve">other liabilities and deffered revenue </t>
  </si>
  <si>
    <t xml:space="preserve">Automotive debt payable within one year </t>
  </si>
  <si>
    <t xml:space="preserve">Ford Credit debt payable within one year </t>
  </si>
  <si>
    <t xml:space="preserve">Other debt payable within one year </t>
  </si>
  <si>
    <t xml:space="preserve">Liabilities held for sale </t>
  </si>
  <si>
    <t xml:space="preserve">Total Current liabilities </t>
  </si>
  <si>
    <t>Ford Credit long-term debt</t>
  </si>
  <si>
    <t>Other long-term debt</t>
  </si>
  <si>
    <t xml:space="preserve">Total liabilities </t>
  </si>
  <si>
    <t xml:space="preserve">Equity </t>
  </si>
  <si>
    <t>Common Stock</t>
  </si>
  <si>
    <t xml:space="preserve">Class B stock </t>
  </si>
  <si>
    <t xml:space="preserve">Capital in excess of par value of stock </t>
  </si>
  <si>
    <t xml:space="preserve">Retained earnings </t>
  </si>
  <si>
    <t>Accumulated other Comprehensive income/(Loss)</t>
  </si>
  <si>
    <t xml:space="preserve">Treasury stock </t>
  </si>
  <si>
    <t xml:space="preserve">Total equity attributable to Ford Motor Company </t>
  </si>
  <si>
    <t>Equity attributable to Non controlling interests</t>
  </si>
  <si>
    <t xml:space="preserve">Total equity </t>
  </si>
  <si>
    <t xml:space="preserve">Total liabilities and equity </t>
  </si>
  <si>
    <t xml:space="preserve">Reedemable NCI </t>
  </si>
  <si>
    <t xml:space="preserve">Total Liabilities and Shareholder equity </t>
  </si>
  <si>
    <t>Non-controlling interests in subsidiaries</t>
  </si>
  <si>
    <t>Accummulated deficit</t>
  </si>
  <si>
    <t>Accummulated other comprehensive gain (loss)</t>
  </si>
  <si>
    <t xml:space="preserve">Additional paid-in-capital </t>
  </si>
  <si>
    <t>Stockholder's equity</t>
  </si>
  <si>
    <t>Equity</t>
  </si>
  <si>
    <t>Convertible senoir notes</t>
  </si>
  <si>
    <t>Reedmeable noncontrolling interest in subsidiaries</t>
  </si>
  <si>
    <t>Total Liabilities</t>
  </si>
  <si>
    <t>Other long term-liabilities</t>
  </si>
  <si>
    <t xml:space="preserve">Resale value  guarantees,net of current portion </t>
  </si>
  <si>
    <t>Deffered revenue, net of current portion</t>
  </si>
  <si>
    <t>Long term Debt and finance leases, net of current portion</t>
  </si>
  <si>
    <t>Total Current Liabilities</t>
  </si>
  <si>
    <t xml:space="preserve">Current portion of debet and finance leases </t>
  </si>
  <si>
    <t>Customer deposite</t>
  </si>
  <si>
    <t>Resale value  guarantees</t>
  </si>
  <si>
    <t>Deffered revenue</t>
  </si>
  <si>
    <t>Accrued liabilities and other</t>
  </si>
  <si>
    <t>Account Payable</t>
  </si>
  <si>
    <t>Liabilities</t>
  </si>
  <si>
    <t>other non-current assets</t>
  </si>
  <si>
    <t xml:space="preserve">Restricted Cash, net of current portion </t>
  </si>
  <si>
    <t>MyPower customer notes receiveable, net of current portion</t>
  </si>
  <si>
    <t>Goodwilll</t>
  </si>
  <si>
    <t>Intangible assets, net</t>
  </si>
  <si>
    <t>Operating lease right-of-use assets</t>
  </si>
  <si>
    <t>Property, Plant and equipment, net</t>
  </si>
  <si>
    <t>Solar Energy Systems, net</t>
  </si>
  <si>
    <t>Operating lease Vehicles, net</t>
  </si>
  <si>
    <t xml:space="preserve">Total Current Assets </t>
  </si>
  <si>
    <t xml:space="preserve">Prepaid Expenses and other Current Assets </t>
  </si>
  <si>
    <t>Inventory</t>
  </si>
  <si>
    <t>Account Receivable , net</t>
  </si>
  <si>
    <t xml:space="preserve">Restricted Cash </t>
  </si>
  <si>
    <t>Cash and Cash equivalents</t>
  </si>
  <si>
    <t>Current assets</t>
  </si>
  <si>
    <t>All ammounts are in € million</t>
  </si>
  <si>
    <t>Balance Sheet for the group</t>
  </si>
  <si>
    <t>TESLA MOTOR</t>
  </si>
  <si>
    <t xml:space="preserve">Net income (loss) use to computing net income (loss) per share of common stock </t>
  </si>
  <si>
    <t xml:space="preserve">Less: Buy-out of noncontrolling inetrest </t>
  </si>
  <si>
    <t>Net income  (loss) attributed to common shareholders</t>
  </si>
  <si>
    <t>Net income  (loss) attributed to noncontrolling interests &amp; redmeeable noncontrolling intereest in subsidiaries</t>
  </si>
  <si>
    <t>Provision for income taxes</t>
  </si>
  <si>
    <t>Other (expenses) income, net</t>
  </si>
  <si>
    <t>Interest expense</t>
  </si>
  <si>
    <t>Interest Income</t>
  </si>
  <si>
    <t>Other operating expenses</t>
  </si>
  <si>
    <t>Restructuring &amp; other Expenses</t>
  </si>
  <si>
    <t>SG&amp;A</t>
  </si>
  <si>
    <t xml:space="preserve">Research and Development </t>
  </si>
  <si>
    <t>Gross profit</t>
  </si>
  <si>
    <t>Cost of Revenue</t>
  </si>
  <si>
    <t xml:space="preserve">Total Revenue </t>
  </si>
  <si>
    <t>In € million except EPS &amp; DPS</t>
  </si>
  <si>
    <t>Basic EPS in €</t>
  </si>
  <si>
    <t>Diluted EPS in €</t>
  </si>
  <si>
    <t xml:space="preserve">Ford Group Income Statement </t>
  </si>
  <si>
    <t>Tesla Motor Income Statement</t>
  </si>
  <si>
    <t>Testa Motor Balance Sheet</t>
  </si>
  <si>
    <t>Profitibilty Ratio</t>
  </si>
  <si>
    <t xml:space="preserve">Gross Profit Margin </t>
  </si>
  <si>
    <t xml:space="preserve">Tesla </t>
  </si>
  <si>
    <t>Ford</t>
  </si>
  <si>
    <t>Net Profit Margin</t>
  </si>
  <si>
    <t>Operating Profit Margin</t>
  </si>
  <si>
    <t>Profit (loss) before tax (PBT)</t>
  </si>
  <si>
    <t>Profit (loss) after tax (PAT)</t>
  </si>
  <si>
    <t>Gearing Ratio</t>
  </si>
  <si>
    <t xml:space="preserve">Liquidity Ratio </t>
  </si>
  <si>
    <t>Current Ratio</t>
  </si>
  <si>
    <t>Quick Ratio</t>
  </si>
  <si>
    <t>Receiveble Days</t>
  </si>
  <si>
    <t>Payable Days</t>
  </si>
  <si>
    <t>Inventory Days</t>
  </si>
  <si>
    <t>Investor Ratio</t>
  </si>
  <si>
    <t>Total Non-Current Liabilities</t>
  </si>
  <si>
    <t>Selling, administrative, and other expenses (SG&amp;A)</t>
  </si>
  <si>
    <t xml:space="preserve">Gross Profit </t>
  </si>
  <si>
    <t>Operating Income /(Loss)</t>
  </si>
  <si>
    <t>Automotive Sales</t>
  </si>
  <si>
    <t>Automotive Leasing</t>
  </si>
  <si>
    <t>Total Automotive Revenue</t>
  </si>
  <si>
    <t>Energy Generation &amp; Storage</t>
  </si>
  <si>
    <t xml:space="preserve">Service &amp; other </t>
  </si>
  <si>
    <t xml:space="preserve">Operating profit (loss) </t>
  </si>
  <si>
    <t>For the year ended 31 December 2018 - 2021</t>
  </si>
  <si>
    <t>Automotive Regulatory credits</t>
  </si>
  <si>
    <t>Short-term marketable securities</t>
  </si>
  <si>
    <t>Digital assets, net</t>
  </si>
  <si>
    <t>Common stock; $0.001 par value; 100</t>
  </si>
  <si>
    <t>Interest expense on company debt excluding Ford Credit</t>
  </si>
  <si>
    <t>Long-term debt excluding Ford Credit</t>
  </si>
  <si>
    <t>Solvancy Ratio</t>
  </si>
  <si>
    <t>Investory Relation Ratio</t>
  </si>
  <si>
    <t>Total shareholder's equity</t>
  </si>
  <si>
    <t>Liquidity Ratios</t>
  </si>
  <si>
    <t xml:space="preserve">Efficiency Ratios </t>
  </si>
  <si>
    <t>Return On Asset (ROA)</t>
  </si>
  <si>
    <t xml:space="preserve">Debt to Equity Ratio </t>
  </si>
  <si>
    <t>Total Debt</t>
  </si>
  <si>
    <t>Earning Per Share Ratio</t>
  </si>
  <si>
    <t>Diluted Earning Per Share Ratio</t>
  </si>
  <si>
    <t xml:space="preserve">Dividend Per Share Ratio </t>
  </si>
  <si>
    <t>DPS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</si>
</sst>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0_);\(#,##0.000\)"/>
    <numFmt numFmtId="165" formatCode="_-* #,##0.00_-;\-* #,##0.00_-;_-* &quot;-&quot;??_-;_-@_-"/>
    <numFmt numFmtId="166" formatCode="#,##0.000"/>
    <numFmt numFmtId="167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6"/>
      <color theme="1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  <font>
      <b/>
      <sz val="18"/>
      <color theme="1"/>
      <name val="Tahoma"/>
      <family val="2"/>
    </font>
    <font>
      <sz val="10"/>
      <color rgb="FF00B0F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rgb="FF0070C0"/>
      <name val="Cambria"/>
      <family val="1"/>
      <scheme val="major"/>
    </font>
    <font>
      <b/>
      <sz val="10"/>
      <color rgb="FF0070C0"/>
      <name val="Cambria"/>
      <family val="1"/>
      <scheme val="major"/>
    </font>
    <font>
      <b/>
      <sz val="11"/>
      <color theme="1"/>
      <name val="Century"/>
      <family val="1"/>
    </font>
    <font>
      <sz val="11"/>
      <color theme="1"/>
      <name val="Century"/>
      <family val="1"/>
    </font>
    <font>
      <b/>
      <sz val="12"/>
      <color theme="1"/>
      <name val="Century"/>
      <family val="1"/>
    </font>
    <font>
      <sz val="12"/>
      <color theme="1"/>
      <name val="Century"/>
      <family val="1"/>
    </font>
    <font>
      <b/>
      <sz val="12"/>
      <color theme="0"/>
      <name val="Century"/>
      <family val="1"/>
    </font>
    <font>
      <sz val="12"/>
      <color theme="0"/>
      <name val="Century"/>
      <family val="1"/>
    </font>
    <font>
      <b/>
      <sz val="18"/>
      <color theme="1"/>
      <name val="Calisto MT"/>
      <family val="1"/>
    </font>
    <font>
      <b/>
      <sz val="20"/>
      <color theme="1"/>
      <name val="Calisto MT"/>
      <family val="1"/>
    </font>
    <font>
      <b/>
      <sz val="11"/>
      <color theme="1"/>
      <name val="Calisto MT"/>
      <family val="1"/>
    </font>
    <font>
      <b/>
      <sz val="12"/>
      <color theme="1"/>
      <name val="Calisto MT"/>
      <family val="1"/>
    </font>
    <font>
      <b/>
      <sz val="14"/>
      <name val="Calisto MT"/>
      <family val="1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4F2732"/>
        <bgColor indexed="64"/>
      </patternFill>
    </fill>
    <fill>
      <patternFill patternType="solid">
        <fgColor rgb="FF0D5555"/>
        <bgColor indexed="64"/>
      </patternFill>
    </fill>
    <fill>
      <patternFill patternType="solid">
        <fgColor rgb="FF385A5A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ashDot">
        <color rgb="FF002060"/>
      </bottom>
      <diagonal/>
    </border>
    <border>
      <left style="dashDot">
        <color indexed="64"/>
      </left>
      <right/>
      <top/>
      <bottom style="dashDot">
        <color rgb="FF002060"/>
      </bottom>
      <diagonal/>
    </border>
    <border>
      <left/>
      <right/>
      <top/>
      <bottom style="dashDot">
        <color rgb="FF002060"/>
      </bottom>
      <diagonal/>
    </border>
    <border>
      <left/>
      <right style="dashDot">
        <color indexed="64"/>
      </right>
      <top/>
      <bottom style="dashDot">
        <color rgb="FF002060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2" borderId="0" applyNumberFormat="0" applyBorder="0" applyAlignment="0" applyProtection="0"/>
    <xf numFmtId="0" fontId="2" fillId="3" borderId="0" applyNumberFormat="0" applyBorder="0" applyAlignment="0" applyProtection="0"/>
  </cellStyleXfs>
  <cellXfs count="151">
    <xf numFmtId="0" fontId="0" fillId="0" borderId="0" xfId="0"/>
    <xf numFmtId="0" fontId="3" fillId="0" borderId="0" xfId="0" applyFont="1"/>
    <xf numFmtId="9" fontId="1" fillId="0" borderId="0" xfId="4" applyFont="1"/>
    <xf numFmtId="0" fontId="4" fillId="0" borderId="0" xfId="1" applyFill="1" applyAlignment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/>
    </xf>
    <xf numFmtId="41" fontId="5" fillId="0" borderId="2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1" fontId="5" fillId="0" borderId="4" xfId="0" applyNumberFormat="1" applyFont="1" applyBorder="1" applyAlignment="1">
      <alignment horizontal="center"/>
    </xf>
    <xf numFmtId="41" fontId="6" fillId="0" borderId="4" xfId="0" applyNumberFormat="1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37" fontId="0" fillId="0" borderId="0" xfId="0" applyNumberFormat="1"/>
    <xf numFmtId="164" fontId="19" fillId="0" borderId="2" xfId="0" applyNumberFormat="1" applyFont="1" applyBorder="1" applyAlignment="1">
      <alignment horizontal="right"/>
    </xf>
    <xf numFmtId="164" fontId="19" fillId="0" borderId="4" xfId="0" applyNumberFormat="1" applyFont="1" applyBorder="1" applyAlignment="1">
      <alignment horizontal="right"/>
    </xf>
    <xf numFmtId="164" fontId="20" fillId="0" borderId="2" xfId="0" applyNumberFormat="1" applyFont="1" applyBorder="1" applyAlignment="1">
      <alignment horizontal="right"/>
    </xf>
    <xf numFmtId="164" fontId="20" fillId="0" borderId="4" xfId="0" applyNumberFormat="1" applyFont="1" applyBorder="1" applyAlignment="1">
      <alignment horizontal="right"/>
    </xf>
    <xf numFmtId="164" fontId="20" fillId="0" borderId="6" xfId="0" applyNumberFormat="1" applyFont="1" applyBorder="1" applyAlignment="1">
      <alignment horizontal="right"/>
    </xf>
    <xf numFmtId="164" fontId="20" fillId="0" borderId="7" xfId="0" applyNumberFormat="1" applyFont="1" applyBorder="1" applyAlignment="1">
      <alignment horizontal="right"/>
    </xf>
    <xf numFmtId="164" fontId="15" fillId="0" borderId="6" xfId="0" applyNumberFormat="1" applyFont="1" applyBorder="1" applyAlignment="1">
      <alignment horizontal="right"/>
    </xf>
    <xf numFmtId="164" fontId="15" fillId="0" borderId="7" xfId="0" applyNumberFormat="1" applyFont="1" applyBorder="1" applyAlignment="1">
      <alignment horizontal="right"/>
    </xf>
    <xf numFmtId="164" fontId="17" fillId="0" borderId="4" xfId="0" applyNumberFormat="1" applyFont="1" applyBorder="1" applyAlignment="1">
      <alignment horizontal="right"/>
    </xf>
    <xf numFmtId="164" fontId="17" fillId="0" borderId="2" xfId="0" applyNumberFormat="1" applyFont="1" applyBorder="1" applyAlignment="1">
      <alignment horizontal="right"/>
    </xf>
    <xf numFmtId="164" fontId="15" fillId="0" borderId="2" xfId="0" applyNumberFormat="1" applyFont="1" applyBorder="1" applyAlignment="1">
      <alignment horizontal="right"/>
    </xf>
    <xf numFmtId="164" fontId="15" fillId="0" borderId="4" xfId="0" applyNumberFormat="1" applyFont="1" applyBorder="1" applyAlignment="1">
      <alignment horizontal="right"/>
    </xf>
    <xf numFmtId="164" fontId="20" fillId="0" borderId="7" xfId="3" applyNumberFormat="1" applyFont="1" applyFill="1" applyBorder="1" applyAlignment="1">
      <alignment horizontal="right" vertical="center"/>
    </xf>
    <xf numFmtId="164" fontId="15" fillId="0" borderId="10" xfId="0" applyNumberFormat="1" applyFont="1" applyBorder="1" applyAlignment="1">
      <alignment horizontal="right"/>
    </xf>
    <xf numFmtId="164" fontId="15" fillId="0" borderId="11" xfId="0" applyNumberFormat="1" applyFont="1" applyBorder="1" applyAlignment="1">
      <alignment horizontal="right"/>
    </xf>
    <xf numFmtId="164" fontId="20" fillId="0" borderId="10" xfId="3" applyNumberFormat="1" applyFont="1" applyFill="1" applyBorder="1" applyAlignment="1">
      <alignment horizontal="right" vertical="center"/>
    </xf>
    <xf numFmtId="164" fontId="20" fillId="0" borderId="11" xfId="3" applyNumberFormat="1" applyFont="1" applyFill="1" applyBorder="1" applyAlignment="1">
      <alignment horizontal="right" vertical="center"/>
    </xf>
    <xf numFmtId="166" fontId="19" fillId="0" borderId="2" xfId="0" applyNumberFormat="1" applyFont="1" applyBorder="1" applyAlignment="1">
      <alignment horizontal="right"/>
    </xf>
    <xf numFmtId="166" fontId="19" fillId="0" borderId="4" xfId="0" applyNumberFormat="1" applyFont="1" applyBorder="1" applyAlignment="1">
      <alignment horizontal="right"/>
    </xf>
    <xf numFmtId="166" fontId="15" fillId="0" borderId="6" xfId="0" applyNumberFormat="1" applyFont="1" applyBorder="1" applyAlignment="1">
      <alignment horizontal="right"/>
    </xf>
    <xf numFmtId="166" fontId="15" fillId="0" borderId="7" xfId="0" applyNumberFormat="1" applyFont="1" applyBorder="1" applyAlignment="1">
      <alignment horizontal="right"/>
    </xf>
    <xf numFmtId="166" fontId="15" fillId="0" borderId="2" xfId="0" applyNumberFormat="1" applyFont="1" applyBorder="1" applyAlignment="1">
      <alignment horizontal="right"/>
    </xf>
    <xf numFmtId="166" fontId="15" fillId="0" borderId="4" xfId="0" applyNumberFormat="1" applyFont="1" applyBorder="1" applyAlignment="1">
      <alignment horizontal="right"/>
    </xf>
    <xf numFmtId="166" fontId="19" fillId="0" borderId="4" xfId="0" applyNumberFormat="1" applyFont="1" applyBorder="1" applyAlignment="1">
      <alignment horizontal="center"/>
    </xf>
    <xf numFmtId="166" fontId="19" fillId="0" borderId="3" xfId="0" applyNumberFormat="1" applyFont="1" applyBorder="1" applyAlignment="1">
      <alignment horizontal="right"/>
    </xf>
    <xf numFmtId="166" fontId="19" fillId="0" borderId="5" xfId="0" applyNumberFormat="1" applyFont="1" applyBorder="1" applyAlignment="1">
      <alignment horizontal="right"/>
    </xf>
    <xf numFmtId="166" fontId="15" fillId="0" borderId="8" xfId="0" applyNumberFormat="1" applyFont="1" applyBorder="1" applyAlignment="1">
      <alignment horizontal="right"/>
    </xf>
    <xf numFmtId="166" fontId="15" fillId="0" borderId="9" xfId="0" applyNumberFormat="1" applyFont="1" applyBorder="1" applyAlignment="1">
      <alignment horizontal="right"/>
    </xf>
    <xf numFmtId="0" fontId="13" fillId="0" borderId="2" xfId="1" applyFont="1" applyFill="1" applyBorder="1" applyAlignment="1" applyProtection="1">
      <alignment horizontal="right" vertical="center" wrapText="1"/>
    </xf>
    <xf numFmtId="0" fontId="13" fillId="0" borderId="4" xfId="1" applyFont="1" applyFill="1" applyBorder="1" applyAlignment="1" applyProtection="1">
      <alignment horizontal="right"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2" fillId="0" borderId="2" xfId="0" applyFont="1" applyBorder="1" applyAlignment="1">
      <alignment horizontal="right"/>
    </xf>
    <xf numFmtId="0" fontId="12" fillId="0" borderId="4" xfId="0" applyFont="1" applyBorder="1" applyAlignment="1">
      <alignment horizontal="right" vertical="center"/>
    </xf>
    <xf numFmtId="0" fontId="12" fillId="0" borderId="4" xfId="0" applyFont="1" applyBorder="1" applyAlignment="1">
      <alignment horizontal="right"/>
    </xf>
    <xf numFmtId="39" fontId="14" fillId="0" borderId="2" xfId="0" applyNumberFormat="1" applyFont="1" applyBorder="1" applyAlignment="1">
      <alignment horizontal="right" vertical="center"/>
    </xf>
    <xf numFmtId="39" fontId="14" fillId="0" borderId="4" xfId="0" applyNumberFormat="1" applyFont="1" applyBorder="1" applyAlignment="1">
      <alignment horizontal="right" vertical="center"/>
    </xf>
    <xf numFmtId="39" fontId="15" fillId="0" borderId="6" xfId="0" applyNumberFormat="1" applyFont="1" applyBorder="1" applyAlignment="1">
      <alignment horizontal="right" vertical="center"/>
    </xf>
    <xf numFmtId="39" fontId="15" fillId="0" borderId="7" xfId="0" applyNumberFormat="1" applyFont="1" applyBorder="1" applyAlignment="1">
      <alignment horizontal="right" vertical="center"/>
    </xf>
    <xf numFmtId="39" fontId="14" fillId="0" borderId="10" xfId="0" applyNumberFormat="1" applyFont="1" applyBorder="1" applyAlignment="1">
      <alignment horizontal="right" vertical="center"/>
    </xf>
    <xf numFmtId="39" fontId="14" fillId="0" borderId="11" xfId="0" applyNumberFormat="1" applyFont="1" applyBorder="1" applyAlignment="1">
      <alignment horizontal="right" vertical="center"/>
    </xf>
    <xf numFmtId="39" fontId="15" fillId="0" borderId="10" xfId="0" applyNumberFormat="1" applyFont="1" applyBorder="1" applyAlignment="1">
      <alignment horizontal="right" vertical="center"/>
    </xf>
    <xf numFmtId="39" fontId="15" fillId="0" borderId="11" xfId="0" applyNumberFormat="1" applyFont="1" applyBorder="1" applyAlignment="1">
      <alignment horizontal="right" vertical="center"/>
    </xf>
    <xf numFmtId="39" fontId="16" fillId="0" borderId="6" xfId="0" applyNumberFormat="1" applyFont="1" applyBorder="1" applyAlignment="1">
      <alignment horizontal="right" vertical="center"/>
    </xf>
    <xf numFmtId="39" fontId="16" fillId="0" borderId="7" xfId="0" applyNumberFormat="1" applyFont="1" applyBorder="1" applyAlignment="1">
      <alignment horizontal="right" vertical="center"/>
    </xf>
    <xf numFmtId="39" fontId="17" fillId="0" borderId="2" xfId="0" applyNumberFormat="1" applyFont="1" applyBorder="1" applyAlignment="1">
      <alignment horizontal="right"/>
    </xf>
    <xf numFmtId="39" fontId="17" fillId="0" borderId="4" xfId="0" applyNumberFormat="1" applyFont="1" applyBorder="1" applyAlignment="1">
      <alignment horizontal="right" vertical="center"/>
    </xf>
    <xf numFmtId="39" fontId="17" fillId="0" borderId="4" xfId="0" applyNumberFormat="1" applyFont="1" applyBorder="1" applyAlignment="1">
      <alignment horizontal="right"/>
    </xf>
    <xf numFmtId="39" fontId="15" fillId="0" borderId="2" xfId="0" applyNumberFormat="1" applyFont="1" applyBorder="1" applyAlignment="1">
      <alignment horizontal="right"/>
    </xf>
    <xf numFmtId="39" fontId="15" fillId="0" borderId="4" xfId="0" applyNumberFormat="1" applyFont="1" applyBorder="1" applyAlignment="1">
      <alignment horizontal="right" vertical="center"/>
    </xf>
    <xf numFmtId="39" fontId="15" fillId="0" borderId="4" xfId="0" applyNumberFormat="1" applyFont="1" applyBorder="1" applyAlignment="1">
      <alignment horizontal="right"/>
    </xf>
    <xf numFmtId="39" fontId="15" fillId="0" borderId="6" xfId="0" applyNumberFormat="1" applyFont="1" applyBorder="1" applyAlignment="1">
      <alignment horizontal="right"/>
    </xf>
    <xf numFmtId="39" fontId="15" fillId="0" borderId="7" xfId="0" applyNumberFormat="1" applyFont="1" applyBorder="1" applyAlignment="1">
      <alignment horizontal="right"/>
    </xf>
    <xf numFmtId="39" fontId="15" fillId="0" borderId="10" xfId="0" applyNumberFormat="1" applyFont="1" applyBorder="1" applyAlignment="1">
      <alignment horizontal="right"/>
    </xf>
    <xf numFmtId="39" fontId="15" fillId="0" borderId="11" xfId="0" applyNumberFormat="1" applyFont="1" applyBorder="1" applyAlignment="1">
      <alignment horizontal="right"/>
    </xf>
    <xf numFmtId="39" fontId="17" fillId="0" borderId="6" xfId="0" applyNumberFormat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right"/>
    </xf>
    <xf numFmtId="0" fontId="8" fillId="0" borderId="7" xfId="0" applyFont="1" applyBorder="1" applyAlignment="1">
      <alignment horizontal="right" vertical="center"/>
    </xf>
    <xf numFmtId="42" fontId="9" fillId="0" borderId="2" xfId="0" applyNumberFormat="1" applyFont="1" applyBorder="1" applyAlignment="1">
      <alignment horizontal="right" vertical="center"/>
    </xf>
    <xf numFmtId="43" fontId="9" fillId="0" borderId="4" xfId="2" applyFont="1" applyFill="1" applyBorder="1" applyAlignment="1">
      <alignment horizontal="right"/>
    </xf>
    <xf numFmtId="4" fontId="14" fillId="0" borderId="2" xfId="0" applyNumberFormat="1" applyFont="1" applyBorder="1" applyAlignment="1">
      <alignment horizontal="right"/>
    </xf>
    <xf numFmtId="4" fontId="14" fillId="0" borderId="4" xfId="0" applyNumberFormat="1" applyFont="1" applyBorder="1" applyAlignment="1">
      <alignment horizontal="right"/>
    </xf>
    <xf numFmtId="4" fontId="15" fillId="0" borderId="6" xfId="0" applyNumberFormat="1" applyFont="1" applyBorder="1" applyAlignment="1">
      <alignment horizontal="right"/>
    </xf>
    <xf numFmtId="4" fontId="15" fillId="0" borderId="7" xfId="0" applyNumberFormat="1" applyFont="1" applyBorder="1" applyAlignment="1">
      <alignment horizontal="right" vertical="center"/>
    </xf>
    <xf numFmtId="4" fontId="15" fillId="0" borderId="7" xfId="0" applyNumberFormat="1" applyFont="1" applyBorder="1" applyAlignment="1">
      <alignment horizontal="right"/>
    </xf>
    <xf numFmtId="4" fontId="17" fillId="0" borderId="2" xfId="0" applyNumberFormat="1" applyFont="1" applyBorder="1" applyAlignment="1">
      <alignment horizontal="right" vertical="center"/>
    </xf>
    <xf numFmtId="4" fontId="17" fillId="0" borderId="4" xfId="2" applyNumberFormat="1" applyFont="1" applyFill="1" applyBorder="1" applyAlignment="1">
      <alignment horizontal="right"/>
    </xf>
    <xf numFmtId="4" fontId="17" fillId="0" borderId="4" xfId="0" applyNumberFormat="1" applyFont="1" applyBorder="1" applyAlignment="1">
      <alignment horizontal="right"/>
    </xf>
    <xf numFmtId="4" fontId="14" fillId="0" borderId="6" xfId="0" applyNumberFormat="1" applyFont="1" applyBorder="1" applyAlignment="1">
      <alignment horizontal="right"/>
    </xf>
    <xf numFmtId="4" fontId="14" fillId="0" borderId="7" xfId="0" applyNumberFormat="1" applyFont="1" applyBorder="1" applyAlignment="1">
      <alignment horizontal="right"/>
    </xf>
    <xf numFmtId="4" fontId="15" fillId="0" borderId="10" xfId="0" applyNumberFormat="1" applyFont="1" applyBorder="1" applyAlignment="1">
      <alignment horizontal="right"/>
    </xf>
    <xf numFmtId="4" fontId="15" fillId="0" borderId="11" xfId="0" applyNumberFormat="1" applyFont="1" applyBorder="1" applyAlignment="1">
      <alignment horizontal="right" vertical="center"/>
    </xf>
    <xf numFmtId="4" fontId="15" fillId="0" borderId="11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23" fillId="0" borderId="2" xfId="0" applyFont="1" applyBorder="1"/>
    <xf numFmtId="0" fontId="24" fillId="0" borderId="2" xfId="0" applyFont="1" applyBorder="1"/>
    <xf numFmtId="0" fontId="23" fillId="0" borderId="6" xfId="0" applyFont="1" applyBorder="1"/>
    <xf numFmtId="0" fontId="25" fillId="0" borderId="2" xfId="0" applyFont="1" applyBorder="1"/>
    <xf numFmtId="0" fontId="23" fillId="0" borderId="3" xfId="0" applyFont="1" applyBorder="1"/>
    <xf numFmtId="0" fontId="23" fillId="0" borderId="8" xfId="0" applyFont="1" applyBorder="1"/>
    <xf numFmtId="0" fontId="24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10" xfId="0" applyFont="1" applyBorder="1"/>
    <xf numFmtId="0" fontId="24" fillId="0" borderId="6" xfId="0" applyFont="1" applyBorder="1"/>
    <xf numFmtId="0" fontId="22" fillId="0" borderId="0" xfId="0" applyFont="1"/>
    <xf numFmtId="0" fontId="24" fillId="0" borderId="0" xfId="0" applyFont="1"/>
    <xf numFmtId="0" fontId="21" fillId="0" borderId="0" xfId="0" applyFont="1"/>
    <xf numFmtId="0" fontId="23" fillId="0" borderId="0" xfId="0" applyFont="1"/>
    <xf numFmtId="0" fontId="16" fillId="0" borderId="0" xfId="0" applyFont="1"/>
    <xf numFmtId="9" fontId="18" fillId="0" borderId="0" xfId="4" applyFont="1"/>
    <xf numFmtId="0" fontId="18" fillId="0" borderId="0" xfId="0" applyFont="1"/>
    <xf numFmtId="0" fontId="15" fillId="0" borderId="0" xfId="0" applyFont="1"/>
    <xf numFmtId="2" fontId="18" fillId="0" borderId="0" xfId="4" applyNumberFormat="1" applyFont="1"/>
    <xf numFmtId="0" fontId="25" fillId="6" borderId="1" xfId="6" applyFont="1" applyFill="1" applyBorder="1"/>
    <xf numFmtId="9" fontId="18" fillId="0" borderId="0" xfId="4" applyFont="1" applyBorder="1"/>
    <xf numFmtId="0" fontId="25" fillId="6" borderId="12" xfId="6" applyFont="1" applyFill="1" applyBorder="1"/>
    <xf numFmtId="9" fontId="18" fillId="0" borderId="13" xfId="4" applyFont="1" applyBorder="1"/>
    <xf numFmtId="2" fontId="18" fillId="0" borderId="13" xfId="4" applyNumberFormat="1" applyFont="1" applyBorder="1"/>
    <xf numFmtId="9" fontId="18" fillId="0" borderId="14" xfId="4" applyFont="1" applyBorder="1"/>
    <xf numFmtId="9" fontId="18" fillId="0" borderId="15" xfId="4" applyFont="1" applyBorder="1"/>
    <xf numFmtId="9" fontId="18" fillId="0" borderId="16" xfId="4" applyFont="1" applyBorder="1"/>
    <xf numFmtId="0" fontId="15" fillId="0" borderId="15" xfId="0" applyFont="1" applyBorder="1"/>
    <xf numFmtId="0" fontId="15" fillId="0" borderId="16" xfId="0" applyFont="1" applyBorder="1"/>
    <xf numFmtId="0" fontId="28" fillId="0" borderId="2" xfId="1" applyFont="1" applyFill="1" applyBorder="1" applyAlignment="1" applyProtection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/>
    </xf>
    <xf numFmtId="4" fontId="9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0" fontId="26" fillId="4" borderId="0" xfId="5" applyFont="1" applyFill="1" applyBorder="1" applyAlignment="1">
      <alignment horizontal="center"/>
    </xf>
    <xf numFmtId="0" fontId="25" fillId="5" borderId="0" xfId="0" applyFont="1" applyFill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2" fillId="0" borderId="0" xfId="0" applyFont="1" applyFill="1" applyBorder="1"/>
    <xf numFmtId="0" fontId="26" fillId="0" borderId="0" xfId="5" applyFont="1" applyFill="1" applyBorder="1" applyAlignment="1">
      <alignment horizontal="center"/>
    </xf>
    <xf numFmtId="0" fontId="25" fillId="0" borderId="0" xfId="6" applyFont="1" applyFill="1" applyBorder="1"/>
    <xf numFmtId="0" fontId="18" fillId="0" borderId="0" xfId="0" applyFont="1" applyFill="1" applyBorder="1"/>
    <xf numFmtId="0" fontId="15" fillId="0" borderId="0" xfId="0" applyFont="1" applyFill="1" applyBorder="1"/>
    <xf numFmtId="2" fontId="18" fillId="0" borderId="0" xfId="4" applyNumberFormat="1" applyFont="1" applyFill="1" applyBorder="1"/>
    <xf numFmtId="0" fontId="0" fillId="0" borderId="0" xfId="0" applyFill="1" applyBorder="1"/>
  </cellXfs>
  <cellStyles count="7">
    <cellStyle name="20% - Accent4" xfId="6" builtinId="42"/>
    <cellStyle name="Accent4" xfId="5" builtinId="41"/>
    <cellStyle name="Comma" xfId="2" builtinId="3"/>
    <cellStyle name="Comma 2" xfId="3" xr:uid="{00000000-0005-0000-0000-000004000000}"/>
    <cellStyle name="Normal" xfId="0" builtinId="0"/>
    <cellStyle name="Percent" xfId="4" builtinId="5"/>
    <cellStyle name="Title" xfId="1" builtinId="15"/>
  </cellStyles>
  <dxfs count="0"/>
  <tableStyles count="0" defaultTableStyle="TableStyleMedium2" defaultPivotStyle="PivotStyleLight16"/>
  <colors>
    <mruColors>
      <color rgb="FF4F2732"/>
      <color rgb="FF0D5555"/>
      <color rgb="FF317F7F"/>
      <color rgb="FFFD624A"/>
      <color rgb="FF38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gross</a:t>
            </a:r>
            <a:r>
              <a:rPr lang="en-US" sz="1400" baseline="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 profit margin</a:t>
            </a:r>
            <a:endParaRPr lang="en-US" sz="1400">
              <a:latin typeface="Century" panose="02040604050505020304" pitchFamily="18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solidFill>
            <a:schemeClr val="accent1">
              <a:alpha val="5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Analysis'!$A$5</c:f>
              <c:strCache>
                <c:ptCount val="1"/>
                <c:pt idx="0">
                  <c:v>Tesla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FF2-AF4C-9215-FB56E40B9EF5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F2-AF4C-9215-FB56E40B9E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 Analysis'!$B$3:$E$4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'Ratio Analysis'!$B$5:$E$5</c:f>
              <c:numCache>
                <c:formatCode>0%</c:formatCode>
                <c:ptCount val="4"/>
                <c:pt idx="0">
                  <c:v>0.18834026954977687</c:v>
                </c:pt>
                <c:pt idx="1">
                  <c:v>0.1655545609895028</c:v>
                </c:pt>
                <c:pt idx="2">
                  <c:v>0.2102359208523592</c:v>
                </c:pt>
                <c:pt idx="3">
                  <c:v>0.25279155751258753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B-4F30-9CAD-22559E52C578}"/>
            </c:ext>
          </c:extLst>
        </c:ser>
        <c:ser>
          <c:idx val="1"/>
          <c:order val="1"/>
          <c:tx>
            <c:strRef>
              <c:f>'Ratio Analysis'!$A$6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 Analysis'!$B$3:$E$4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'Ratio Analysis'!$B$6:$E$6</c:f>
              <c:numCache>
                <c:formatCode>0%</c:formatCode>
                <c:ptCount val="4"/>
                <c:pt idx="0">
                  <c:v>0.15011413389215283</c:v>
                </c:pt>
                <c:pt idx="1">
                  <c:v>0.13602950609364978</c:v>
                </c:pt>
                <c:pt idx="2">
                  <c:v>0.11319448813943246</c:v>
                </c:pt>
                <c:pt idx="3">
                  <c:v>0.15908640834378507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B-4F30-9CAD-22559E52C5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01729536"/>
        <c:axId val="124561088"/>
      </c:barChart>
      <c:catAx>
        <c:axId val="2017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1088"/>
        <c:crosses val="autoZero"/>
        <c:auto val="1"/>
        <c:lblAlgn val="ctr"/>
        <c:lblOffset val="100"/>
        <c:noMultiLvlLbl val="0"/>
      </c:catAx>
      <c:valAx>
        <c:axId val="12456108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Return on asset</a:t>
            </a:r>
            <a:endParaRPr lang="en-US" sz="1600">
              <a:latin typeface="Century" panose="02040604050505020304" pitchFamily="18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Analysis'!$S$5</c:f>
              <c:strCache>
                <c:ptCount val="1"/>
                <c:pt idx="0">
                  <c:v>Tesla </c:v>
                </c:pt>
              </c:strCache>
            </c:strRef>
          </c:tx>
          <c:spPr>
            <a:solidFill>
              <a:srgbClr val="00206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D555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gradFill>
                  <a:gsLst>
                    <a:gs pos="0">
                      <a:srgbClr val="FF0000"/>
                    </a:gs>
                    <a:gs pos="74000">
                      <a:srgbClr val="00B050"/>
                    </a:gs>
                    <a:gs pos="5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rendlineType val="exp"/>
            <c:dispRSqr val="0"/>
            <c:dispEq val="0"/>
          </c:trendline>
          <c:cat>
            <c:numRef>
              <c:f>'Ratio Analysis'!$T$4:$W$4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Analysis'!$T$5:$W$5</c:f>
              <c:numCache>
                <c:formatCode>0%</c:formatCode>
                <c:ptCount val="4"/>
                <c:pt idx="0">
                  <c:v>-3.2821239710777668E-2</c:v>
                </c:pt>
                <c:pt idx="1">
                  <c:v>-2.5124602873881487E-2</c:v>
                </c:pt>
                <c:pt idx="2">
                  <c:v>1.3231571680601366E-2</c:v>
                </c:pt>
                <c:pt idx="3">
                  <c:v>8.8828443128229059E-2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3-436F-A516-C390C2F6CA46}"/>
            </c:ext>
          </c:extLst>
        </c:ser>
        <c:ser>
          <c:idx val="1"/>
          <c:order val="1"/>
          <c:tx>
            <c:strRef>
              <c:f>'Ratio Analysis'!$S$6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Analysis'!$T$4:$W$4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Analysis'!$T$6:$W$6</c:f>
              <c:numCache>
                <c:formatCode>0%</c:formatCode>
                <c:ptCount val="4"/>
                <c:pt idx="0">
                  <c:v>1.4333047477976145E-2</c:v>
                </c:pt>
                <c:pt idx="1">
                  <c:v>1.8179216127672248E-4</c:v>
                </c:pt>
                <c:pt idx="2">
                  <c:v>-4.7855841293716625E-3</c:v>
                </c:pt>
                <c:pt idx="3">
                  <c:v>6.9784270624623113E-2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3-436F-A516-C390C2F6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91"/>
        <c:axId val="202722304"/>
        <c:axId val="203096640"/>
      </c:barChart>
      <c:catAx>
        <c:axId val="2027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6640"/>
        <c:crosses val="autoZero"/>
        <c:auto val="1"/>
        <c:lblAlgn val="ctr"/>
        <c:lblOffset val="100"/>
        <c:noMultiLvlLbl val="0"/>
      </c:catAx>
      <c:valAx>
        <c:axId val="203096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2304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entury" panose="02040604050505020304" pitchFamily="18" charset="0"/>
              </a:rPr>
              <a:t>DEBT</a:t>
            </a:r>
            <a:r>
              <a:rPr lang="en-US" b="1" baseline="0">
                <a:latin typeface="Century" panose="02040604050505020304" pitchFamily="18" charset="0"/>
              </a:rPr>
              <a:t> TO EQUIT RATIO</a:t>
            </a:r>
            <a:endParaRPr lang="en-US" b="1">
              <a:latin typeface="Century" panose="020406040505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Analysis'!$A$28</c:f>
              <c:strCache>
                <c:ptCount val="1"/>
                <c:pt idx="0">
                  <c:v>Tesla </c:v>
                </c:pt>
              </c:strCache>
            </c:strRef>
          </c:tx>
          <c:spPr>
            <a:ln w="22225" cap="sq">
              <a:solidFill>
                <a:schemeClr val="tx1">
                  <a:lumMod val="65000"/>
                  <a:lumOff val="35000"/>
                </a:schemeClr>
              </a:solidFill>
              <a:round/>
              <a:headEnd type="oval"/>
              <a:tailEnd type="oval"/>
            </a:ln>
            <a:effectLst>
              <a:outerShdw blurRad="50800" dist="38100" dir="18900000" algn="bl" rotWithShape="0">
                <a:prstClr val="black">
                  <a:alpha val="27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Analysis'!$B$27:$E$27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Analysis'!$B$28:$E$28</c:f>
              <c:numCache>
                <c:formatCode>0.00</c:formatCode>
                <c:ptCount val="4"/>
                <c:pt idx="0">
                  <c:v>2.4315273489445879</c:v>
                </c:pt>
                <c:pt idx="1">
                  <c:v>2.0276518585675429</c:v>
                </c:pt>
                <c:pt idx="2">
                  <c:v>0.52589426321709787</c:v>
                </c:pt>
                <c:pt idx="3">
                  <c:v>0.22637384477789924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55-DC49-B624-DDD62C3AF4F0}"/>
            </c:ext>
          </c:extLst>
        </c:ser>
        <c:ser>
          <c:idx val="1"/>
          <c:order val="1"/>
          <c:tx>
            <c:strRef>
              <c:f>'Ratio Analysis'!$A$29</c:f>
              <c:strCache>
                <c:ptCount val="1"/>
                <c:pt idx="0">
                  <c:v>Ford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  <a:headEnd type="oval"/>
              <a:tailEnd type="oval"/>
            </a:ln>
            <a:effectLst>
              <a:outerShdw blurRad="50800" dist="38100" dir="16200000" rotWithShape="0">
                <a:prstClr val="black">
                  <a:alpha val="18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Analysis'!$B$27:$E$27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Analysis'!$B$29:$E$29</c:f>
              <c:numCache>
                <c:formatCode>0.00</c:formatCode>
                <c:ptCount val="4"/>
                <c:pt idx="0">
                  <c:v>4.2918011800066793</c:v>
                </c:pt>
                <c:pt idx="1">
                  <c:v>4.6800361609160763</c:v>
                </c:pt>
                <c:pt idx="2">
                  <c:v>5.2682958618442486</c:v>
                </c:pt>
                <c:pt idx="3">
                  <c:v>2.8461427482017352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55-DC49-B624-DDD62C3AF4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2214960"/>
        <c:axId val="761879616"/>
      </c:lineChart>
      <c:catAx>
        <c:axId val="7622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9616"/>
        <c:crosses val="autoZero"/>
        <c:auto val="1"/>
        <c:lblAlgn val="ctr"/>
        <c:lblOffset val="100"/>
        <c:noMultiLvlLbl val="0"/>
      </c:catAx>
      <c:valAx>
        <c:axId val="7618796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4960"/>
        <c:crosses val="autoZero"/>
        <c:crossBetween val="between"/>
        <c:minorUnit val="1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Quick ratio</a:t>
            </a:r>
            <a:endParaRPr lang="en-US">
              <a:latin typeface="Century" panose="02040604050505020304" pitchFamily="18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37385174108096558"/>
          <c:y val="3.4753848393506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Analysis'!$J$47</c:f>
              <c:strCache>
                <c:ptCount val="1"/>
                <c:pt idx="0">
                  <c:v>Tesla </c:v>
                </c:pt>
              </c:strCache>
            </c:strRef>
          </c:tx>
          <c:spPr>
            <a:ln w="22225" cap="sq">
              <a:solidFill>
                <a:srgbClr val="002060">
                  <a:alpha val="97000"/>
                </a:srgbClr>
              </a:solidFill>
              <a:miter lim="800000"/>
              <a:headEnd type="oval"/>
              <a:tailEnd type="oval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500620179294703E-2"/>
                  <c:y val="6.63533880239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84-1E49-A879-5115412E1303}"/>
                </c:ext>
              </c:extLst>
            </c:dLbl>
            <c:dLbl>
              <c:idx val="1"/>
              <c:layout>
                <c:manualLayout>
                  <c:x val="-2.8633118029830124E-2"/>
                  <c:y val="0.16015726911433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84-1E49-A879-5115412E1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'Ratio Analysis'!$K$46:$N$46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Analysis'!$K$47:$N$47</c:f>
              <c:numCache>
                <c:formatCode>0.00</c:formatCode>
                <c:ptCount val="4"/>
                <c:pt idx="0">
                  <c:v>0.51969488805997022</c:v>
                </c:pt>
                <c:pt idx="1">
                  <c:v>0.80163119902503044</c:v>
                </c:pt>
                <c:pt idx="2">
                  <c:v>1.5873104997192589</c:v>
                </c:pt>
                <c:pt idx="3">
                  <c:v>1.0831261101243339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84-1E49-A879-5115412E1303}"/>
            </c:ext>
          </c:extLst>
        </c:ser>
        <c:ser>
          <c:idx val="1"/>
          <c:order val="1"/>
          <c:tx>
            <c:strRef>
              <c:f>'Ratio Analysis'!$J$48</c:f>
              <c:strCache>
                <c:ptCount val="1"/>
                <c:pt idx="0">
                  <c:v>Ford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  <a:headEnd type="oval" w="med" len="sm"/>
              <a:tailEnd type="oval" w="sm" len="sm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F84-1E49-A879-5115412E130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F84-1E49-A879-5115412E130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F84-1E49-A879-5115412E1303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F84-1E49-A879-5115412E1303}"/>
              </c:ext>
            </c:extLst>
          </c:dPt>
          <c:dLbls>
            <c:dLbl>
              <c:idx val="0"/>
              <c:layout>
                <c:manualLayout>
                  <c:x val="-5.7659802258413835E-2"/>
                  <c:y val="6.105525492540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84-1E49-A879-5115412E1303}"/>
                </c:ext>
              </c:extLst>
            </c:dLbl>
            <c:dLbl>
              <c:idx val="1"/>
              <c:layout>
                <c:manualLayout>
                  <c:x val="-5.1561283774284455E-2"/>
                  <c:y val="-5.8082485170226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84-1E49-A879-5115412E1303}"/>
                </c:ext>
              </c:extLst>
            </c:dLbl>
            <c:dLbl>
              <c:idx val="2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84-1E49-A879-5115412E1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'Ratio Analysis'!$K$46:$N$46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Analysis'!$K$48:$N$48</c:f>
              <c:numCache>
                <c:formatCode>0.00</c:formatCode>
                <c:ptCount val="4"/>
                <c:pt idx="0">
                  <c:v>1.0822442423798513</c:v>
                </c:pt>
                <c:pt idx="1">
                  <c:v>1.0522663351404231</c:v>
                </c:pt>
                <c:pt idx="2">
                  <c:v>1.08996625236645</c:v>
                </c:pt>
                <c:pt idx="3">
                  <c:v>1.0683809670770554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F84-1E49-A879-5115412E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31584"/>
        <c:axId val="124565696"/>
      </c:lineChart>
      <c:catAx>
        <c:axId val="2017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5696"/>
        <c:crosses val="autoZero"/>
        <c:auto val="1"/>
        <c:lblAlgn val="ctr"/>
        <c:lblOffset val="100"/>
        <c:noMultiLvlLbl val="0"/>
      </c:catAx>
      <c:valAx>
        <c:axId val="124565696"/>
        <c:scaling>
          <c:orientation val="minMax"/>
          <c:max val="2"/>
        </c:scaling>
        <c:delete val="0"/>
        <c:axPos val="l"/>
        <c:majorGridlines>
          <c:spPr>
            <a:ln w="317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1584"/>
        <c:crosses val="autoZero"/>
        <c:crossBetween val="between"/>
        <c:majorUnit val="0.4"/>
        <c:minorUnit val="0.25"/>
      </c:valAx>
      <c:spPr>
        <a:noFill/>
        <a:ln cmpd="dbl">
          <a:solidFill>
            <a:srgbClr val="002060"/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Earning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Analysis'!$A$113</c:f>
              <c:strCache>
                <c:ptCount val="1"/>
                <c:pt idx="0">
                  <c:v>Tesla 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  <a:headEnd type="oval"/>
              <a:tailEnd type="oval"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4">
                      <a:shade val="76000"/>
                    </a:schemeClr>
                  </a:gs>
                  <a:gs pos="75000">
                    <a:schemeClr val="accent4">
                      <a:shade val="76000"/>
                      <a:lumMod val="60000"/>
                      <a:lumOff val="40000"/>
                    </a:schemeClr>
                  </a:gs>
                  <a:gs pos="51000">
                    <a:schemeClr val="accent4">
                      <a:shade val="76000"/>
                      <a:alpha val="75000"/>
                    </a:schemeClr>
                  </a:gs>
                  <a:gs pos="100000">
                    <a:schemeClr val="accent4">
                      <a:shade val="76000"/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76000"/>
                    <a:shade val="95000"/>
                  </a:schemeClr>
                </a:solidFill>
                <a:round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5395354966836289E-2"/>
                  <c:y val="4.413643928754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B0-4148-B795-6291D6CD01F7}"/>
                </c:ext>
              </c:extLst>
            </c:dLbl>
            <c:dLbl>
              <c:idx val="1"/>
              <c:layout>
                <c:manualLayout>
                  <c:x val="-3.2867115326348006E-2"/>
                  <c:y val="4.4136439287547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B0-4148-B795-6291D6CD01F7}"/>
                </c:ext>
              </c:extLst>
            </c:dLbl>
            <c:dLbl>
              <c:idx val="2"/>
              <c:layout>
                <c:manualLayout>
                  <c:x val="-2.7810636045371442E-2"/>
                  <c:y val="3.9722795358792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B0-4148-B795-6291D6CD01F7}"/>
                </c:ext>
              </c:extLst>
            </c:dLbl>
            <c:dLbl>
              <c:idx val="3"/>
              <c:layout>
                <c:manualLayout>
                  <c:x val="-3.0338875685859655E-2"/>
                  <c:y val="3.5309151430038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B0-4148-B795-6291D6CD01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'Ratio Analysis'!$B$112:$E$112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Analysis'!$B$113:$E$113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6B0-4148-B795-6291D6CD01F7}"/>
            </c:ext>
          </c:extLst>
        </c:ser>
        <c:ser>
          <c:idx val="1"/>
          <c:order val="1"/>
          <c:tx>
            <c:strRef>
              <c:f>'Ratio Analysis'!$A$114</c:f>
              <c:strCache>
                <c:ptCount val="1"/>
                <c:pt idx="0">
                  <c:v>Ford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  <a:headEnd type="oval"/>
              <a:tailEnd type="oval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4">
                      <a:tint val="77000"/>
                    </a:schemeClr>
                  </a:gs>
                  <a:gs pos="75000">
                    <a:schemeClr val="accent4">
                      <a:tint val="77000"/>
                      <a:lumMod val="60000"/>
                      <a:lumOff val="40000"/>
                    </a:schemeClr>
                  </a:gs>
                  <a:gs pos="51000">
                    <a:schemeClr val="accent4">
                      <a:tint val="77000"/>
                      <a:alpha val="75000"/>
                    </a:schemeClr>
                  </a:gs>
                  <a:gs pos="100000">
                    <a:schemeClr val="accent4">
                      <a:tint val="77000"/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0338875685859679E-2"/>
                  <c:y val="-5.2963727145057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B0-4148-B795-6291D6CD01F7}"/>
                </c:ext>
              </c:extLst>
            </c:dLbl>
            <c:dLbl>
              <c:idx val="1"/>
              <c:layout>
                <c:manualLayout>
                  <c:x val="-1.2641198202441523E-2"/>
                  <c:y val="-6.1791015002566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B0-4148-B795-6291D6CD01F7}"/>
                </c:ext>
              </c:extLst>
            </c:dLbl>
            <c:dLbl>
              <c:idx val="2"/>
              <c:layout>
                <c:manualLayout>
                  <c:x val="-1.2641198202441523E-2"/>
                  <c:y val="-5.2963727145057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B0-4148-B795-6291D6CD01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'Ratio Analysis'!$B$112:$E$112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Analysis'!$B$114:$E$114</c:f>
              <c:numCache>
                <c:formatCode>0.00</c:formatCode>
                <c:ptCount val="4"/>
                <c:pt idx="0">
                  <c:v>0.73</c:v>
                </c:pt>
                <c:pt idx="1">
                  <c:v>0.6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6B0-4148-B795-6291D6CD01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719232"/>
        <c:axId val="202693952"/>
      </c:lineChart>
      <c:dateAx>
        <c:axId val="2027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952"/>
        <c:crosses val="autoZero"/>
        <c:auto val="0"/>
        <c:lblOffset val="100"/>
        <c:baseTimeUnit val="days"/>
      </c:dateAx>
      <c:valAx>
        <c:axId val="202693952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Analysis'!$G$5</c:f>
              <c:strCache>
                <c:ptCount val="1"/>
                <c:pt idx="0">
                  <c:v>Tesla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'Ratio Analysis'!$H$4:$K$4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Analysis'!$H$5:$K$5</c:f>
              <c:numCache>
                <c:formatCode>0%</c:formatCode>
                <c:ptCount val="4"/>
                <c:pt idx="0">
                  <c:v>-4.5481515817238721E-2</c:v>
                </c:pt>
                <c:pt idx="1">
                  <c:v>-3.5072015623728539E-2</c:v>
                </c:pt>
                <c:pt idx="2">
                  <c:v>2.2862760020294266E-2</c:v>
                </c:pt>
                <c:pt idx="3">
                  <c:v>0.10253980640246735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206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613-4ECA-A57A-331262291881}"/>
            </c:ext>
          </c:extLst>
        </c:ser>
        <c:ser>
          <c:idx val="1"/>
          <c:order val="1"/>
          <c:tx>
            <c:strRef>
              <c:f>'Ratio Analysis'!$G$6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5494092321234597E-2"/>
                  <c:y val="8.180210909723845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36-B44B-AB2A-BFB87B3C4D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'Ratio Analysis'!$H$4:$K$4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Analysis'!$H$6:$K$6</c:f>
              <c:numCache>
                <c:formatCode>0%</c:formatCode>
                <c:ptCount val="4"/>
                <c:pt idx="0">
                  <c:v>2.2932804450598112E-2</c:v>
                </c:pt>
                <c:pt idx="1">
                  <c:v>3.0147530468248876E-4</c:v>
                </c:pt>
                <c:pt idx="2">
                  <c:v>-1.0059460139684138E-2</c:v>
                </c:pt>
                <c:pt idx="3">
                  <c:v>0.13155983893326292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3-4ECA-A57A-331262291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50"/>
        <c:axId val="201731072"/>
        <c:axId val="124563392"/>
      </c:barChart>
      <c:catAx>
        <c:axId val="2017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3392"/>
        <c:crosses val="autoZero"/>
        <c:auto val="1"/>
        <c:lblAlgn val="ctr"/>
        <c:lblOffset val="100"/>
        <c:noMultiLvlLbl val="0"/>
      </c:catAx>
      <c:valAx>
        <c:axId val="124563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cURRENT ratio</a:t>
            </a:r>
            <a:endParaRPr lang="en-US">
              <a:latin typeface="Century" panose="02040604050505020304" pitchFamily="18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26872921833461438"/>
          <c:y val="2.467842951986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Analysis'!$A$47</c:f>
              <c:strCache>
                <c:ptCount val="1"/>
                <c:pt idx="0">
                  <c:v>Tesla </c:v>
                </c:pt>
              </c:strCache>
            </c:strRef>
          </c:tx>
          <c:spPr>
            <a:ln w="22225" cap="sq">
              <a:solidFill>
                <a:srgbClr val="002060">
                  <a:alpha val="97000"/>
                </a:srgbClr>
              </a:solidFill>
              <a:miter lim="800000"/>
              <a:headEnd type="oval"/>
              <a:tailEnd type="oval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500620179294703E-2"/>
                  <c:y val="6.63533880239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87-FF4F-B43F-A7354D566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'Ratio Analysis'!$B$46:$E$46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Analysis'!$B$47:$E$47</c:f>
              <c:numCache>
                <c:formatCode>0.00</c:formatCode>
                <c:ptCount val="4"/>
                <c:pt idx="0">
                  <c:v>0.83128452214821724</c:v>
                </c:pt>
                <c:pt idx="1">
                  <c:v>1.1346207931002157</c:v>
                </c:pt>
                <c:pt idx="2">
                  <c:v>1.8751403705783267</c:v>
                </c:pt>
                <c:pt idx="3">
                  <c:v>1.3752854605430094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04-478E-932B-AA7F6352CC89}"/>
            </c:ext>
          </c:extLst>
        </c:ser>
        <c:ser>
          <c:idx val="1"/>
          <c:order val="1"/>
          <c:tx>
            <c:strRef>
              <c:f>'Ratio Analysis'!$A$48</c:f>
              <c:strCache>
                <c:ptCount val="1"/>
                <c:pt idx="0">
                  <c:v>Ford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  <a:headEnd type="oval" w="med" len="sm"/>
              <a:tailEnd type="oval" w="sm" len="sm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451-4719-AEE5-12A029F1249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451-4719-AEE5-12A029F1249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451-4719-AEE5-12A029F1249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451-4719-AEE5-12A029F1249B}"/>
              </c:ext>
            </c:extLst>
          </c:dPt>
          <c:dLbls>
            <c:dLbl>
              <c:idx val="0"/>
              <c:layout>
                <c:manualLayout>
                  <c:x val="-5.7659802258413835E-2"/>
                  <c:y val="6.105525492540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51-4719-AEE5-12A029F124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'Ratio Analysis'!$B$46:$E$46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Analysis'!$B$48:$E$48</c:f>
              <c:numCache>
                <c:formatCode>0.00</c:formatCode>
                <c:ptCount val="4"/>
                <c:pt idx="0">
                  <c:v>1.1996463288304784</c:v>
                </c:pt>
                <c:pt idx="1">
                  <c:v>1.1621795133086048</c:v>
                </c:pt>
                <c:pt idx="2">
                  <c:v>1.2011688204790518</c:v>
                </c:pt>
                <c:pt idx="3">
                  <c:v>1.2013623287444752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04-478E-932B-AA7F6352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31584"/>
        <c:axId val="124565696"/>
      </c:lineChart>
      <c:catAx>
        <c:axId val="2017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5696"/>
        <c:crosses val="autoZero"/>
        <c:auto val="1"/>
        <c:lblAlgn val="ctr"/>
        <c:lblOffset val="100"/>
        <c:noMultiLvlLbl val="0"/>
      </c:catAx>
      <c:valAx>
        <c:axId val="12456569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1584"/>
        <c:crosses val="autoZero"/>
        <c:crossBetween val="between"/>
        <c:majorUnit val="0.4"/>
      </c:valAx>
      <c:spPr>
        <a:noFill/>
        <a:ln cmpd="dbl">
          <a:solidFill>
            <a:srgbClr val="002060"/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Receiveble</a:t>
            </a:r>
            <a:r>
              <a:rPr lang="en-US" sz="1400" baseline="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 days</a:t>
            </a:r>
            <a:endParaRPr lang="en-US" sz="1600">
              <a:latin typeface="Century" panose="02040604050505020304" pitchFamily="18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Analysis'!$A$68</c:f>
              <c:strCache>
                <c:ptCount val="1"/>
                <c:pt idx="0">
                  <c:v>Tesla 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  <a:tailEnd type="oval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Analysis'!$B$67:$E$67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Analysis'!$B$68:$E$68</c:f>
              <c:numCache>
                <c:formatCode>0.00</c:formatCode>
                <c:ptCount val="4"/>
                <c:pt idx="0">
                  <c:v>16.140380428593502</c:v>
                </c:pt>
                <c:pt idx="1">
                  <c:v>19.662299617544146</c:v>
                </c:pt>
                <c:pt idx="2">
                  <c:v>21.828703703703702</c:v>
                </c:pt>
                <c:pt idx="3">
                  <c:v>12.972985526633597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6D-42DB-B9DE-E021F5492617}"/>
            </c:ext>
          </c:extLst>
        </c:ser>
        <c:ser>
          <c:idx val="1"/>
          <c:order val="1"/>
          <c:tx>
            <c:strRef>
              <c:f>'Ratio Analysis'!$A$69</c:f>
              <c:strCache>
                <c:ptCount val="1"/>
                <c:pt idx="0">
                  <c:v>Ford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  <a:tailEnd type="oval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Analysis'!$B$67:$E$67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Analysis'!$B$69:$E$69</c:f>
              <c:numCache>
                <c:formatCode>0.00</c:formatCode>
                <c:ptCount val="4"/>
                <c:pt idx="0">
                  <c:v>25.484757200414123</c:v>
                </c:pt>
                <c:pt idx="1">
                  <c:v>21.626074406670945</c:v>
                </c:pt>
                <c:pt idx="2">
                  <c:v>28.68751179764676</c:v>
                </c:pt>
                <c:pt idx="3">
                  <c:v>30.438752832970273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6D-42DB-B9DE-E021F54926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573312"/>
        <c:axId val="202687040"/>
      </c:lineChart>
      <c:catAx>
        <c:axId val="2025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7040"/>
        <c:crosses val="autoZero"/>
        <c:auto val="1"/>
        <c:lblAlgn val="ctr"/>
        <c:lblOffset val="100"/>
        <c:noMultiLvlLbl val="0"/>
      </c:catAx>
      <c:valAx>
        <c:axId val="2026870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pAYABLE DAYS</a:t>
            </a:r>
            <a:endParaRPr lang="en-US" sz="1600">
              <a:latin typeface="Century" panose="02040604050505020304" pitchFamily="18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Analysis'!$G$68</c:f>
              <c:strCache>
                <c:ptCount val="1"/>
                <c:pt idx="0">
                  <c:v>Tesla 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  <a:tailEnd type="oval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Analysis'!$H$67:$K$67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Analysis'!$H$68:$K$68</c:f>
              <c:numCache>
                <c:formatCode>0.00</c:formatCode>
                <c:ptCount val="4"/>
                <c:pt idx="0">
                  <c:v>71.336299152311241</c:v>
                </c:pt>
                <c:pt idx="1">
                  <c:v>67.112730996148031</c:v>
                </c:pt>
                <c:pt idx="2">
                  <c:v>88.678029390508314</c:v>
                </c:pt>
                <c:pt idx="3">
                  <c:v>90.984533903573123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96-449B-8254-D54D38E61482}"/>
            </c:ext>
          </c:extLst>
        </c:ser>
        <c:ser>
          <c:idx val="1"/>
          <c:order val="1"/>
          <c:tx>
            <c:strRef>
              <c:f>'Ratio Analysis'!$G$69</c:f>
              <c:strCache>
                <c:ptCount val="1"/>
                <c:pt idx="0">
                  <c:v>Ford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  <a:tailEnd type="oval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Analysis'!$H$67:$K$67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Analysis'!$H$69:$K$69</c:f>
              <c:numCache>
                <c:formatCode>0.00</c:formatCode>
                <c:ptCount val="4"/>
                <c:pt idx="0">
                  <c:v>57.641870124533099</c:v>
                </c:pt>
                <c:pt idx="1">
                  <c:v>56.021062712984339</c:v>
                </c:pt>
                <c:pt idx="2">
                  <c:v>71.878636299134385</c:v>
                </c:pt>
                <c:pt idx="3">
                  <c:v>71.149706500597475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96-449B-8254-D54D38E614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573824"/>
        <c:axId val="202689344"/>
      </c:lineChart>
      <c:catAx>
        <c:axId val="2025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9344"/>
        <c:crosses val="autoZero"/>
        <c:auto val="1"/>
        <c:lblAlgn val="ctr"/>
        <c:lblOffset val="100"/>
        <c:noMultiLvlLbl val="0"/>
      </c:catAx>
      <c:valAx>
        <c:axId val="20268934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38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" panose="02040604050505020304" pitchFamily="18" charset="0"/>
              </a:rPr>
              <a:t>INVENTORY</a:t>
            </a:r>
            <a:r>
              <a:rPr lang="en-US" baseline="0">
                <a:latin typeface="Century" panose="02040604050505020304" pitchFamily="18" charset="0"/>
              </a:rPr>
              <a:t> DAYS</a:t>
            </a:r>
            <a:endParaRPr lang="en-US">
              <a:latin typeface="Century" panose="020406040505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Analysis'!$M$68</c:f>
              <c:strCache>
                <c:ptCount val="1"/>
                <c:pt idx="0">
                  <c:v>Tesla 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  <a:tailEnd type="oval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Analysis'!$N$67:$Q$67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Analysis'!$N$68:$Q$68</c:f>
              <c:numCache>
                <c:formatCode>0.00</c:formatCode>
                <c:ptCount val="4"/>
                <c:pt idx="0">
                  <c:v>65.238628856919021</c:v>
                </c:pt>
                <c:pt idx="1">
                  <c:v>63.215173826125117</c:v>
                </c:pt>
                <c:pt idx="2">
                  <c:v>60.100578173933989</c:v>
                </c:pt>
                <c:pt idx="3">
                  <c:v>52.249173235199038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8C-486B-B868-A29C2CBAF92E}"/>
            </c:ext>
          </c:extLst>
        </c:ser>
        <c:ser>
          <c:idx val="1"/>
          <c:order val="1"/>
          <c:tx>
            <c:strRef>
              <c:f>'Ratio Analysis'!$M$69</c:f>
              <c:strCache>
                <c:ptCount val="1"/>
                <c:pt idx="0">
                  <c:v>Ford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  <a:tailEnd type="oval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Analysis'!$N$67:$Q$67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Analysis'!$N$69:$Q$69</c:f>
              <c:numCache>
                <c:formatCode>0.00</c:formatCode>
                <c:ptCount val="4"/>
                <c:pt idx="0">
                  <c:v>30.053056821434076</c:v>
                </c:pt>
                <c:pt idx="1">
                  <c:v>29.228616186438792</c:v>
                </c:pt>
                <c:pt idx="2">
                  <c:v>34.987583368809425</c:v>
                </c:pt>
                <c:pt idx="3">
                  <c:v>38.40982634255262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8C-486B-B868-A29C2CBAF9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575360"/>
        <c:axId val="202691648"/>
      </c:lineChart>
      <c:catAx>
        <c:axId val="2025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1648"/>
        <c:crosses val="autoZero"/>
        <c:auto val="1"/>
        <c:lblAlgn val="ctr"/>
        <c:lblOffset val="100"/>
        <c:noMultiLvlLbl val="0"/>
      </c:catAx>
      <c:valAx>
        <c:axId val="202691648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53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Earning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Analysis'!$A$91</c:f>
              <c:strCache>
                <c:ptCount val="1"/>
                <c:pt idx="0">
                  <c:v>Tesla 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  <a:headEnd type="oval"/>
              <a:tailEnd type="oval"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4">
                      <a:shade val="76000"/>
                    </a:schemeClr>
                  </a:gs>
                  <a:gs pos="75000">
                    <a:schemeClr val="accent4">
                      <a:shade val="76000"/>
                      <a:lumMod val="60000"/>
                      <a:lumOff val="40000"/>
                    </a:schemeClr>
                  </a:gs>
                  <a:gs pos="51000">
                    <a:schemeClr val="accent4">
                      <a:shade val="76000"/>
                      <a:alpha val="75000"/>
                    </a:schemeClr>
                  </a:gs>
                  <a:gs pos="100000">
                    <a:schemeClr val="accent4">
                      <a:shade val="76000"/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76000"/>
                    <a:shade val="95000"/>
                  </a:schemeClr>
                </a:solidFill>
                <a:round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5395354966836289E-2"/>
                  <c:y val="4.413643928754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EA-9B4D-9720-50C9167292A3}"/>
                </c:ext>
              </c:extLst>
            </c:dLbl>
            <c:dLbl>
              <c:idx val="2"/>
              <c:layout>
                <c:manualLayout>
                  <c:x val="-4.0451834247812964E-2"/>
                  <c:y val="-7.9445590717585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EA-9B4D-9720-50C9167292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'Ratio Analysis'!$B$90:$E$90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Analysis'!$B$91:$E$91</c:f>
              <c:numCache>
                <c:formatCode>0.00</c:formatCode>
                <c:ptCount val="4"/>
                <c:pt idx="0">
                  <c:v>-5.72</c:v>
                </c:pt>
                <c:pt idx="1">
                  <c:v>-4.92</c:v>
                </c:pt>
                <c:pt idx="2">
                  <c:v>0.74</c:v>
                </c:pt>
                <c:pt idx="3">
                  <c:v>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07-49FB-B73E-73CB3CC28A78}"/>
            </c:ext>
          </c:extLst>
        </c:ser>
        <c:ser>
          <c:idx val="1"/>
          <c:order val="1"/>
          <c:tx>
            <c:strRef>
              <c:f>'Ratio Analysis'!$A$92</c:f>
              <c:strCache>
                <c:ptCount val="1"/>
                <c:pt idx="0">
                  <c:v>Ford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  <a:headEnd type="oval"/>
              <a:tailEnd type="oval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4">
                      <a:tint val="77000"/>
                    </a:schemeClr>
                  </a:gs>
                  <a:gs pos="75000">
                    <a:schemeClr val="accent4">
                      <a:tint val="77000"/>
                      <a:lumMod val="60000"/>
                      <a:lumOff val="40000"/>
                    </a:schemeClr>
                  </a:gs>
                  <a:gs pos="51000">
                    <a:schemeClr val="accent4">
                      <a:tint val="77000"/>
                      <a:alpha val="75000"/>
                    </a:schemeClr>
                  </a:gs>
                  <a:gs pos="100000">
                    <a:schemeClr val="accent4">
                      <a:tint val="77000"/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0338875685859679E-2"/>
                  <c:y val="-5.2963727145057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EA-9B4D-9720-50C9167292A3}"/>
                </c:ext>
              </c:extLst>
            </c:dLbl>
            <c:dLbl>
              <c:idx val="1"/>
              <c:layout>
                <c:manualLayout>
                  <c:x val="-1.2641198202441523E-2"/>
                  <c:y val="-6.1791015002566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EA-9B4D-9720-50C9167292A3}"/>
                </c:ext>
              </c:extLst>
            </c:dLbl>
            <c:dLbl>
              <c:idx val="2"/>
              <c:layout>
                <c:manualLayout>
                  <c:x val="-2.5282396404883046E-2"/>
                  <c:y val="5.2963727145057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EA-9B4D-9720-50C9167292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'Ratio Analysis'!$B$90:$E$90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Analysis'!$B$92:$E$92</c:f>
              <c:numCache>
                <c:formatCode>0.00</c:formatCode>
                <c:ptCount val="4"/>
                <c:pt idx="0">
                  <c:v>0.93</c:v>
                </c:pt>
                <c:pt idx="1">
                  <c:v>0.01</c:v>
                </c:pt>
                <c:pt idx="2">
                  <c:v>-0.32</c:v>
                </c:pt>
                <c:pt idx="3">
                  <c:v>4.49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07-49FB-B73E-73CB3CC28A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719232"/>
        <c:axId val="202693952"/>
      </c:lineChart>
      <c:dateAx>
        <c:axId val="2027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952"/>
        <c:crosses val="autoZero"/>
        <c:auto val="0"/>
        <c:lblOffset val="100"/>
        <c:baseTimeUnit val="days"/>
      </c:dateAx>
      <c:valAx>
        <c:axId val="20269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Operating Profit margin</a:t>
            </a:r>
            <a:endParaRPr lang="en-US">
              <a:latin typeface="Century" panose="02040604050505020304" pitchFamily="18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Analysis'!$M$5</c:f>
              <c:strCache>
                <c:ptCount val="1"/>
                <c:pt idx="0">
                  <c:v>Tesla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Analysis'!$N$4:$Q$4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Analysis'!$N$5:$Q$5</c:f>
              <c:numCache>
                <c:formatCode>0%</c:formatCode>
                <c:ptCount val="4"/>
                <c:pt idx="0">
                  <c:v>-1.8082482358451477E-2</c:v>
                </c:pt>
                <c:pt idx="1">
                  <c:v>-2.8073887216209618E-3</c:v>
                </c:pt>
                <c:pt idx="2">
                  <c:v>6.3229325215626589E-2</c:v>
                </c:pt>
                <c:pt idx="3">
                  <c:v>0.12119354179440016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3-45FE-91F4-6472E0F3D021}"/>
            </c:ext>
          </c:extLst>
        </c:ser>
        <c:ser>
          <c:idx val="1"/>
          <c:order val="1"/>
          <c:tx>
            <c:strRef>
              <c:f>'Ratio Analysis'!$M$6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D555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Analysis'!$N$4:$Q$4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Analysis'!$N$6:$Q$6</c:f>
              <c:numCache>
                <c:formatCode>0%</c:formatCode>
                <c:ptCount val="4"/>
                <c:pt idx="0">
                  <c:v>1.9976549539098654E-2</c:v>
                </c:pt>
                <c:pt idx="1">
                  <c:v>3.6818473380372035E-3</c:v>
                </c:pt>
                <c:pt idx="2">
                  <c:v>-3.4669351286730009E-2</c:v>
                </c:pt>
                <c:pt idx="3">
                  <c:v>3.317417357948086E-2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3-45FE-91F4-6472E0F3D0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80"/>
        <c:axId val="162568192"/>
        <c:axId val="202770112"/>
      </c:barChart>
      <c:catAx>
        <c:axId val="1625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0112"/>
        <c:crosses val="autoZero"/>
        <c:auto val="1"/>
        <c:lblAlgn val="ctr"/>
        <c:lblOffset val="100"/>
        <c:noMultiLvlLbl val="0"/>
      </c:catAx>
      <c:valAx>
        <c:axId val="202770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Diluted earning per share</a:t>
            </a:r>
            <a:r>
              <a:rPr lang="en-US" sz="1400" baseline="0">
                <a:latin typeface="Century" panose="02040604050505020304" pitchFamily="18" charset="0"/>
                <a:ea typeface="Tahoma" panose="020B0604030504040204" pitchFamily="34" charset="0"/>
                <a:cs typeface="Tahoma" panose="020B0604030504040204" pitchFamily="34" charset="0"/>
              </a:rPr>
              <a:t> ratio</a:t>
            </a:r>
            <a:endParaRPr lang="en-US" sz="1400">
              <a:latin typeface="Century" panose="02040604050505020304" pitchFamily="18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Analysis'!$L$91</c:f>
              <c:strCache>
                <c:ptCount val="1"/>
                <c:pt idx="0">
                  <c:v>Tesla 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  <a:headEnd type="oval"/>
              <a:tailEnd type="oval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1.6886516955185421E-2"/>
                  <c:y val="6.63357216180079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24-5B49-BC9E-72ABA02E4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7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Analysis'!$M$90:$P$90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Analysis'!$M$91:$P$91</c:f>
              <c:numCache>
                <c:formatCode>0.00</c:formatCode>
                <c:ptCount val="4"/>
                <c:pt idx="0">
                  <c:v>-5.72</c:v>
                </c:pt>
                <c:pt idx="1">
                  <c:v>-4.92</c:v>
                </c:pt>
                <c:pt idx="2">
                  <c:v>0.64</c:v>
                </c:pt>
                <c:pt idx="3">
                  <c:v>4.9000000000000004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93-4A90-A489-BFAE8CECCD92}"/>
            </c:ext>
          </c:extLst>
        </c:ser>
        <c:ser>
          <c:idx val="1"/>
          <c:order val="1"/>
          <c:tx>
            <c:strRef>
              <c:f>'Ratio Analysis'!$L$92</c:f>
              <c:strCache>
                <c:ptCount val="1"/>
                <c:pt idx="0">
                  <c:v>Ford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  <a:headEnd type="oval"/>
              <a:tailEnd type="oval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72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31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Analysis'!$M$90:$P$90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'Ratio Analysis'!$M$92:$P$92</c:f>
              <c:numCache>
                <c:formatCode>0.00</c:formatCode>
                <c:ptCount val="4"/>
                <c:pt idx="0">
                  <c:v>0.92</c:v>
                </c:pt>
                <c:pt idx="1">
                  <c:v>0.01</c:v>
                </c:pt>
                <c:pt idx="2">
                  <c:v>-0.32</c:v>
                </c:pt>
                <c:pt idx="3">
                  <c:v>4.45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93-4A90-A489-BFAE8CECCD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721280"/>
        <c:axId val="202774720"/>
      </c:lineChart>
      <c:catAx>
        <c:axId val="2027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1"/>
          <a:lstStyle/>
          <a:p>
            <a:pPr>
              <a:defRPr sz="900" b="1" i="0" u="none" strike="noStrike" kern="1200" baseline="0">
                <a:solidFill>
                  <a:srgbClr val="4F273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4720"/>
        <c:crosses val="autoZero"/>
        <c:auto val="1"/>
        <c:lblAlgn val="ctr"/>
        <c:lblOffset val="100"/>
        <c:noMultiLvlLbl val="0"/>
      </c:catAx>
      <c:valAx>
        <c:axId val="20277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190500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7</xdr:row>
      <xdr:rowOff>3175</xdr:rowOff>
    </xdr:from>
    <xdr:to>
      <xdr:col>11</xdr:col>
      <xdr:colOff>285750</xdr:colOff>
      <xdr:row>21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48</xdr:row>
      <xdr:rowOff>111125</xdr:rowOff>
    </xdr:from>
    <xdr:to>
      <xdr:col>5</xdr:col>
      <xdr:colOff>533400</xdr:colOff>
      <xdr:row>61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</xdr:colOff>
      <xdr:row>69</xdr:row>
      <xdr:rowOff>73024</xdr:rowOff>
    </xdr:from>
    <xdr:to>
      <xdr:col>5</xdr:col>
      <xdr:colOff>273050</xdr:colOff>
      <xdr:row>84</xdr:row>
      <xdr:rowOff>88899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69</xdr:row>
      <xdr:rowOff>79374</xdr:rowOff>
    </xdr:from>
    <xdr:to>
      <xdr:col>11</xdr:col>
      <xdr:colOff>539750</xdr:colOff>
      <xdr:row>84</xdr:row>
      <xdr:rowOff>107949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31750</xdr:colOff>
      <xdr:row>69</xdr:row>
      <xdr:rowOff>73025</xdr:rowOff>
    </xdr:from>
    <xdr:to>
      <xdr:col>17</xdr:col>
      <xdr:colOff>412750</xdr:colOff>
      <xdr:row>84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92</xdr:row>
      <xdr:rowOff>98425</xdr:rowOff>
    </xdr:from>
    <xdr:to>
      <xdr:col>7</xdr:col>
      <xdr:colOff>266700</xdr:colOff>
      <xdr:row>107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488950</xdr:colOff>
      <xdr:row>6</xdr:row>
      <xdr:rowOff>177799</xdr:rowOff>
    </xdr:from>
    <xdr:to>
      <xdr:col>17</xdr:col>
      <xdr:colOff>273050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506471</xdr:colOff>
      <xdr:row>92</xdr:row>
      <xdr:rowOff>116443</xdr:rowOff>
    </xdr:from>
    <xdr:to>
      <xdr:col>17</xdr:col>
      <xdr:colOff>182085</xdr:colOff>
      <xdr:row>107</xdr:row>
      <xdr:rowOff>105426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384060</xdr:colOff>
      <xdr:row>6</xdr:row>
      <xdr:rowOff>177646</xdr:rowOff>
    </xdr:from>
    <xdr:to>
      <xdr:col>25</xdr:col>
      <xdr:colOff>59675</xdr:colOff>
      <xdr:row>21</xdr:row>
      <xdr:rowOff>166629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71582</xdr:rowOff>
    </xdr:from>
    <xdr:to>
      <xdr:col>6</xdr:col>
      <xdr:colOff>415636</xdr:colOff>
      <xdr:row>40</xdr:row>
      <xdr:rowOff>193964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AC4275-8855-678D-E59C-A55AC804B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423333</xdr:colOff>
      <xdr:row>48</xdr:row>
      <xdr:rowOff>96550</xdr:rowOff>
    </xdr:from>
    <xdr:to>
      <xdr:col>15</xdr:col>
      <xdr:colOff>66842</xdr:colOff>
      <xdr:row>61</xdr:row>
      <xdr:rowOff>150525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6B4038-245B-BA4F-8DE1-2F4C06C7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63500</xdr:colOff>
      <xdr:row>114</xdr:row>
      <xdr:rowOff>98425</xdr:rowOff>
    </xdr:from>
    <xdr:to>
      <xdr:col>7</xdr:col>
      <xdr:colOff>266700</xdr:colOff>
      <xdr:row>129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43675C-2726-B34D-B4DF-6D4CAAC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showGridLines="0" topLeftCell="A52" zoomScaleNormal="100" workbookViewId="0">
      <selection activeCell="C74" sqref="C74"/>
    </sheetView>
  </sheetViews>
  <sheetFormatPr baseColWidth="10" defaultColWidth="0" defaultRowHeight="15" x14ac:dyDescent="0.2"/>
  <cols>
    <col min="1" max="1" width="100.6640625" customWidth="1"/>
    <col min="2" max="5" width="14.1640625" style="7" customWidth="1"/>
    <col min="6" max="6" width="14.1640625" hidden="1" customWidth="1"/>
    <col min="7" max="7" width="14.1640625" style="6" hidden="1" customWidth="1"/>
    <col min="8" max="8" width="14.1640625" style="7" hidden="1" customWidth="1"/>
    <col min="9" max="16384" width="14.1640625" hidden="1"/>
  </cols>
  <sheetData>
    <row r="1" spans="1:21" ht="23" customHeight="1" x14ac:dyDescent="0.25">
      <c r="A1" s="132" t="s">
        <v>102</v>
      </c>
      <c r="B1" s="50"/>
      <c r="C1" s="51"/>
      <c r="D1" s="51"/>
      <c r="E1" s="51"/>
      <c r="F1" s="3"/>
      <c r="G1" s="3"/>
      <c r="H1" s="3"/>
    </row>
    <row r="2" spans="1:21" ht="25" x14ac:dyDescent="0.2">
      <c r="A2" s="135" t="s">
        <v>1</v>
      </c>
      <c r="B2" s="52"/>
      <c r="C2" s="53"/>
      <c r="D2" s="53"/>
      <c r="E2" s="53"/>
      <c r="G2"/>
      <c r="H2"/>
    </row>
    <row r="3" spans="1:21" ht="20" x14ac:dyDescent="0.2">
      <c r="A3" s="136" t="s">
        <v>150</v>
      </c>
      <c r="B3" s="52"/>
      <c r="C3" s="55"/>
      <c r="D3" s="55"/>
      <c r="E3" s="55"/>
      <c r="G3"/>
      <c r="H3"/>
    </row>
    <row r="4" spans="1:21" ht="17" thickBot="1" x14ac:dyDescent="0.25">
      <c r="A4" s="133" t="s">
        <v>118</v>
      </c>
      <c r="B4" s="56"/>
      <c r="C4" s="56"/>
      <c r="D4" s="56"/>
      <c r="E4" s="56"/>
      <c r="G4"/>
      <c r="H4"/>
    </row>
    <row r="5" spans="1:21" ht="19" thickTop="1" thickBot="1" x14ac:dyDescent="0.3">
      <c r="A5" s="134" t="s">
        <v>122</v>
      </c>
      <c r="B5" s="134">
        <v>2018</v>
      </c>
      <c r="C5" s="137">
        <f>B5+1</f>
        <v>2019</v>
      </c>
      <c r="D5" s="137">
        <f>C5+1</f>
        <v>2020</v>
      </c>
      <c r="E5" s="137">
        <f>D5+1</f>
        <v>2021</v>
      </c>
      <c r="G5"/>
      <c r="H5"/>
      <c r="U5" s="4">
        <f>(TESLA!C12-TESLA!B12)</f>
        <v>3116.732</v>
      </c>
    </row>
    <row r="6" spans="1:21" ht="17" thickTop="1" x14ac:dyDescent="0.2">
      <c r="A6" s="108" t="s">
        <v>144</v>
      </c>
      <c r="B6" s="22">
        <v>17631.522000000001</v>
      </c>
      <c r="C6" s="23">
        <v>19358</v>
      </c>
      <c r="D6" s="23">
        <v>24604</v>
      </c>
      <c r="E6" s="23">
        <v>44125</v>
      </c>
      <c r="G6" s="5"/>
      <c r="H6" s="5"/>
      <c r="I6" s="5"/>
      <c r="K6" s="6"/>
      <c r="L6" s="6"/>
      <c r="M6" s="6"/>
    </row>
    <row r="7" spans="1:21" ht="16" x14ac:dyDescent="0.2">
      <c r="A7" s="108" t="s">
        <v>151</v>
      </c>
      <c r="B7" s="22"/>
      <c r="C7" s="23">
        <v>594</v>
      </c>
      <c r="D7" s="23">
        <v>1580</v>
      </c>
      <c r="E7" s="23">
        <v>1465</v>
      </c>
      <c r="G7" s="5"/>
      <c r="H7" s="5"/>
      <c r="I7" s="5"/>
      <c r="K7" s="6"/>
      <c r="L7" s="6"/>
      <c r="M7" s="6"/>
    </row>
    <row r="8" spans="1:21" ht="16" x14ac:dyDescent="0.2">
      <c r="A8" s="108" t="s">
        <v>145</v>
      </c>
      <c r="B8" s="22">
        <v>883.46100000000001</v>
      </c>
      <c r="C8" s="23">
        <v>869</v>
      </c>
      <c r="D8" s="23">
        <v>1052</v>
      </c>
      <c r="E8" s="23">
        <v>1642</v>
      </c>
      <c r="G8" s="5"/>
      <c r="H8" s="5"/>
      <c r="I8" s="5"/>
      <c r="K8" s="6"/>
      <c r="L8" s="6"/>
      <c r="M8" s="6"/>
    </row>
    <row r="9" spans="1:21" ht="17" customHeight="1" x14ac:dyDescent="0.2">
      <c r="A9" s="109" t="s">
        <v>146</v>
      </c>
      <c r="B9" s="24">
        <f>B7+B6+B8</f>
        <v>18514.983</v>
      </c>
      <c r="C9" s="25">
        <f>C7+C6+C8</f>
        <v>20821</v>
      </c>
      <c r="D9" s="25">
        <f t="shared" ref="D9" si="0">D7+D6+D8</f>
        <v>27236</v>
      </c>
      <c r="E9" s="25">
        <f>E7+E6+E8</f>
        <v>47232</v>
      </c>
      <c r="G9" s="5"/>
      <c r="H9" s="5"/>
      <c r="I9" s="5"/>
      <c r="K9" s="6"/>
      <c r="L9" s="6"/>
      <c r="M9" s="6"/>
    </row>
    <row r="10" spans="1:21" ht="16" x14ac:dyDescent="0.2">
      <c r="A10" s="108" t="s">
        <v>147</v>
      </c>
      <c r="B10" s="22">
        <v>1555.2439999999999</v>
      </c>
      <c r="C10" s="23">
        <v>1531</v>
      </c>
      <c r="D10" s="23">
        <v>1994</v>
      </c>
      <c r="E10" s="23">
        <v>2789</v>
      </c>
      <c r="G10" s="5"/>
      <c r="H10" s="5"/>
      <c r="I10" s="5"/>
      <c r="K10" s="6"/>
      <c r="L10" s="6"/>
      <c r="M10" s="6"/>
    </row>
    <row r="11" spans="1:21" ht="16" x14ac:dyDescent="0.2">
      <c r="A11" s="108" t="s">
        <v>148</v>
      </c>
      <c r="B11" s="22">
        <v>1391.0409999999999</v>
      </c>
      <c r="C11" s="23">
        <v>2226</v>
      </c>
      <c r="D11" s="23">
        <v>2306</v>
      </c>
      <c r="E11" s="23">
        <v>3802</v>
      </c>
      <c r="G11" s="5"/>
      <c r="H11" s="5"/>
      <c r="I11" s="5"/>
      <c r="K11" s="6"/>
      <c r="L11" s="6"/>
      <c r="M11" s="6"/>
    </row>
    <row r="12" spans="1:21" ht="17" thickBot="1" x14ac:dyDescent="0.25">
      <c r="A12" s="110" t="s">
        <v>117</v>
      </c>
      <c r="B12" s="26">
        <f>SUM(B9:B11)</f>
        <v>21461.268</v>
      </c>
      <c r="C12" s="27">
        <f>SUM(C9:C11)</f>
        <v>24578</v>
      </c>
      <c r="D12" s="27">
        <f>SUM(D9:D11)</f>
        <v>31536</v>
      </c>
      <c r="E12" s="27">
        <f>SUM(E9:E11)</f>
        <v>53823</v>
      </c>
      <c r="F12" s="4"/>
      <c r="G12" s="5"/>
      <c r="H12" s="5"/>
      <c r="I12" s="5"/>
      <c r="K12" s="6"/>
      <c r="L12" s="6"/>
      <c r="M12" s="6"/>
    </row>
    <row r="13" spans="1:21" ht="17" thickTop="1" x14ac:dyDescent="0.2">
      <c r="A13" s="108" t="s">
        <v>116</v>
      </c>
      <c r="B13" s="22">
        <v>-17419.246999999999</v>
      </c>
      <c r="C13" s="23">
        <v>-20509</v>
      </c>
      <c r="D13" s="23">
        <v>-24906</v>
      </c>
      <c r="E13" s="23">
        <v>-40217</v>
      </c>
      <c r="K13" s="6"/>
      <c r="L13" s="6"/>
      <c r="M13" s="6"/>
    </row>
    <row r="14" spans="1:21" s="8" customFormat="1" ht="17" thickBot="1" x14ac:dyDescent="0.25">
      <c r="A14" s="110" t="s">
        <v>115</v>
      </c>
      <c r="B14" s="28">
        <f>B12+B13</f>
        <v>4042.0210000000006</v>
      </c>
      <c r="C14" s="29">
        <f>C12+C13</f>
        <v>4069</v>
      </c>
      <c r="D14" s="29">
        <f>D12+D13</f>
        <v>6630</v>
      </c>
      <c r="E14" s="29">
        <f>E12+E13</f>
        <v>13606</v>
      </c>
      <c r="K14" s="9"/>
      <c r="L14" s="9"/>
      <c r="M14" s="9"/>
    </row>
    <row r="15" spans="1:21" ht="17" thickTop="1" x14ac:dyDescent="0.2">
      <c r="A15" s="108" t="s">
        <v>114</v>
      </c>
      <c r="B15" s="22">
        <v>-1460.37</v>
      </c>
      <c r="C15" s="23">
        <v>-1343</v>
      </c>
      <c r="D15" s="23">
        <v>-1491</v>
      </c>
      <c r="E15" s="23">
        <v>-2593</v>
      </c>
    </row>
    <row r="16" spans="1:21" ht="16" x14ac:dyDescent="0.2">
      <c r="A16" s="108" t="s">
        <v>113</v>
      </c>
      <c r="B16" s="22">
        <v>-2834.491</v>
      </c>
      <c r="C16" s="23">
        <v>-2646</v>
      </c>
      <c r="D16" s="23">
        <v>-3145</v>
      </c>
      <c r="E16" s="23">
        <v>-4517</v>
      </c>
      <c r="K16" s="6"/>
      <c r="L16" s="6"/>
      <c r="M16" s="6"/>
    </row>
    <row r="17" spans="1:13" ht="16" x14ac:dyDescent="0.2">
      <c r="A17" s="108" t="s">
        <v>112</v>
      </c>
      <c r="B17" s="22">
        <v>-135.233</v>
      </c>
      <c r="C17" s="23">
        <v>-149</v>
      </c>
      <c r="D17" s="30" t="s">
        <v>24</v>
      </c>
      <c r="E17" s="23">
        <v>27</v>
      </c>
      <c r="K17" s="6"/>
      <c r="L17" s="6"/>
      <c r="M17" s="6"/>
    </row>
    <row r="18" spans="1:13" ht="16" x14ac:dyDescent="0.2">
      <c r="A18" s="108" t="s">
        <v>111</v>
      </c>
      <c r="B18" s="22" t="s">
        <v>24</v>
      </c>
      <c r="C18" s="30" t="s">
        <v>24</v>
      </c>
      <c r="D18" s="30" t="s">
        <v>24</v>
      </c>
      <c r="E18" s="30" t="s">
        <v>24</v>
      </c>
      <c r="K18" s="6"/>
      <c r="L18" s="6"/>
      <c r="M18" s="6"/>
    </row>
    <row r="19" spans="1:13" s="8" customFormat="1" ht="17" thickBot="1" x14ac:dyDescent="0.25">
      <c r="A19" s="110" t="s">
        <v>149</v>
      </c>
      <c r="B19" s="28">
        <f>B14+B15+B16+B17</f>
        <v>-388.07299999999924</v>
      </c>
      <c r="C19" s="29">
        <f>C14+(C15+C16+C17)</f>
        <v>-69</v>
      </c>
      <c r="D19" s="29">
        <f>D14+D15+D16</f>
        <v>1994</v>
      </c>
      <c r="E19" s="29">
        <f>E14+E15+E16+E17</f>
        <v>6523</v>
      </c>
    </row>
    <row r="20" spans="1:13" ht="17" thickTop="1" x14ac:dyDescent="0.2">
      <c r="A20" s="103" t="s">
        <v>110</v>
      </c>
      <c r="B20" s="22">
        <v>24.533000000000001</v>
      </c>
      <c r="C20" s="23">
        <v>44</v>
      </c>
      <c r="D20" s="23">
        <v>30</v>
      </c>
      <c r="E20" s="23">
        <v>56</v>
      </c>
    </row>
    <row r="21" spans="1:13" ht="16" x14ac:dyDescent="0.2">
      <c r="A21" s="103" t="s">
        <v>109</v>
      </c>
      <c r="B21" s="22">
        <v>-663.07100000000003</v>
      </c>
      <c r="C21" s="23">
        <v>-685</v>
      </c>
      <c r="D21" s="23">
        <v>-748</v>
      </c>
      <c r="E21" s="23">
        <v>-371</v>
      </c>
      <c r="K21" s="6"/>
      <c r="L21" s="6"/>
      <c r="M21" s="6"/>
    </row>
    <row r="22" spans="1:13" ht="16" x14ac:dyDescent="0.2">
      <c r="A22" s="103" t="s">
        <v>108</v>
      </c>
      <c r="B22" s="22">
        <v>21.866</v>
      </c>
      <c r="C22" s="23">
        <v>45</v>
      </c>
      <c r="D22" s="23">
        <v>-122</v>
      </c>
      <c r="E22" s="23">
        <v>135</v>
      </c>
      <c r="M22" s="6"/>
    </row>
    <row r="23" spans="1:13" ht="16" x14ac:dyDescent="0.2">
      <c r="A23" s="103"/>
      <c r="B23" s="31"/>
      <c r="C23" s="30"/>
      <c r="D23" s="30"/>
      <c r="E23" s="30"/>
      <c r="K23" s="6"/>
      <c r="L23" s="6"/>
      <c r="M23" s="6"/>
    </row>
    <row r="24" spans="1:13" s="8" customFormat="1" ht="17" thickBot="1" x14ac:dyDescent="0.25">
      <c r="A24" s="110" t="s">
        <v>130</v>
      </c>
      <c r="B24" s="28">
        <f>B19+B20+B21+B22</f>
        <v>-1004.7449999999992</v>
      </c>
      <c r="C24" s="29">
        <f>C19+C20+C21+C22</f>
        <v>-665</v>
      </c>
      <c r="D24" s="29">
        <f>SUM(D19:D22)</f>
        <v>1154</v>
      </c>
      <c r="E24" s="29">
        <f>SUM(E19:E22)</f>
        <v>6343</v>
      </c>
    </row>
    <row r="25" spans="1:13" ht="17" thickTop="1" x14ac:dyDescent="0.2">
      <c r="A25" s="103" t="s">
        <v>107</v>
      </c>
      <c r="B25" s="22">
        <v>-57.837000000000003</v>
      </c>
      <c r="C25" s="23">
        <v>-110</v>
      </c>
      <c r="D25" s="23">
        <v>-292</v>
      </c>
      <c r="E25" s="23">
        <v>-699</v>
      </c>
      <c r="K25" s="6"/>
      <c r="L25" s="6"/>
      <c r="M25" s="6"/>
    </row>
    <row r="26" spans="1:13" ht="16" x14ac:dyDescent="0.2">
      <c r="A26" s="103"/>
      <c r="B26" s="31"/>
      <c r="C26" s="30"/>
      <c r="D26" s="30"/>
      <c r="E26" s="30"/>
    </row>
    <row r="27" spans="1:13" s="8" customFormat="1" ht="16" x14ac:dyDescent="0.2">
      <c r="A27" s="109" t="s">
        <v>131</v>
      </c>
      <c r="B27" s="32">
        <f>SUM(B24:B25)</f>
        <v>-1062.5819999999992</v>
      </c>
      <c r="C27" s="33">
        <f>SUM(C24:C25)</f>
        <v>-775</v>
      </c>
      <c r="D27" s="33">
        <f>SUM(D24:D25)</f>
        <v>862</v>
      </c>
      <c r="E27" s="33">
        <f>SUM(E24:E25)</f>
        <v>5644</v>
      </c>
      <c r="K27" s="9"/>
      <c r="L27" s="9"/>
      <c r="M27" s="9"/>
    </row>
    <row r="28" spans="1:13" ht="16" x14ac:dyDescent="0.2">
      <c r="A28" s="103" t="s">
        <v>106</v>
      </c>
      <c r="B28" s="22">
        <v>86.491</v>
      </c>
      <c r="C28" s="23">
        <v>-87</v>
      </c>
      <c r="D28" s="23">
        <v>-141</v>
      </c>
      <c r="E28" s="23">
        <v>-125</v>
      </c>
      <c r="F28" s="6"/>
    </row>
    <row r="29" spans="1:13" s="8" customFormat="1" ht="16" x14ac:dyDescent="0.2">
      <c r="A29" s="102" t="s">
        <v>105</v>
      </c>
      <c r="B29" s="32">
        <f>B27+B28</f>
        <v>-976.09099999999921</v>
      </c>
      <c r="C29" s="33">
        <f>C27+C28</f>
        <v>-862</v>
      </c>
      <c r="D29" s="33">
        <f>D27+D28</f>
        <v>721</v>
      </c>
      <c r="E29" s="33">
        <f>E27+E28</f>
        <v>5519</v>
      </c>
      <c r="F29" s="9"/>
      <c r="G29" s="9"/>
      <c r="H29" s="10"/>
    </row>
    <row r="30" spans="1:13" ht="16" x14ac:dyDescent="0.2">
      <c r="A30" s="103" t="s">
        <v>104</v>
      </c>
      <c r="B30" s="31" t="s">
        <v>24</v>
      </c>
      <c r="C30" s="30" t="s">
        <v>24</v>
      </c>
      <c r="D30" s="23">
        <v>31</v>
      </c>
      <c r="E30" s="30" t="s">
        <v>24</v>
      </c>
      <c r="F30" s="6"/>
    </row>
    <row r="31" spans="1:13" ht="16" x14ac:dyDescent="0.2">
      <c r="A31" s="103" t="s">
        <v>103</v>
      </c>
      <c r="B31" s="31">
        <f>B29</f>
        <v>-976.09099999999921</v>
      </c>
      <c r="C31" s="30">
        <f>C29</f>
        <v>-862</v>
      </c>
      <c r="D31" s="30">
        <f>D29-D30</f>
        <v>690</v>
      </c>
      <c r="E31" s="31">
        <f>E29</f>
        <v>5519</v>
      </c>
      <c r="F31" s="6"/>
    </row>
    <row r="32" spans="1:13" s="8" customFormat="1" ht="17" thickBot="1" x14ac:dyDescent="0.25">
      <c r="A32" s="104" t="s">
        <v>119</v>
      </c>
      <c r="B32" s="28">
        <v>-5.72</v>
      </c>
      <c r="C32" s="28">
        <v>-4.92</v>
      </c>
      <c r="D32" s="34">
        <v>0.74</v>
      </c>
      <c r="E32" s="34">
        <v>5.6</v>
      </c>
      <c r="F32" s="9"/>
    </row>
    <row r="33" spans="1:8" s="8" customFormat="1" ht="18" thickTop="1" thickBot="1" x14ac:dyDescent="0.25">
      <c r="A33" s="111" t="s">
        <v>120</v>
      </c>
      <c r="B33" s="35">
        <v>-5.72</v>
      </c>
      <c r="C33" s="36">
        <v>-4.92</v>
      </c>
      <c r="D33" s="37">
        <v>0.64</v>
      </c>
      <c r="E33" s="38">
        <v>4.9000000000000004</v>
      </c>
      <c r="F33" s="9"/>
    </row>
    <row r="34" spans="1:8" ht="23" customHeight="1" thickTop="1" x14ac:dyDescent="0.25">
      <c r="A34" s="132" t="s">
        <v>102</v>
      </c>
      <c r="B34" s="50"/>
      <c r="C34" s="51"/>
      <c r="D34" s="51"/>
      <c r="E34" s="51"/>
      <c r="F34" s="3"/>
      <c r="G34" s="3"/>
      <c r="H34" s="3"/>
    </row>
    <row r="35" spans="1:8" ht="25" x14ac:dyDescent="0.2">
      <c r="A35" s="135" t="s">
        <v>101</v>
      </c>
      <c r="B35" s="52"/>
      <c r="C35" s="53"/>
      <c r="D35" s="53"/>
      <c r="E35" s="53"/>
      <c r="F35" s="7"/>
      <c r="G35" s="7"/>
    </row>
    <row r="36" spans="1:8" ht="19" x14ac:dyDescent="0.2">
      <c r="A36" s="136" t="s">
        <v>150</v>
      </c>
      <c r="B36" s="54"/>
      <c r="C36" s="55"/>
      <c r="D36" s="55"/>
      <c r="E36" s="55"/>
      <c r="F36" s="7"/>
      <c r="G36" s="7"/>
    </row>
    <row r="37" spans="1:8" ht="17" thickBot="1" x14ac:dyDescent="0.25">
      <c r="A37" s="133" t="s">
        <v>100</v>
      </c>
      <c r="B37" s="56"/>
      <c r="C37" s="56"/>
      <c r="D37" s="56"/>
      <c r="E37" s="56"/>
      <c r="F37" s="7"/>
      <c r="G37" s="7"/>
    </row>
    <row r="38" spans="1:8" ht="19" thickTop="1" thickBot="1" x14ac:dyDescent="0.3">
      <c r="A38" s="134" t="s">
        <v>123</v>
      </c>
      <c r="B38" s="134">
        <v>2018</v>
      </c>
      <c r="C38" s="137">
        <f>B38+1</f>
        <v>2019</v>
      </c>
      <c r="D38" s="137">
        <f>C38+1</f>
        <v>2020</v>
      </c>
      <c r="E38" s="137">
        <f>D38+1</f>
        <v>2021</v>
      </c>
      <c r="F38" s="11"/>
      <c r="G38" s="12"/>
      <c r="H38" s="11"/>
    </row>
    <row r="39" spans="1:8" ht="17" thickTop="1" x14ac:dyDescent="0.2">
      <c r="A39" s="102" t="s">
        <v>25</v>
      </c>
      <c r="B39" s="14"/>
      <c r="C39" s="16"/>
      <c r="D39" s="20"/>
      <c r="E39" s="20"/>
      <c r="H39" s="13"/>
    </row>
    <row r="40" spans="1:8" ht="16" x14ac:dyDescent="0.2">
      <c r="A40" s="102" t="s">
        <v>99</v>
      </c>
      <c r="B40" s="15"/>
      <c r="C40" s="17"/>
      <c r="D40" s="18"/>
      <c r="E40" s="18"/>
      <c r="H40" s="13"/>
    </row>
    <row r="41" spans="1:8" ht="16" x14ac:dyDescent="0.2">
      <c r="A41" s="103" t="s">
        <v>98</v>
      </c>
      <c r="B41" s="39">
        <v>3685.6179999999999</v>
      </c>
      <c r="C41" s="40">
        <v>6268</v>
      </c>
      <c r="D41" s="40">
        <v>19384</v>
      </c>
      <c r="E41" s="40">
        <v>17576</v>
      </c>
    </row>
    <row r="42" spans="1:8" ht="16" x14ac:dyDescent="0.2">
      <c r="A42" s="103" t="s">
        <v>97</v>
      </c>
      <c r="B42" s="39">
        <v>192.55099999999999</v>
      </c>
      <c r="C42" s="40">
        <v>246</v>
      </c>
      <c r="D42" s="40" t="s">
        <v>24</v>
      </c>
      <c r="E42" s="40" t="s">
        <v>24</v>
      </c>
    </row>
    <row r="43" spans="1:8" ht="16" x14ac:dyDescent="0.2">
      <c r="A43" s="103" t="s">
        <v>152</v>
      </c>
      <c r="B43" s="40" t="s">
        <v>24</v>
      </c>
      <c r="C43" s="40" t="s">
        <v>24</v>
      </c>
      <c r="D43" s="40" t="s">
        <v>24</v>
      </c>
      <c r="E43" s="40">
        <v>131</v>
      </c>
    </row>
    <row r="44" spans="1:8" ht="16" x14ac:dyDescent="0.2">
      <c r="A44" s="103" t="s">
        <v>96</v>
      </c>
      <c r="B44" s="39">
        <v>949.02200000000005</v>
      </c>
      <c r="C44" s="40">
        <v>1324</v>
      </c>
      <c r="D44" s="40">
        <v>1886</v>
      </c>
      <c r="E44" s="40">
        <v>1913</v>
      </c>
    </row>
    <row r="45" spans="1:8" ht="16" x14ac:dyDescent="0.2">
      <c r="A45" s="103" t="s">
        <v>95</v>
      </c>
      <c r="B45" s="39">
        <v>3113.4459999999999</v>
      </c>
      <c r="C45" s="40">
        <v>3552</v>
      </c>
      <c r="D45" s="40">
        <v>4101</v>
      </c>
      <c r="E45" s="40">
        <v>5757</v>
      </c>
    </row>
    <row r="46" spans="1:8" ht="16" x14ac:dyDescent="0.2">
      <c r="A46" s="103" t="s">
        <v>94</v>
      </c>
      <c r="B46" s="39">
        <v>365.67099999999999</v>
      </c>
      <c r="C46" s="40">
        <v>713</v>
      </c>
      <c r="D46" s="40">
        <v>1346</v>
      </c>
      <c r="E46" s="40">
        <v>1723</v>
      </c>
    </row>
    <row r="47" spans="1:8" ht="17" thickBot="1" x14ac:dyDescent="0.25">
      <c r="A47" s="104" t="s">
        <v>93</v>
      </c>
      <c r="B47" s="41">
        <f>SUM(B41:B46)</f>
        <v>8306.3079999999991</v>
      </c>
      <c r="C47" s="41">
        <f t="shared" ref="C47:E47" si="1">SUM(C41:C46)</f>
        <v>12103</v>
      </c>
      <c r="D47" s="41">
        <f t="shared" si="1"/>
        <v>26717</v>
      </c>
      <c r="E47" s="41">
        <f t="shared" si="1"/>
        <v>27100</v>
      </c>
    </row>
    <row r="48" spans="1:8" ht="17" thickTop="1" x14ac:dyDescent="0.2">
      <c r="A48" s="103" t="s">
        <v>92</v>
      </c>
      <c r="B48" s="39">
        <v>2089.7579999999998</v>
      </c>
      <c r="C48" s="40">
        <v>2447</v>
      </c>
      <c r="D48" s="40">
        <v>3091</v>
      </c>
      <c r="E48" s="40">
        <v>4511</v>
      </c>
    </row>
    <row r="49" spans="1:9" ht="16" x14ac:dyDescent="0.2">
      <c r="A49" s="103" t="s">
        <v>91</v>
      </c>
      <c r="B49" s="39">
        <v>6271.3959999999997</v>
      </c>
      <c r="C49" s="40">
        <v>6138</v>
      </c>
      <c r="D49" s="40">
        <v>5979</v>
      </c>
      <c r="E49" s="40">
        <v>5765</v>
      </c>
    </row>
    <row r="50" spans="1:9" ht="16" x14ac:dyDescent="0.2">
      <c r="A50" s="103" t="s">
        <v>90</v>
      </c>
      <c r="B50" s="39">
        <v>11330.076999999999</v>
      </c>
      <c r="C50" s="40">
        <v>10396</v>
      </c>
      <c r="D50" s="40">
        <v>12747</v>
      </c>
      <c r="E50" s="40">
        <v>18884</v>
      </c>
    </row>
    <row r="51" spans="1:9" ht="16" x14ac:dyDescent="0.2">
      <c r="A51" s="103" t="s">
        <v>89</v>
      </c>
      <c r="B51" s="39" t="s">
        <v>24</v>
      </c>
      <c r="C51" s="40">
        <v>1218</v>
      </c>
      <c r="D51" s="40">
        <v>1558</v>
      </c>
      <c r="E51" s="40">
        <v>2016</v>
      </c>
    </row>
    <row r="52" spans="1:9" ht="16" x14ac:dyDescent="0.2">
      <c r="A52" s="103" t="s">
        <v>153</v>
      </c>
      <c r="B52" s="39" t="s">
        <v>24</v>
      </c>
      <c r="C52" s="39" t="s">
        <v>24</v>
      </c>
      <c r="D52" s="39" t="s">
        <v>24</v>
      </c>
      <c r="E52" s="40">
        <v>1260</v>
      </c>
    </row>
    <row r="53" spans="1:9" ht="16" x14ac:dyDescent="0.2">
      <c r="A53" s="103" t="s">
        <v>88</v>
      </c>
      <c r="B53" s="39">
        <v>282.49200000000002</v>
      </c>
      <c r="C53" s="40">
        <v>339</v>
      </c>
      <c r="D53" s="40">
        <v>313</v>
      </c>
      <c r="E53" s="40">
        <v>257</v>
      </c>
    </row>
    <row r="54" spans="1:9" ht="16" x14ac:dyDescent="0.2">
      <c r="A54" s="103" t="s">
        <v>87</v>
      </c>
      <c r="B54" s="39">
        <v>68.159000000000006</v>
      </c>
      <c r="C54" s="40">
        <v>198</v>
      </c>
      <c r="D54" s="40">
        <v>207</v>
      </c>
      <c r="E54" s="40">
        <v>200</v>
      </c>
    </row>
    <row r="55" spans="1:9" ht="16" x14ac:dyDescent="0.2">
      <c r="A55" s="103" t="s">
        <v>86</v>
      </c>
      <c r="B55" s="39">
        <v>421.548</v>
      </c>
      <c r="C55" s="40">
        <v>393</v>
      </c>
      <c r="D55" s="40" t="s">
        <v>24</v>
      </c>
      <c r="E55" s="40" t="s">
        <v>24</v>
      </c>
    </row>
    <row r="56" spans="1:9" ht="16" x14ac:dyDescent="0.2">
      <c r="A56" s="103" t="s">
        <v>85</v>
      </c>
      <c r="B56" s="39">
        <v>398.21899999999999</v>
      </c>
      <c r="C56" s="40">
        <v>269</v>
      </c>
      <c r="D56" s="40" t="s">
        <v>24</v>
      </c>
      <c r="E56" s="40" t="s">
        <v>24</v>
      </c>
    </row>
    <row r="57" spans="1:9" ht="16" x14ac:dyDescent="0.2">
      <c r="A57" s="103" t="s">
        <v>84</v>
      </c>
      <c r="B57" s="39">
        <v>571.65700000000004</v>
      </c>
      <c r="C57" s="40">
        <v>808</v>
      </c>
      <c r="D57" s="40">
        <v>1536</v>
      </c>
      <c r="E57" s="40">
        <v>2138</v>
      </c>
    </row>
    <row r="58" spans="1:9" ht="17" thickBot="1" x14ac:dyDescent="0.25">
      <c r="A58" s="104" t="s">
        <v>38</v>
      </c>
      <c r="B58" s="41">
        <f>SUM(B47:B57)</f>
        <v>29739.613999999994</v>
      </c>
      <c r="C58" s="42">
        <f>SUM(C47:C57)</f>
        <v>34309</v>
      </c>
      <c r="D58" s="42">
        <f>SUM(D47:D57)</f>
        <v>52148</v>
      </c>
      <c r="E58" s="42">
        <f>SUM(E47:E57)</f>
        <v>62131</v>
      </c>
    </row>
    <row r="59" spans="1:9" s="8" customFormat="1" ht="17" thickTop="1" x14ac:dyDescent="0.2">
      <c r="A59" s="105" t="s">
        <v>83</v>
      </c>
      <c r="B59" s="43"/>
      <c r="C59" s="44"/>
      <c r="D59" s="44"/>
      <c r="E59" s="44"/>
      <c r="I59" s="9"/>
    </row>
    <row r="60" spans="1:9" ht="16" x14ac:dyDescent="0.2">
      <c r="A60" s="103" t="s">
        <v>82</v>
      </c>
      <c r="B60" s="39">
        <v>3404.451</v>
      </c>
      <c r="C60" s="40">
        <v>3771</v>
      </c>
      <c r="D60" s="40">
        <v>6051</v>
      </c>
      <c r="E60" s="40">
        <v>10025</v>
      </c>
      <c r="I60" s="6"/>
    </row>
    <row r="61" spans="1:9" ht="16" x14ac:dyDescent="0.2">
      <c r="A61" s="103" t="s">
        <v>81</v>
      </c>
      <c r="B61" s="39">
        <v>2094.2530000000002</v>
      </c>
      <c r="C61" s="40">
        <v>2905</v>
      </c>
      <c r="D61" s="40">
        <v>3855</v>
      </c>
      <c r="E61" s="40">
        <v>5719</v>
      </c>
      <c r="I61" s="6"/>
    </row>
    <row r="62" spans="1:9" ht="16" x14ac:dyDescent="0.2">
      <c r="A62" s="103" t="s">
        <v>80</v>
      </c>
      <c r="B62" s="39">
        <v>630.29200000000003</v>
      </c>
      <c r="C62" s="40">
        <v>1163</v>
      </c>
      <c r="D62" s="40">
        <v>1458</v>
      </c>
      <c r="E62" s="40">
        <v>1447</v>
      </c>
      <c r="I62" s="6"/>
    </row>
    <row r="63" spans="1:9" ht="16" x14ac:dyDescent="0.2">
      <c r="A63" s="103" t="s">
        <v>79</v>
      </c>
      <c r="B63" s="39">
        <v>502.84</v>
      </c>
      <c r="C63" s="40">
        <v>317</v>
      </c>
      <c r="D63" s="40" t="s">
        <v>24</v>
      </c>
      <c r="E63" s="40" t="s">
        <v>24</v>
      </c>
      <c r="I63" s="6"/>
    </row>
    <row r="64" spans="1:9" ht="16" x14ac:dyDescent="0.2">
      <c r="A64" s="103" t="s">
        <v>78</v>
      </c>
      <c r="B64" s="39">
        <v>792.601</v>
      </c>
      <c r="C64" s="40">
        <v>726</v>
      </c>
      <c r="D64" s="40">
        <v>752</v>
      </c>
      <c r="E64" s="40">
        <v>925</v>
      </c>
      <c r="I64" s="6"/>
    </row>
    <row r="65" spans="1:9" ht="16" x14ac:dyDescent="0.2">
      <c r="A65" s="103" t="s">
        <v>77</v>
      </c>
      <c r="B65" s="39">
        <v>2567.6990000000001</v>
      </c>
      <c r="C65" s="40">
        <v>1785</v>
      </c>
      <c r="D65" s="40">
        <v>2132</v>
      </c>
      <c r="E65" s="40">
        <v>1589</v>
      </c>
      <c r="I65" s="6"/>
    </row>
    <row r="66" spans="1:9" ht="17" thickBot="1" x14ac:dyDescent="0.25">
      <c r="A66" s="104" t="s">
        <v>76</v>
      </c>
      <c r="B66" s="41">
        <f>SUM(B60:B65)</f>
        <v>9992.1360000000004</v>
      </c>
      <c r="C66" s="42">
        <f>SUM(C60:C65)</f>
        <v>10667</v>
      </c>
      <c r="D66" s="42">
        <f>SUM(D60:D65)</f>
        <v>14248</v>
      </c>
      <c r="E66" s="42">
        <f>SUM(E60:E65)</f>
        <v>19705</v>
      </c>
      <c r="I66" s="6"/>
    </row>
    <row r="67" spans="1:9" ht="17" thickTop="1" x14ac:dyDescent="0.2">
      <c r="A67" s="103" t="s">
        <v>75</v>
      </c>
      <c r="B67" s="39">
        <v>9403.6720000000005</v>
      </c>
      <c r="C67" s="40">
        <v>11634</v>
      </c>
      <c r="D67" s="40">
        <v>9556</v>
      </c>
      <c r="E67" s="40">
        <v>5245</v>
      </c>
      <c r="I67" s="6"/>
    </row>
    <row r="68" spans="1:9" ht="16" x14ac:dyDescent="0.2">
      <c r="A68" s="103" t="s">
        <v>74</v>
      </c>
      <c r="B68" s="39">
        <v>990.87300000000005</v>
      </c>
      <c r="C68" s="40">
        <v>1207</v>
      </c>
      <c r="D68" s="40">
        <v>1284</v>
      </c>
      <c r="E68" s="40">
        <v>2052</v>
      </c>
      <c r="I68" s="6"/>
    </row>
    <row r="69" spans="1:9" ht="16" x14ac:dyDescent="0.2">
      <c r="A69" s="103" t="s">
        <v>73</v>
      </c>
      <c r="B69" s="39">
        <v>328.92599999999999</v>
      </c>
      <c r="C69" s="40">
        <v>36</v>
      </c>
      <c r="D69" s="45" t="s">
        <v>24</v>
      </c>
      <c r="E69" s="45" t="s">
        <v>24</v>
      </c>
      <c r="I69" s="6"/>
    </row>
    <row r="70" spans="1:9" ht="16" x14ac:dyDescent="0.2">
      <c r="A70" s="103" t="s">
        <v>72</v>
      </c>
      <c r="B70" s="39">
        <v>2710.402</v>
      </c>
      <c r="C70" s="40">
        <v>2655</v>
      </c>
      <c r="D70" s="40">
        <v>3330</v>
      </c>
      <c r="E70" s="40">
        <v>3546</v>
      </c>
      <c r="I70" s="6"/>
    </row>
    <row r="71" spans="1:9" ht="16" x14ac:dyDescent="0.2">
      <c r="A71" s="106" t="s">
        <v>140</v>
      </c>
      <c r="B71" s="46">
        <f>SUM(B67:B70)</f>
        <v>13433.873</v>
      </c>
      <c r="C71" s="47">
        <f>SUM(C67:C70)</f>
        <v>15532</v>
      </c>
      <c r="D71" s="47">
        <f>SUM(D67:D70)</f>
        <v>14170</v>
      </c>
      <c r="E71" s="47">
        <f>SUM(E67:E70)</f>
        <v>10843</v>
      </c>
      <c r="I71" s="6"/>
    </row>
    <row r="72" spans="1:9" s="8" customFormat="1" ht="17" thickBot="1" x14ac:dyDescent="0.25">
      <c r="A72" s="107" t="s">
        <v>71</v>
      </c>
      <c r="B72" s="48">
        <f>B71+B66</f>
        <v>23426.008999999998</v>
      </c>
      <c r="C72" s="49">
        <f>C71+C66</f>
        <v>26199</v>
      </c>
      <c r="D72" s="49">
        <f>D71+D66</f>
        <v>28418</v>
      </c>
      <c r="E72" s="49">
        <f>E71+E66</f>
        <v>30548</v>
      </c>
      <c r="G72" s="9"/>
      <c r="I72" s="9"/>
    </row>
    <row r="73" spans="1:9" s="8" customFormat="1" ht="18" thickTop="1" thickBot="1" x14ac:dyDescent="0.25">
      <c r="A73" s="107" t="s">
        <v>164</v>
      </c>
      <c r="B73" s="48">
        <v>11971</v>
      </c>
      <c r="C73" s="49">
        <v>13419</v>
      </c>
      <c r="D73" s="49">
        <v>11688</v>
      </c>
      <c r="E73" s="49">
        <v>6834</v>
      </c>
      <c r="G73" s="9"/>
      <c r="I73" s="9"/>
    </row>
    <row r="74" spans="1:9" ht="17" thickTop="1" x14ac:dyDescent="0.2">
      <c r="A74" s="103" t="s">
        <v>70</v>
      </c>
      <c r="B74" s="22">
        <v>555.96400000000006</v>
      </c>
      <c r="C74" s="23">
        <v>643</v>
      </c>
      <c r="D74" s="23">
        <v>604</v>
      </c>
      <c r="E74" s="23">
        <v>568</v>
      </c>
    </row>
    <row r="75" spans="1:9" ht="16" x14ac:dyDescent="0.2">
      <c r="A75" s="103" t="s">
        <v>69</v>
      </c>
      <c r="B75" s="22" t="s">
        <v>24</v>
      </c>
      <c r="C75" s="22" t="s">
        <v>24</v>
      </c>
      <c r="D75" s="23">
        <v>51</v>
      </c>
      <c r="E75" s="23"/>
    </row>
    <row r="76" spans="1:9" ht="16" x14ac:dyDescent="0.2">
      <c r="A76" s="102" t="s">
        <v>68</v>
      </c>
      <c r="B76" s="22"/>
      <c r="C76" s="23"/>
      <c r="D76" s="23"/>
      <c r="E76" s="23"/>
    </row>
    <row r="77" spans="1:9" ht="16" x14ac:dyDescent="0.2">
      <c r="A77" s="102" t="s">
        <v>67</v>
      </c>
      <c r="B77" s="22"/>
      <c r="C77" s="23"/>
      <c r="D77" s="23"/>
      <c r="E77" s="23"/>
    </row>
    <row r="78" spans="1:9" ht="16" x14ac:dyDescent="0.2">
      <c r="A78" s="103" t="s">
        <v>154</v>
      </c>
      <c r="B78" s="22">
        <v>0.17299999999999999</v>
      </c>
      <c r="C78" s="23">
        <v>1</v>
      </c>
      <c r="D78" s="23">
        <v>1</v>
      </c>
      <c r="E78" s="23">
        <v>1</v>
      </c>
    </row>
    <row r="79" spans="1:9" ht="16" x14ac:dyDescent="0.2">
      <c r="A79" s="103" t="s">
        <v>66</v>
      </c>
      <c r="B79" s="22">
        <v>10249.120000000001</v>
      </c>
      <c r="C79" s="23">
        <v>12737</v>
      </c>
      <c r="D79" s="23">
        <v>27260</v>
      </c>
      <c r="E79" s="23">
        <v>29803</v>
      </c>
    </row>
    <row r="80" spans="1:9" ht="16" x14ac:dyDescent="0.2">
      <c r="A80" s="103" t="s">
        <v>65</v>
      </c>
      <c r="B80" s="22">
        <v>-8.218</v>
      </c>
      <c r="C80" s="23">
        <v>-36</v>
      </c>
      <c r="D80" s="23">
        <v>363</v>
      </c>
      <c r="E80" s="23">
        <v>54</v>
      </c>
    </row>
    <row r="81" spans="1:5" ht="16" x14ac:dyDescent="0.2">
      <c r="A81" s="103" t="s">
        <v>64</v>
      </c>
      <c r="B81" s="22">
        <v>-5317.8320000000003</v>
      </c>
      <c r="C81" s="23">
        <v>-6083</v>
      </c>
      <c r="D81" s="23">
        <v>-5399</v>
      </c>
      <c r="E81" s="23">
        <v>331</v>
      </c>
    </row>
    <row r="82" spans="1:5" ht="17" thickBot="1" x14ac:dyDescent="0.25">
      <c r="A82" s="104" t="s">
        <v>159</v>
      </c>
      <c r="B82" s="28">
        <f>SUM(B77:B81)</f>
        <v>4923.2430000000004</v>
      </c>
      <c r="C82" s="29">
        <f>C79+C80+C81</f>
        <v>6618</v>
      </c>
      <c r="D82" s="29">
        <f>SUM(D78:D81)</f>
        <v>22225</v>
      </c>
      <c r="E82" s="29">
        <f>SUM(E78:E81)</f>
        <v>30189</v>
      </c>
    </row>
    <row r="83" spans="1:5" ht="17" thickTop="1" x14ac:dyDescent="0.2">
      <c r="A83" s="103" t="s">
        <v>63</v>
      </c>
      <c r="B83" s="22">
        <v>834.39700000000005</v>
      </c>
      <c r="C83" s="23">
        <v>849</v>
      </c>
      <c r="D83" s="23">
        <v>850</v>
      </c>
      <c r="E83" s="23">
        <v>826</v>
      </c>
    </row>
    <row r="84" spans="1:5" ht="17" thickBot="1" x14ac:dyDescent="0.25">
      <c r="A84" s="104" t="s">
        <v>62</v>
      </c>
      <c r="B84" s="41">
        <f>B72+B74+B82+B83</f>
        <v>29739.613000000001</v>
      </c>
      <c r="C84" s="42">
        <f>C72+C74+C82+C83</f>
        <v>34309</v>
      </c>
      <c r="D84" s="42">
        <f>D72+D74+D75+D82+D83</f>
        <v>52148</v>
      </c>
      <c r="E84" s="42">
        <f>E72+E74+E75+E82+E83</f>
        <v>62131</v>
      </c>
    </row>
    <row r="85" spans="1:5" ht="16" thickTop="1" x14ac:dyDescent="0.2"/>
    <row r="86" spans="1:5" x14ac:dyDescent="0.2">
      <c r="B86" s="139"/>
      <c r="D86" s="7">
        <f>E72/E82</f>
        <v>1.0118917486501706</v>
      </c>
    </row>
    <row r="87" spans="1:5" x14ac:dyDescent="0.2">
      <c r="B87" s="139"/>
      <c r="C87" s="139"/>
      <c r="D87" s="139"/>
      <c r="E87" s="139"/>
    </row>
  </sheetData>
  <pageMargins left="0.7" right="0.7" top="0.75" bottom="0.75" header="0.3" footer="0.3"/>
  <pageSetup paperSize="9" orientation="portrait" horizontalDpi="300" verticalDpi="300" r:id="rId1"/>
  <ignoredErrors>
    <ignoredError sqref="D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5"/>
  <sheetViews>
    <sheetView showGridLines="0" topLeftCell="A60" zoomScaleNormal="100" workbookViewId="0">
      <selection activeCell="C72" sqref="C72"/>
    </sheetView>
  </sheetViews>
  <sheetFormatPr baseColWidth="10" defaultColWidth="0" defaultRowHeight="15" x14ac:dyDescent="0.2"/>
  <cols>
    <col min="1" max="1" width="100.6640625" customWidth="1"/>
    <col min="2" max="2" width="14.1640625" style="100" customWidth="1"/>
    <col min="3" max="3" width="14.1640625" style="101" customWidth="1"/>
    <col min="4" max="5" width="14.1640625" style="100" customWidth="1"/>
    <col min="6" max="6" width="0" hidden="1" customWidth="1"/>
    <col min="7" max="16384" width="8.83203125" hidden="1"/>
  </cols>
  <sheetData>
    <row r="1" spans="1:6" ht="23" customHeight="1" x14ac:dyDescent="0.2">
      <c r="A1" s="132" t="s">
        <v>0</v>
      </c>
      <c r="B1" s="50"/>
      <c r="C1" s="51"/>
      <c r="D1" s="51"/>
      <c r="E1" s="51"/>
    </row>
    <row r="2" spans="1:6" ht="25" x14ac:dyDescent="0.2">
      <c r="A2" s="135" t="s">
        <v>1</v>
      </c>
      <c r="B2" s="52"/>
      <c r="C2" s="53"/>
      <c r="D2" s="53"/>
      <c r="E2" s="53"/>
    </row>
    <row r="3" spans="1:6" ht="19" x14ac:dyDescent="0.2">
      <c r="A3" s="136" t="s">
        <v>150</v>
      </c>
      <c r="B3" s="54"/>
      <c r="C3" s="55"/>
      <c r="D3" s="55"/>
      <c r="E3" s="55"/>
    </row>
    <row r="4" spans="1:6" ht="17" thickBot="1" x14ac:dyDescent="0.25">
      <c r="A4" s="133" t="s">
        <v>2</v>
      </c>
      <c r="B4" s="56"/>
      <c r="C4" s="56"/>
      <c r="D4" s="56"/>
      <c r="E4" s="56"/>
    </row>
    <row r="5" spans="1:6" s="10" customFormat="1" ht="19" thickTop="1" thickBot="1" x14ac:dyDescent="0.3">
      <c r="A5" s="134" t="s">
        <v>121</v>
      </c>
      <c r="B5" s="134">
        <v>2018</v>
      </c>
      <c r="C5" s="137">
        <f>B5+1</f>
        <v>2019</v>
      </c>
      <c r="D5" s="137">
        <f t="shared" ref="D5:E5" si="0">C5+1</f>
        <v>2020</v>
      </c>
      <c r="E5" s="137">
        <f t="shared" si="0"/>
        <v>2021</v>
      </c>
    </row>
    <row r="6" spans="1:6" ht="17" thickTop="1" x14ac:dyDescent="0.2">
      <c r="A6" s="109" t="s">
        <v>3</v>
      </c>
      <c r="B6" s="57"/>
      <c r="C6" s="58"/>
      <c r="D6" s="59"/>
      <c r="E6" s="59"/>
    </row>
    <row r="7" spans="1:6" ht="16" x14ac:dyDescent="0.2">
      <c r="A7" s="108" t="s">
        <v>4</v>
      </c>
      <c r="B7" s="60">
        <v>148294</v>
      </c>
      <c r="C7" s="61">
        <v>143599</v>
      </c>
      <c r="D7" s="61">
        <v>115885</v>
      </c>
      <c r="E7" s="61">
        <v>126150</v>
      </c>
    </row>
    <row r="8" spans="1:6" ht="16" x14ac:dyDescent="0.2">
      <c r="A8" s="103" t="s">
        <v>5</v>
      </c>
      <c r="B8" s="60">
        <v>12018</v>
      </c>
      <c r="C8" s="61">
        <v>12260</v>
      </c>
      <c r="D8" s="61">
        <v>11203</v>
      </c>
      <c r="E8" s="61">
        <v>10073</v>
      </c>
    </row>
    <row r="9" spans="1:6" ht="16" x14ac:dyDescent="0.2">
      <c r="A9" s="103" t="s">
        <v>6</v>
      </c>
      <c r="B9" s="60">
        <v>26</v>
      </c>
      <c r="C9" s="61">
        <v>41</v>
      </c>
      <c r="D9" s="61">
        <v>56</v>
      </c>
      <c r="E9" s="61">
        <v>118</v>
      </c>
    </row>
    <row r="10" spans="1:6" s="8" customFormat="1" ht="17" thickBot="1" x14ac:dyDescent="0.25">
      <c r="A10" s="104" t="s">
        <v>7</v>
      </c>
      <c r="B10" s="62">
        <f>SUM(B7:B9)</f>
        <v>160338</v>
      </c>
      <c r="C10" s="63">
        <f>SUM(C7:C9)</f>
        <v>155900</v>
      </c>
      <c r="D10" s="63">
        <f>SUM(D7:D9)</f>
        <v>127144</v>
      </c>
      <c r="E10" s="63">
        <f>SUM(E7:E9)</f>
        <v>136341</v>
      </c>
    </row>
    <row r="11" spans="1:6" ht="18" thickTop="1" thickBot="1" x14ac:dyDescent="0.25">
      <c r="A11" s="111" t="s">
        <v>8</v>
      </c>
      <c r="B11" s="64">
        <v>136269</v>
      </c>
      <c r="C11" s="65">
        <v>134693</v>
      </c>
      <c r="D11" s="65">
        <v>112752</v>
      </c>
      <c r="E11" s="65">
        <v>114651</v>
      </c>
    </row>
    <row r="12" spans="1:6" s="8" customFormat="1" ht="18" thickTop="1" thickBot="1" x14ac:dyDescent="0.25">
      <c r="A12" s="111" t="s">
        <v>142</v>
      </c>
      <c r="B12" s="66">
        <f t="shared" ref="B12:D12" si="1">B10-B11</f>
        <v>24069</v>
      </c>
      <c r="C12" s="67">
        <f t="shared" si="1"/>
        <v>21207</v>
      </c>
      <c r="D12" s="67">
        <f t="shared" si="1"/>
        <v>14392</v>
      </c>
      <c r="E12" s="67">
        <f t="shared" ref="E12" si="2">E10-E11</f>
        <v>21690</v>
      </c>
    </row>
    <row r="13" spans="1:6" ht="17" thickTop="1" x14ac:dyDescent="0.2">
      <c r="A13" s="103" t="s">
        <v>141</v>
      </c>
      <c r="B13" s="60">
        <v>11403</v>
      </c>
      <c r="C13" s="61">
        <v>11161</v>
      </c>
      <c r="D13" s="61">
        <v>10193</v>
      </c>
      <c r="E13" s="61">
        <v>11915</v>
      </c>
    </row>
    <row r="14" spans="1:6" ht="16" x14ac:dyDescent="0.2">
      <c r="A14" s="103" t="s">
        <v>9</v>
      </c>
      <c r="B14" s="60">
        <v>9463</v>
      </c>
      <c r="C14" s="61">
        <v>9472</v>
      </c>
      <c r="D14" s="61">
        <v>8607</v>
      </c>
      <c r="E14" s="61">
        <v>5252</v>
      </c>
    </row>
    <row r="15" spans="1:6" ht="17" thickBot="1" x14ac:dyDescent="0.25">
      <c r="A15" s="104" t="s">
        <v>143</v>
      </c>
      <c r="B15" s="68">
        <f>B12-B14-B13</f>
        <v>3203</v>
      </c>
      <c r="C15" s="69">
        <f>C12-C14-C13</f>
        <v>574</v>
      </c>
      <c r="D15" s="69">
        <f>D12-D14-D13</f>
        <v>-4408</v>
      </c>
      <c r="E15" s="69">
        <f>E12-E14-E13</f>
        <v>4523</v>
      </c>
      <c r="F15" s="21"/>
    </row>
    <row r="16" spans="1:6" ht="17" thickTop="1" x14ac:dyDescent="0.2">
      <c r="A16" s="103" t="s">
        <v>155</v>
      </c>
      <c r="B16" s="60">
        <v>1171</v>
      </c>
      <c r="C16" s="61">
        <v>963</v>
      </c>
      <c r="D16" s="61">
        <v>1603</v>
      </c>
      <c r="E16" s="61">
        <v>1803</v>
      </c>
    </row>
    <row r="17" spans="1:5" ht="16" x14ac:dyDescent="0.2">
      <c r="A17" s="103" t="s">
        <v>10</v>
      </c>
      <c r="B17" s="60">
        <v>57</v>
      </c>
      <c r="C17" s="61">
        <v>57</v>
      </c>
      <c r="D17" s="61">
        <v>46</v>
      </c>
      <c r="E17" s="61"/>
    </row>
    <row r="18" spans="1:5" ht="16" x14ac:dyDescent="0.2">
      <c r="A18" s="103" t="s">
        <v>11</v>
      </c>
      <c r="B18" s="60">
        <v>2247</v>
      </c>
      <c r="C18" s="61">
        <v>-226</v>
      </c>
      <c r="D18" s="61">
        <v>4899</v>
      </c>
      <c r="E18" s="61">
        <v>14733</v>
      </c>
    </row>
    <row r="19" spans="1:5" ht="16" x14ac:dyDescent="0.2">
      <c r="A19" s="103" t="s">
        <v>12</v>
      </c>
      <c r="B19" s="60">
        <v>123</v>
      </c>
      <c r="C19" s="61">
        <v>32</v>
      </c>
      <c r="D19" s="61">
        <v>42</v>
      </c>
      <c r="E19" s="61">
        <v>327</v>
      </c>
    </row>
    <row r="20" spans="1:5" ht="17" thickBot="1" x14ac:dyDescent="0.25">
      <c r="A20" s="104" t="s">
        <v>13</v>
      </c>
      <c r="B20" s="62">
        <f>B15-B16-B17+B18+B19</f>
        <v>4345</v>
      </c>
      <c r="C20" s="63">
        <f>C15-C16-C17+C18+C19</f>
        <v>-640</v>
      </c>
      <c r="D20" s="63">
        <f>D15-D16-D17+D18+D19</f>
        <v>-1116</v>
      </c>
      <c r="E20" s="63">
        <f>E15-E16-E17+E18+E19</f>
        <v>17780</v>
      </c>
    </row>
    <row r="21" spans="1:5" ht="17" thickTop="1" x14ac:dyDescent="0.2">
      <c r="A21" s="103" t="s">
        <v>14</v>
      </c>
      <c r="B21" s="60">
        <v>650</v>
      </c>
      <c r="C21" s="61">
        <v>-724</v>
      </c>
      <c r="D21" s="61">
        <v>160</v>
      </c>
      <c r="E21" s="61">
        <v>-130</v>
      </c>
    </row>
    <row r="22" spans="1:5" ht="17" thickBot="1" x14ac:dyDescent="0.25">
      <c r="A22" s="104" t="s">
        <v>15</v>
      </c>
      <c r="B22" s="62">
        <v>3695</v>
      </c>
      <c r="C22" s="63">
        <v>84</v>
      </c>
      <c r="D22" s="63">
        <f>D20-D21</f>
        <v>-1276</v>
      </c>
      <c r="E22" s="63">
        <f>E20-E21</f>
        <v>17910</v>
      </c>
    </row>
    <row r="23" spans="1:5" ht="17" thickTop="1" x14ac:dyDescent="0.2">
      <c r="A23" s="103" t="s">
        <v>16</v>
      </c>
      <c r="B23" s="60">
        <v>18</v>
      </c>
      <c r="C23" s="61">
        <v>37</v>
      </c>
      <c r="D23" s="61">
        <v>3</v>
      </c>
      <c r="E23" s="61">
        <v>-27</v>
      </c>
    </row>
    <row r="24" spans="1:5" ht="17" thickBot="1" x14ac:dyDescent="0.25">
      <c r="A24" s="104" t="s">
        <v>17</v>
      </c>
      <c r="B24" s="62">
        <v>3677</v>
      </c>
      <c r="C24" s="63">
        <v>47</v>
      </c>
      <c r="D24" s="63">
        <f>D22-D23</f>
        <v>-1279</v>
      </c>
      <c r="E24" s="63">
        <f>E22-E23</f>
        <v>17937</v>
      </c>
    </row>
    <row r="25" spans="1:5" ht="17" thickTop="1" x14ac:dyDescent="0.2">
      <c r="A25" s="103"/>
      <c r="B25" s="70"/>
      <c r="C25" s="71"/>
      <c r="D25" s="72"/>
      <c r="E25" s="72"/>
    </row>
    <row r="26" spans="1:5" ht="16" x14ac:dyDescent="0.2">
      <c r="A26" s="102" t="s">
        <v>23</v>
      </c>
      <c r="B26" s="73"/>
      <c r="C26" s="74"/>
      <c r="D26" s="75"/>
      <c r="E26" s="75"/>
    </row>
    <row r="27" spans="1:5" ht="17" thickBot="1" x14ac:dyDescent="0.25">
      <c r="A27" s="104" t="s">
        <v>18</v>
      </c>
      <c r="B27" s="76">
        <v>0.93</v>
      </c>
      <c r="C27" s="63">
        <v>0.01</v>
      </c>
      <c r="D27" s="77">
        <v>-0.32</v>
      </c>
      <c r="E27" s="77">
        <v>4.49</v>
      </c>
    </row>
    <row r="28" spans="1:5" ht="18" thickTop="1" thickBot="1" x14ac:dyDescent="0.25">
      <c r="A28" s="111" t="s">
        <v>19</v>
      </c>
      <c r="B28" s="78">
        <v>0.92</v>
      </c>
      <c r="C28" s="67">
        <v>0.01</v>
      </c>
      <c r="D28" s="79">
        <v>-0.32</v>
      </c>
      <c r="E28" s="79">
        <v>4.45</v>
      </c>
    </row>
    <row r="29" spans="1:5" ht="17" thickTop="1" x14ac:dyDescent="0.2">
      <c r="A29" s="103"/>
      <c r="B29" s="70"/>
      <c r="C29" s="71"/>
      <c r="D29" s="72"/>
      <c r="E29" s="72"/>
    </row>
    <row r="30" spans="1:5" ht="16" x14ac:dyDescent="0.2">
      <c r="A30" s="102" t="s">
        <v>20</v>
      </c>
      <c r="B30" s="73"/>
      <c r="C30" s="74"/>
      <c r="D30" s="75"/>
      <c r="E30" s="75"/>
    </row>
    <row r="31" spans="1:5" ht="17" thickBot="1" x14ac:dyDescent="0.25">
      <c r="A31" s="112" t="s">
        <v>21</v>
      </c>
      <c r="B31" s="80"/>
      <c r="C31" s="63">
        <v>3972</v>
      </c>
      <c r="D31" s="77">
        <v>3973</v>
      </c>
      <c r="E31" s="77">
        <v>3991</v>
      </c>
    </row>
    <row r="32" spans="1:5" ht="18" thickTop="1" thickBot="1" x14ac:dyDescent="0.25">
      <c r="A32" s="112" t="s">
        <v>22</v>
      </c>
      <c r="B32" s="80"/>
      <c r="C32" s="63">
        <v>4004</v>
      </c>
      <c r="D32" s="77">
        <v>3973</v>
      </c>
      <c r="E32" s="77">
        <v>4034</v>
      </c>
    </row>
    <row r="33" spans="1:5" ht="16" thickTop="1" x14ac:dyDescent="0.2">
      <c r="A33" s="19"/>
      <c r="B33" s="81"/>
      <c r="C33" s="82"/>
      <c r="D33" s="83"/>
      <c r="E33" s="83"/>
    </row>
    <row r="34" spans="1:5" ht="23" customHeight="1" x14ac:dyDescent="0.2">
      <c r="A34" s="132" t="s">
        <v>0</v>
      </c>
      <c r="B34" s="50"/>
      <c r="C34" s="51"/>
      <c r="D34" s="51"/>
      <c r="E34" s="51"/>
    </row>
    <row r="35" spans="1:5" ht="25" x14ac:dyDescent="0.2">
      <c r="A35" s="135" t="s">
        <v>1</v>
      </c>
      <c r="B35" s="52"/>
      <c r="C35" s="53"/>
      <c r="D35" s="53"/>
      <c r="E35" s="53"/>
    </row>
    <row r="36" spans="1:5" ht="19" x14ac:dyDescent="0.2">
      <c r="A36" s="136" t="s">
        <v>150</v>
      </c>
      <c r="B36" s="54"/>
      <c r="C36" s="55"/>
      <c r="D36" s="55"/>
      <c r="E36" s="55"/>
    </row>
    <row r="37" spans="1:5" ht="17" thickBot="1" x14ac:dyDescent="0.25">
      <c r="A37" s="133" t="s">
        <v>2</v>
      </c>
      <c r="B37" s="56"/>
      <c r="C37" s="84"/>
      <c r="D37" s="84"/>
      <c r="E37" s="84"/>
    </row>
    <row r="38" spans="1:5" ht="19" thickTop="1" thickBot="1" x14ac:dyDescent="0.3">
      <c r="A38" s="134" t="s">
        <v>121</v>
      </c>
      <c r="B38" s="134">
        <v>2018</v>
      </c>
      <c r="C38" s="137">
        <f>B38+1</f>
        <v>2019</v>
      </c>
      <c r="D38" s="137">
        <f t="shared" ref="D38:E38" si="3">C38+1</f>
        <v>2020</v>
      </c>
      <c r="E38" s="137">
        <f t="shared" si="3"/>
        <v>2021</v>
      </c>
    </row>
    <row r="39" spans="1:5" s="1" customFormat="1" ht="17" thickTop="1" x14ac:dyDescent="0.2">
      <c r="A39" s="102" t="s">
        <v>25</v>
      </c>
      <c r="B39" s="85"/>
      <c r="C39" s="86"/>
      <c r="D39" s="83"/>
      <c r="E39" s="83"/>
    </row>
    <row r="40" spans="1:5" s="1" customFormat="1" ht="16" x14ac:dyDescent="0.2">
      <c r="A40" s="103" t="s">
        <v>26</v>
      </c>
      <c r="B40" s="87">
        <v>16718</v>
      </c>
      <c r="C40" s="88">
        <v>17504</v>
      </c>
      <c r="D40" s="88">
        <v>25243</v>
      </c>
      <c r="E40" s="88">
        <v>20540</v>
      </c>
    </row>
    <row r="41" spans="1:5" s="1" customFormat="1" ht="16" x14ac:dyDescent="0.2">
      <c r="A41" s="103" t="s">
        <v>27</v>
      </c>
      <c r="B41" s="87">
        <v>17233</v>
      </c>
      <c r="C41" s="88">
        <v>17147</v>
      </c>
      <c r="D41" s="88">
        <v>24718</v>
      </c>
      <c r="E41" s="88">
        <v>29053</v>
      </c>
    </row>
    <row r="42" spans="1:5" s="1" customFormat="1" ht="16" x14ac:dyDescent="0.2">
      <c r="A42" s="103" t="s">
        <v>28</v>
      </c>
      <c r="B42" s="87">
        <v>54353</v>
      </c>
      <c r="C42" s="88">
        <v>53651</v>
      </c>
      <c r="D42" s="88">
        <v>42401</v>
      </c>
      <c r="E42" s="88">
        <v>32543</v>
      </c>
    </row>
    <row r="43" spans="1:5" s="1" customFormat="1" ht="16" x14ac:dyDescent="0.2">
      <c r="A43" s="103" t="s">
        <v>29</v>
      </c>
      <c r="B43" s="87">
        <v>11195</v>
      </c>
      <c r="C43" s="88">
        <v>9237</v>
      </c>
      <c r="D43" s="88">
        <v>9993</v>
      </c>
      <c r="E43" s="88">
        <v>11370</v>
      </c>
    </row>
    <row r="44" spans="1:5" s="1" customFormat="1" ht="16" x14ac:dyDescent="0.2">
      <c r="A44" s="103" t="s">
        <v>30</v>
      </c>
      <c r="B44" s="87">
        <v>11220</v>
      </c>
      <c r="C44" s="88">
        <v>10786</v>
      </c>
      <c r="D44" s="88">
        <v>10808</v>
      </c>
      <c r="E44" s="88">
        <v>12065</v>
      </c>
    </row>
    <row r="45" spans="1:5" s="1" customFormat="1" ht="16" x14ac:dyDescent="0.2">
      <c r="A45" s="103" t="s">
        <v>31</v>
      </c>
      <c r="B45" s="87" t="s">
        <v>24</v>
      </c>
      <c r="C45" s="88">
        <v>2383</v>
      </c>
      <c r="D45" s="88">
        <v>47</v>
      </c>
      <c r="E45" s="88"/>
    </row>
    <row r="46" spans="1:5" s="1" customFormat="1" ht="16" x14ac:dyDescent="0.2">
      <c r="A46" s="103" t="s">
        <v>32</v>
      </c>
      <c r="B46" s="87">
        <v>3930</v>
      </c>
      <c r="C46" s="88">
        <v>3339</v>
      </c>
      <c r="D46" s="88">
        <v>3534</v>
      </c>
      <c r="E46" s="88">
        <v>3425</v>
      </c>
    </row>
    <row r="47" spans="1:5" s="1" customFormat="1" ht="17" thickBot="1" x14ac:dyDescent="0.25">
      <c r="A47" s="104" t="s">
        <v>33</v>
      </c>
      <c r="B47" s="89">
        <f>SUM(B40:B46)</f>
        <v>114649</v>
      </c>
      <c r="C47" s="90">
        <f>SUM(C40:C46)</f>
        <v>114047</v>
      </c>
      <c r="D47" s="91">
        <f>SUM(D40:D46)</f>
        <v>116744</v>
      </c>
      <c r="E47" s="91">
        <f>SUM(E40:E46)</f>
        <v>108996</v>
      </c>
    </row>
    <row r="48" spans="1:5" s="1" customFormat="1" ht="17" thickTop="1" x14ac:dyDescent="0.2">
      <c r="A48" s="103" t="s">
        <v>28</v>
      </c>
      <c r="B48" s="87">
        <v>55544</v>
      </c>
      <c r="C48" s="88">
        <v>53703</v>
      </c>
      <c r="D48" s="88">
        <v>55277</v>
      </c>
      <c r="E48" s="88">
        <v>51256</v>
      </c>
    </row>
    <row r="49" spans="1:5" s="1" customFormat="1" ht="16" x14ac:dyDescent="0.2">
      <c r="A49" s="103" t="s">
        <v>34</v>
      </c>
      <c r="B49" s="87">
        <v>29119</v>
      </c>
      <c r="C49" s="88">
        <v>29230</v>
      </c>
      <c r="D49" s="88">
        <v>27951</v>
      </c>
      <c r="E49" s="88">
        <v>26361</v>
      </c>
    </row>
    <row r="50" spans="1:5" s="1" customFormat="1" ht="16" x14ac:dyDescent="0.2">
      <c r="A50" s="103" t="s">
        <v>35</v>
      </c>
      <c r="B50" s="87">
        <v>36178</v>
      </c>
      <c r="C50" s="88">
        <v>36469</v>
      </c>
      <c r="D50" s="88">
        <v>37083</v>
      </c>
      <c r="E50" s="88">
        <v>37139</v>
      </c>
    </row>
    <row r="51" spans="1:5" s="1" customFormat="1" ht="16" x14ac:dyDescent="0.2">
      <c r="A51" s="103" t="s">
        <v>36</v>
      </c>
      <c r="B51" s="87">
        <v>2709</v>
      </c>
      <c r="C51" s="88">
        <v>2519</v>
      </c>
      <c r="D51" s="88">
        <v>4901</v>
      </c>
      <c r="E51" s="88">
        <v>4545</v>
      </c>
    </row>
    <row r="52" spans="1:5" s="1" customFormat="1" ht="16" x14ac:dyDescent="0.2">
      <c r="A52" s="103" t="s">
        <v>37</v>
      </c>
      <c r="B52" s="87">
        <v>10412</v>
      </c>
      <c r="C52" s="88">
        <v>11863</v>
      </c>
      <c r="D52" s="88">
        <v>12423</v>
      </c>
      <c r="E52" s="88">
        <v>13796</v>
      </c>
    </row>
    <row r="53" spans="1:5" s="1" customFormat="1" ht="16" x14ac:dyDescent="0.2">
      <c r="A53" s="103" t="s">
        <v>32</v>
      </c>
      <c r="B53" s="87">
        <v>7929</v>
      </c>
      <c r="C53" s="88">
        <v>10706</v>
      </c>
      <c r="D53" s="88">
        <v>12882</v>
      </c>
      <c r="E53" s="88">
        <v>14942</v>
      </c>
    </row>
    <row r="54" spans="1:5" s="1" customFormat="1" ht="17" thickBot="1" x14ac:dyDescent="0.25">
      <c r="A54" s="104" t="s">
        <v>38</v>
      </c>
      <c r="B54" s="89">
        <f>SUM(B47:B53)</f>
        <v>256540</v>
      </c>
      <c r="C54" s="90">
        <f>SUM(C47:C53)</f>
        <v>258537</v>
      </c>
      <c r="D54" s="91">
        <f>SUM(D47:D53)</f>
        <v>267261</v>
      </c>
      <c r="E54" s="91">
        <f>SUM(E47:E53)</f>
        <v>257035</v>
      </c>
    </row>
    <row r="55" spans="1:5" s="1" customFormat="1" ht="17" thickTop="1" x14ac:dyDescent="0.2">
      <c r="A55" s="102" t="s">
        <v>39</v>
      </c>
      <c r="B55" s="92"/>
      <c r="C55" s="93"/>
      <c r="D55" s="94"/>
      <c r="E55" s="94"/>
    </row>
    <row r="56" spans="1:5" s="1" customFormat="1" ht="16" x14ac:dyDescent="0.2">
      <c r="A56" s="103" t="s">
        <v>40</v>
      </c>
      <c r="B56" s="87">
        <v>21520</v>
      </c>
      <c r="C56" s="88">
        <v>20673</v>
      </c>
      <c r="D56" s="88">
        <v>22204</v>
      </c>
      <c r="E56" s="88">
        <v>22349</v>
      </c>
    </row>
    <row r="57" spans="1:5" s="1" customFormat="1" ht="16" x14ac:dyDescent="0.2">
      <c r="A57" s="103" t="s">
        <v>41</v>
      </c>
      <c r="B57" s="87">
        <v>20556</v>
      </c>
      <c r="C57" s="88">
        <v>22987</v>
      </c>
      <c r="D57" s="88">
        <v>23645</v>
      </c>
      <c r="E57" s="88">
        <v>18686</v>
      </c>
    </row>
    <row r="58" spans="1:5" s="1" customFormat="1" ht="16" x14ac:dyDescent="0.2">
      <c r="A58" s="103" t="s">
        <v>42</v>
      </c>
      <c r="B58" s="87">
        <v>2314</v>
      </c>
      <c r="C58" s="88">
        <v>1445</v>
      </c>
      <c r="D58" s="88">
        <v>1194</v>
      </c>
      <c r="E58" s="88">
        <v>3175</v>
      </c>
    </row>
    <row r="59" spans="1:5" s="1" customFormat="1" ht="16" x14ac:dyDescent="0.2">
      <c r="A59" s="103" t="s">
        <v>43</v>
      </c>
      <c r="B59" s="87">
        <v>51179</v>
      </c>
      <c r="C59" s="88">
        <v>52371</v>
      </c>
      <c r="D59" s="88">
        <v>49969</v>
      </c>
      <c r="E59" s="88">
        <v>46517</v>
      </c>
    </row>
    <row r="60" spans="1:5" s="1" customFormat="1" ht="16" x14ac:dyDescent="0.2">
      <c r="A60" s="103" t="s">
        <v>44</v>
      </c>
      <c r="B60" s="87" t="s">
        <v>24</v>
      </c>
      <c r="C60" s="88">
        <v>130</v>
      </c>
      <c r="D60" s="88">
        <v>180</v>
      </c>
      <c r="E60" s="88" t="s">
        <v>24</v>
      </c>
    </row>
    <row r="61" spans="1:5" s="1" customFormat="1" ht="16" x14ac:dyDescent="0.2">
      <c r="A61" s="103" t="s">
        <v>45</v>
      </c>
      <c r="B61" s="87" t="s">
        <v>24</v>
      </c>
      <c r="C61" s="88">
        <v>526</v>
      </c>
      <c r="D61" s="88" t="s">
        <v>24</v>
      </c>
      <c r="E61" s="88" t="s">
        <v>24</v>
      </c>
    </row>
    <row r="62" spans="1:5" s="1" customFormat="1" ht="17" thickBot="1" x14ac:dyDescent="0.25">
      <c r="A62" s="104" t="s">
        <v>46</v>
      </c>
      <c r="B62" s="89">
        <f>SUM(B56:B61)</f>
        <v>95569</v>
      </c>
      <c r="C62" s="90">
        <f>SUM(C56:C61)</f>
        <v>98132</v>
      </c>
      <c r="D62" s="91">
        <f>SUM(D56:D61)</f>
        <v>97192</v>
      </c>
      <c r="E62" s="91">
        <f>SUM(E56:E61)</f>
        <v>90727</v>
      </c>
    </row>
    <row r="63" spans="1:5" s="1" customFormat="1" ht="17" thickTop="1" x14ac:dyDescent="0.2">
      <c r="A63" s="103" t="s">
        <v>41</v>
      </c>
      <c r="B63" s="87">
        <v>23588</v>
      </c>
      <c r="C63" s="88">
        <v>25324</v>
      </c>
      <c r="D63" s="88">
        <v>28379</v>
      </c>
      <c r="E63" s="88">
        <v>27705</v>
      </c>
    </row>
    <row r="64" spans="1:5" s="1" customFormat="1" ht="16" x14ac:dyDescent="0.2">
      <c r="A64" s="103" t="s">
        <v>156</v>
      </c>
      <c r="B64" s="87">
        <v>11233</v>
      </c>
      <c r="C64" s="88">
        <v>13233</v>
      </c>
      <c r="D64" s="88">
        <v>22342</v>
      </c>
      <c r="E64" s="88">
        <v>17200</v>
      </c>
    </row>
    <row r="65" spans="1:5" s="1" customFormat="1" ht="16" x14ac:dyDescent="0.2">
      <c r="A65" s="103" t="s">
        <v>47</v>
      </c>
      <c r="B65" s="87">
        <v>88887</v>
      </c>
      <c r="C65" s="88">
        <v>87658</v>
      </c>
      <c r="D65" s="88">
        <v>87708</v>
      </c>
      <c r="E65" s="88">
        <v>71200</v>
      </c>
    </row>
    <row r="66" spans="1:5" s="1" customFormat="1" ht="16" x14ac:dyDescent="0.2">
      <c r="A66" s="103" t="s">
        <v>48</v>
      </c>
      <c r="B66" s="87">
        <v>600</v>
      </c>
      <c r="C66" s="88">
        <v>470</v>
      </c>
      <c r="D66" s="88">
        <v>291</v>
      </c>
      <c r="E66" s="88" t="s">
        <v>24</v>
      </c>
    </row>
    <row r="67" spans="1:5" s="1" customFormat="1" ht="16" x14ac:dyDescent="0.2">
      <c r="A67" s="103" t="s">
        <v>37</v>
      </c>
      <c r="B67" s="87">
        <v>597</v>
      </c>
      <c r="C67" s="88">
        <v>490</v>
      </c>
      <c r="D67" s="88">
        <v>538</v>
      </c>
      <c r="E67" s="88">
        <v>1581</v>
      </c>
    </row>
    <row r="68" spans="1:5" s="1" customFormat="1" ht="17" thickBot="1" x14ac:dyDescent="0.25">
      <c r="A68" s="104" t="s">
        <v>140</v>
      </c>
      <c r="B68" s="95">
        <f t="shared" ref="B68:D68" si="4">SUM(B63:B67)</f>
        <v>124905</v>
      </c>
      <c r="C68" s="96">
        <f t="shared" si="4"/>
        <v>127175</v>
      </c>
      <c r="D68" s="96">
        <f t="shared" si="4"/>
        <v>139258</v>
      </c>
      <c r="E68" s="96">
        <f t="shared" ref="E68" si="5">SUM(E63:E67)</f>
        <v>117686</v>
      </c>
    </row>
    <row r="69" spans="1:5" s="1" customFormat="1" ht="18" thickTop="1" thickBot="1" x14ac:dyDescent="0.25">
      <c r="A69" s="111" t="s">
        <v>49</v>
      </c>
      <c r="B69" s="97">
        <f>SUM(B62:B67)</f>
        <v>220474</v>
      </c>
      <c r="C69" s="98">
        <f>SUM(C62:C67)</f>
        <v>225307</v>
      </c>
      <c r="D69" s="99">
        <f>SUM(D62:D67)</f>
        <v>236450</v>
      </c>
      <c r="E69" s="99">
        <f>SUM(E62:E67)</f>
        <v>208413</v>
      </c>
    </row>
    <row r="70" spans="1:5" s="1" customFormat="1" ht="18" thickTop="1" thickBot="1" x14ac:dyDescent="0.25">
      <c r="A70" s="111" t="s">
        <v>164</v>
      </c>
      <c r="B70" s="97">
        <v>154213</v>
      </c>
      <c r="C70" s="98">
        <v>155307</v>
      </c>
      <c r="D70" s="99">
        <v>161684</v>
      </c>
      <c r="E70" s="99">
        <v>138092</v>
      </c>
    </row>
    <row r="71" spans="1:5" s="1" customFormat="1" ht="17" thickTop="1" x14ac:dyDescent="0.2">
      <c r="A71" s="103" t="s">
        <v>61</v>
      </c>
      <c r="B71" s="87">
        <v>100</v>
      </c>
      <c r="C71" s="88" t="s">
        <v>24</v>
      </c>
      <c r="D71" s="88" t="s">
        <v>24</v>
      </c>
      <c r="E71" s="88" t="s">
        <v>24</v>
      </c>
    </row>
    <row r="72" spans="1:5" s="1" customFormat="1" ht="16" x14ac:dyDescent="0.2">
      <c r="A72" s="102" t="s">
        <v>50</v>
      </c>
      <c r="B72" s="87"/>
      <c r="C72" s="88"/>
      <c r="D72" s="88"/>
      <c r="E72" s="88"/>
    </row>
    <row r="73" spans="1:5" s="1" customFormat="1" ht="16" x14ac:dyDescent="0.2">
      <c r="A73" s="103" t="s">
        <v>51</v>
      </c>
      <c r="B73" s="87">
        <v>40</v>
      </c>
      <c r="C73" s="88">
        <v>40</v>
      </c>
      <c r="D73" s="88">
        <v>40</v>
      </c>
      <c r="E73" s="88">
        <v>40</v>
      </c>
    </row>
    <row r="74" spans="1:5" s="1" customFormat="1" ht="16" x14ac:dyDescent="0.2">
      <c r="A74" s="103" t="s">
        <v>52</v>
      </c>
      <c r="B74" s="87">
        <v>1</v>
      </c>
      <c r="C74" s="88">
        <v>1</v>
      </c>
      <c r="D74" s="88">
        <v>1</v>
      </c>
      <c r="E74" s="88">
        <v>1</v>
      </c>
    </row>
    <row r="75" spans="1:5" s="1" customFormat="1" ht="16" x14ac:dyDescent="0.2">
      <c r="A75" s="103" t="s">
        <v>53</v>
      </c>
      <c r="B75" s="87">
        <v>22006</v>
      </c>
      <c r="C75" s="88">
        <v>22165</v>
      </c>
      <c r="D75" s="88">
        <v>22290</v>
      </c>
      <c r="E75" s="88">
        <v>22611</v>
      </c>
    </row>
    <row r="76" spans="1:5" s="1" customFormat="1" ht="16" x14ac:dyDescent="0.2">
      <c r="A76" s="103" t="s">
        <v>54</v>
      </c>
      <c r="B76" s="87">
        <v>22668</v>
      </c>
      <c r="C76" s="88">
        <v>20320</v>
      </c>
      <c r="D76" s="88">
        <v>18243</v>
      </c>
      <c r="E76" s="88">
        <v>35769</v>
      </c>
    </row>
    <row r="77" spans="1:5" s="1" customFormat="1" ht="16" x14ac:dyDescent="0.2">
      <c r="A77" s="103" t="s">
        <v>55</v>
      </c>
      <c r="B77" s="87">
        <v>-7366</v>
      </c>
      <c r="C77" s="88">
        <v>-7728</v>
      </c>
      <c r="D77" s="88">
        <v>-8294</v>
      </c>
      <c r="E77" s="88">
        <v>-8339</v>
      </c>
    </row>
    <row r="78" spans="1:5" s="1" customFormat="1" ht="16" x14ac:dyDescent="0.2">
      <c r="A78" s="103" t="s">
        <v>56</v>
      </c>
      <c r="B78" s="87">
        <v>-1417</v>
      </c>
      <c r="C78" s="88">
        <v>-1613</v>
      </c>
      <c r="D78" s="88">
        <v>-1590</v>
      </c>
      <c r="E78" s="88">
        <v>-1563</v>
      </c>
    </row>
    <row r="79" spans="1:5" s="1" customFormat="1" ht="17" thickBot="1" x14ac:dyDescent="0.25">
      <c r="A79" s="104" t="s">
        <v>57</v>
      </c>
      <c r="B79" s="89">
        <v>35932</v>
      </c>
      <c r="C79" s="90">
        <f>SUM(C73:C78)</f>
        <v>33185</v>
      </c>
      <c r="D79" s="91">
        <f>SUM(D73:D78)</f>
        <v>30690</v>
      </c>
      <c r="E79" s="91">
        <f>SUM(E73:E78)</f>
        <v>48519</v>
      </c>
    </row>
    <row r="80" spans="1:5" s="1" customFormat="1" ht="17" thickTop="1" x14ac:dyDescent="0.2">
      <c r="A80" s="103" t="s">
        <v>58</v>
      </c>
      <c r="B80" s="87">
        <v>34</v>
      </c>
      <c r="C80" s="88">
        <v>45</v>
      </c>
      <c r="D80" s="88">
        <v>121</v>
      </c>
      <c r="E80" s="88">
        <v>103</v>
      </c>
    </row>
    <row r="81" spans="1:5" s="1" customFormat="1" ht="17" thickBot="1" x14ac:dyDescent="0.25">
      <c r="A81" s="104" t="s">
        <v>59</v>
      </c>
      <c r="B81" s="89">
        <f>B79+B80</f>
        <v>35966</v>
      </c>
      <c r="C81" s="89">
        <f t="shared" ref="C81:E81" si="6">C79+C80</f>
        <v>33230</v>
      </c>
      <c r="D81" s="89">
        <f t="shared" si="6"/>
        <v>30811</v>
      </c>
      <c r="E81" s="89">
        <f t="shared" si="6"/>
        <v>48622</v>
      </c>
    </row>
    <row r="82" spans="1:5" s="1" customFormat="1" ht="18" thickTop="1" thickBot="1" x14ac:dyDescent="0.25">
      <c r="A82" s="104" t="s">
        <v>60</v>
      </c>
      <c r="B82" s="89">
        <f>B69+B81</f>
        <v>256440</v>
      </c>
      <c r="C82" s="89">
        <f>C69+C81</f>
        <v>258537</v>
      </c>
      <c r="D82" s="91">
        <f>D69+D81</f>
        <v>267261</v>
      </c>
      <c r="E82" s="91">
        <f>E69+E81</f>
        <v>257035</v>
      </c>
    </row>
    <row r="83" spans="1:5" ht="16" thickTop="1" x14ac:dyDescent="0.2"/>
    <row r="85" spans="1:5" x14ac:dyDescent="0.2">
      <c r="B85" s="138"/>
      <c r="C85" s="138"/>
      <c r="D85" s="138"/>
      <c r="E85" s="1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0"/>
  <sheetViews>
    <sheetView tabSelected="1" defaultGridColor="0" topLeftCell="A40" colorId="9" zoomScale="174" zoomScaleNormal="116" workbookViewId="0">
      <selection activeCell="R47" sqref="R47"/>
    </sheetView>
  </sheetViews>
  <sheetFormatPr baseColWidth="10" defaultColWidth="8.83203125" defaultRowHeight="15" x14ac:dyDescent="0.2"/>
  <cols>
    <col min="2" max="5" width="9.1640625" bestFit="1" customWidth="1"/>
  </cols>
  <sheetData>
    <row r="1" spans="1:25" s="113" customFormat="1" ht="16" x14ac:dyDescent="0.2">
      <c r="A1" s="142" t="s">
        <v>124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3"/>
    </row>
    <row r="3" spans="1:25" s="114" customFormat="1" ht="16" x14ac:dyDescent="0.2">
      <c r="A3" s="141" t="s">
        <v>125</v>
      </c>
      <c r="B3" s="141"/>
      <c r="C3" s="141"/>
      <c r="D3" s="141"/>
      <c r="E3" s="141"/>
      <c r="G3" s="141" t="s">
        <v>128</v>
      </c>
      <c r="H3" s="141"/>
      <c r="I3" s="141"/>
      <c r="J3" s="141"/>
      <c r="K3" s="141"/>
      <c r="M3" s="141" t="s">
        <v>129</v>
      </c>
      <c r="N3" s="141"/>
      <c r="O3" s="141"/>
      <c r="P3" s="141"/>
      <c r="Q3" s="141"/>
      <c r="S3" s="141" t="s">
        <v>162</v>
      </c>
      <c r="T3" s="141"/>
      <c r="U3" s="141"/>
      <c r="V3" s="141"/>
      <c r="W3" s="141"/>
    </row>
    <row r="4" spans="1:25" s="116" customFormat="1" ht="16" x14ac:dyDescent="0.2">
      <c r="B4" s="124">
        <v>2018</v>
      </c>
      <c r="C4" s="124">
        <f>B4+1</f>
        <v>2019</v>
      </c>
      <c r="D4" s="124">
        <f t="shared" ref="D4:E4" si="0">C4+1</f>
        <v>2020</v>
      </c>
      <c r="E4" s="124">
        <f t="shared" si="0"/>
        <v>2021</v>
      </c>
      <c r="H4" s="124">
        <v>2018</v>
      </c>
      <c r="I4" s="124">
        <f>H4+1</f>
        <v>2019</v>
      </c>
      <c r="J4" s="124">
        <f t="shared" ref="J4:K4" si="1">I4+1</f>
        <v>2020</v>
      </c>
      <c r="K4" s="124">
        <f t="shared" si="1"/>
        <v>2021</v>
      </c>
      <c r="N4" s="122">
        <v>2018</v>
      </c>
      <c r="O4" s="122">
        <f>N4+1</f>
        <v>2019</v>
      </c>
      <c r="P4" s="122">
        <f t="shared" ref="P4:Q4" si="2">O4+1</f>
        <v>2020</v>
      </c>
      <c r="Q4" s="122">
        <f t="shared" si="2"/>
        <v>2021</v>
      </c>
      <c r="T4" s="122">
        <v>2018</v>
      </c>
      <c r="U4" s="122">
        <f>T4+1</f>
        <v>2019</v>
      </c>
      <c r="V4" s="122">
        <f t="shared" ref="V4" si="3">U4+1</f>
        <v>2020</v>
      </c>
      <c r="W4" s="122">
        <f t="shared" ref="W4" si="4">V4+1</f>
        <v>2021</v>
      </c>
    </row>
    <row r="5" spans="1:25" s="119" customFormat="1" ht="14" x14ac:dyDescent="0.15">
      <c r="A5" s="131" t="s">
        <v>126</v>
      </c>
      <c r="B5" s="127">
        <f>TESLA!B14/TESLA!B12</f>
        <v>0.18834026954977687</v>
      </c>
      <c r="C5" s="128">
        <f>TESLA!C14/TESLA!C12</f>
        <v>0.1655545609895028</v>
      </c>
      <c r="D5" s="128">
        <f>TESLA!D14/TESLA!D12</f>
        <v>0.2102359208523592</v>
      </c>
      <c r="E5" s="129">
        <f>TESLA!E14/TESLA!E12</f>
        <v>0.25279155751258753</v>
      </c>
      <c r="F5" s="117"/>
      <c r="G5" s="130" t="s">
        <v>126</v>
      </c>
      <c r="H5" s="128">
        <f>TESLA!B29/TESLA!B12</f>
        <v>-4.5481515817238721E-2</v>
      </c>
      <c r="I5" s="128">
        <f>TESLA!C29/TESLA!C12</f>
        <v>-3.5072015623728539E-2</v>
      </c>
      <c r="J5" s="128">
        <f>TESLA!D29/TESLA!D12</f>
        <v>2.2862760020294266E-2</v>
      </c>
      <c r="K5" s="128">
        <f>TESLA!E29/TESLA!E12</f>
        <v>0.10253980640246735</v>
      </c>
      <c r="L5" s="117"/>
      <c r="M5" s="130" t="s">
        <v>126</v>
      </c>
      <c r="N5" s="125">
        <f>TESLA!B19/TESLA!B12</f>
        <v>-1.8082482358451477E-2</v>
      </c>
      <c r="O5" s="125">
        <f>TESLA!C19/TESLA!C12</f>
        <v>-2.8073887216209618E-3</v>
      </c>
      <c r="P5" s="125">
        <f>TESLA!D19/TESLA!D12</f>
        <v>6.3229325215626589E-2</v>
      </c>
      <c r="Q5" s="125">
        <f>TESLA!E19/TESLA!E12</f>
        <v>0.12119354179440016</v>
      </c>
      <c r="S5" s="130" t="s">
        <v>126</v>
      </c>
      <c r="T5" s="125">
        <f>TESLA!B31/TESLA!B58</f>
        <v>-3.2821239710777668E-2</v>
      </c>
      <c r="U5" s="125">
        <f>TESLA!C31/TESLA!C58</f>
        <v>-2.5124602873881487E-2</v>
      </c>
      <c r="V5" s="125">
        <f>TESLA!D31/TESLA!D58</f>
        <v>1.3231571680601366E-2</v>
      </c>
      <c r="W5" s="125">
        <f>TESLA!E31/TESLA!E58</f>
        <v>8.8828443128229059E-2</v>
      </c>
    </row>
    <row r="6" spans="1:25" s="119" customFormat="1" ht="14" x14ac:dyDescent="0.15">
      <c r="A6" s="120" t="s">
        <v>127</v>
      </c>
      <c r="B6" s="123">
        <f>'Ford Motors'!B12/'Ford Motors'!B10</f>
        <v>0.15011413389215283</v>
      </c>
      <c r="C6" s="123">
        <f>'Ford Motors'!C12/'Ford Motors'!C10</f>
        <v>0.13602950609364978</v>
      </c>
      <c r="D6" s="123">
        <f>'Ford Motors'!D12/'Ford Motors'!D10</f>
        <v>0.11319448813943246</v>
      </c>
      <c r="E6" s="123">
        <f>'Ford Motors'!E12/'Ford Motors'!E10</f>
        <v>0.15908640834378507</v>
      </c>
      <c r="F6" s="117"/>
      <c r="G6" s="120" t="s">
        <v>127</v>
      </c>
      <c r="H6" s="123">
        <f>'Ford Motors'!B24/'Ford Motors'!B10</f>
        <v>2.2932804450598112E-2</v>
      </c>
      <c r="I6" s="123">
        <f>'Ford Motors'!C24/'Ford Motors'!C10</f>
        <v>3.0147530468248876E-4</v>
      </c>
      <c r="J6" s="123">
        <f>'Ford Motors'!D24/'Ford Motors'!D10</f>
        <v>-1.0059460139684138E-2</v>
      </c>
      <c r="K6" s="123">
        <f>'Ford Motors'!E24/'Ford Motors'!E10</f>
        <v>0.13155983893326292</v>
      </c>
      <c r="L6" s="117"/>
      <c r="M6" s="120" t="s">
        <v>127</v>
      </c>
      <c r="N6" s="118">
        <f>'Ford Motors'!B15/'Ford Motors'!B10</f>
        <v>1.9976549539098654E-2</v>
      </c>
      <c r="O6" s="118">
        <f>'Ford Motors'!C15/'Ford Motors'!C10</f>
        <v>3.6818473380372035E-3</v>
      </c>
      <c r="P6" s="118">
        <f>'Ford Motors'!D15/'Ford Motors'!D10</f>
        <v>-3.4669351286730009E-2</v>
      </c>
      <c r="Q6" s="118">
        <f>'Ford Motors'!E15/'Ford Motors'!E10</f>
        <v>3.317417357948086E-2</v>
      </c>
      <c r="S6" s="120" t="s">
        <v>127</v>
      </c>
      <c r="T6" s="118">
        <f>'Ford Motors'!B24/'Ford Motors'!B54</f>
        <v>1.4333047477976145E-2</v>
      </c>
      <c r="U6" s="118">
        <f>'Ford Motors'!C24/'Ford Motors'!C54</f>
        <v>1.8179216127672248E-4</v>
      </c>
      <c r="V6" s="118">
        <f>'Ford Motors'!D24/'Ford Motors'!D54</f>
        <v>-4.7855841293716625E-3</v>
      </c>
      <c r="W6" s="118">
        <f>'Ford Motors'!E24/'Ford Motors'!E54</f>
        <v>6.9784270624623113E-2</v>
      </c>
    </row>
    <row r="7" spans="1:25" x14ac:dyDescent="0.2">
      <c r="B7" s="2"/>
      <c r="C7" s="2"/>
      <c r="D7" s="2"/>
      <c r="E7" s="2"/>
    </row>
    <row r="24" spans="1:25" s="113" customFormat="1" ht="16" x14ac:dyDescent="0.2">
      <c r="A24" s="142" t="s">
        <v>157</v>
      </c>
      <c r="B24" s="142" t="s">
        <v>132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3"/>
    </row>
    <row r="26" spans="1:25" s="113" customFormat="1" ht="16" x14ac:dyDescent="0.2">
      <c r="A26" s="141" t="s">
        <v>163</v>
      </c>
      <c r="B26" s="141"/>
      <c r="C26" s="141"/>
      <c r="D26" s="141"/>
      <c r="E26" s="141"/>
    </row>
    <row r="27" spans="1:25" s="115" customFormat="1" ht="16" x14ac:dyDescent="0.2">
      <c r="B27" s="122">
        <v>2018</v>
      </c>
      <c r="C27" s="122">
        <f>B27+1</f>
        <v>2019</v>
      </c>
      <c r="D27" s="122">
        <f t="shared" ref="D27:E27" si="5">C27+1</f>
        <v>2020</v>
      </c>
      <c r="E27" s="122">
        <f t="shared" si="5"/>
        <v>2021</v>
      </c>
    </row>
    <row r="28" spans="1:25" s="119" customFormat="1" ht="14" x14ac:dyDescent="0.15">
      <c r="A28" s="130" t="s">
        <v>126</v>
      </c>
      <c r="B28" s="126">
        <f>TESLA!B73/TESLA!B82</f>
        <v>2.4315273489445879</v>
      </c>
      <c r="C28" s="126">
        <f>TESLA!C73/TESLA!C82</f>
        <v>2.0276518585675429</v>
      </c>
      <c r="D28" s="126">
        <f>TESLA!D73/TESLA!D82</f>
        <v>0.52589426321709787</v>
      </c>
      <c r="E28" s="126">
        <f>TESLA!E73/TESLA!E82</f>
        <v>0.22637384477789924</v>
      </c>
    </row>
    <row r="29" spans="1:25" s="119" customFormat="1" ht="14" x14ac:dyDescent="0.15">
      <c r="A29" s="120" t="s">
        <v>127</v>
      </c>
      <c r="B29" s="121">
        <f>'Ford Motors'!B70/'Ford Motors'!B79</f>
        <v>4.2918011800066793</v>
      </c>
      <c r="C29" s="121">
        <f>'Ford Motors'!C70/'Ford Motors'!C79</f>
        <v>4.6800361609160763</v>
      </c>
      <c r="D29" s="121">
        <f>'Ford Motors'!D70/'Ford Motors'!D79</f>
        <v>5.2682958618442486</v>
      </c>
      <c r="E29" s="121">
        <f>'Ford Motors'!E70/'Ford Motors'!E79</f>
        <v>2.8461427482017352</v>
      </c>
    </row>
    <row r="30" spans="1:25" x14ac:dyDescent="0.2">
      <c r="I30" s="140"/>
    </row>
    <row r="31" spans="1:25" ht="19" customHeight="1" x14ac:dyDescent="0.2">
      <c r="I31" s="140"/>
    </row>
    <row r="32" spans="1:25" ht="19" customHeight="1" x14ac:dyDescent="0.2"/>
    <row r="33" spans="1:25" ht="19" customHeight="1" x14ac:dyDescent="0.2"/>
    <row r="34" spans="1:25" ht="19" customHeight="1" x14ac:dyDescent="0.2"/>
    <row r="35" spans="1:25" ht="19" customHeight="1" x14ac:dyDescent="0.2"/>
    <row r="36" spans="1:25" ht="19" customHeight="1" x14ac:dyDescent="0.2"/>
    <row r="37" spans="1:25" ht="19" customHeight="1" x14ac:dyDescent="0.2"/>
    <row r="38" spans="1:25" ht="19" customHeight="1" x14ac:dyDescent="0.2"/>
    <row r="39" spans="1:25" ht="19" customHeight="1" x14ac:dyDescent="0.2"/>
    <row r="40" spans="1:25" ht="19" customHeight="1" x14ac:dyDescent="0.2"/>
    <row r="41" spans="1:25" ht="19" customHeight="1" x14ac:dyDescent="0.2"/>
    <row r="42" spans="1:25" ht="19" customHeight="1" x14ac:dyDescent="0.2"/>
    <row r="43" spans="1:25" s="113" customFormat="1" ht="16" x14ac:dyDescent="0.2">
      <c r="A43" s="142" t="s">
        <v>160</v>
      </c>
      <c r="B43" s="142" t="s">
        <v>133</v>
      </c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3"/>
    </row>
    <row r="45" spans="1:25" s="113" customFormat="1" ht="16" x14ac:dyDescent="0.2">
      <c r="A45" s="141" t="s">
        <v>134</v>
      </c>
      <c r="B45" s="141"/>
      <c r="C45" s="141"/>
      <c r="D45" s="141"/>
      <c r="E45" s="141"/>
      <c r="J45" s="141" t="s">
        <v>135</v>
      </c>
      <c r="K45" s="141"/>
      <c r="L45" s="141"/>
      <c r="M45" s="141"/>
      <c r="N45" s="141"/>
    </row>
    <row r="46" spans="1:25" s="115" customFormat="1" ht="16" x14ac:dyDescent="0.2">
      <c r="B46" s="122">
        <v>2018</v>
      </c>
      <c r="C46" s="122">
        <f>B46+1</f>
        <v>2019</v>
      </c>
      <c r="D46" s="122">
        <f t="shared" ref="D46:E46" si="6">C46+1</f>
        <v>2020</v>
      </c>
      <c r="E46" s="122">
        <f t="shared" si="6"/>
        <v>2021</v>
      </c>
      <c r="K46" s="122">
        <v>2018</v>
      </c>
      <c r="L46" s="122">
        <f>K46+1</f>
        <v>2019</v>
      </c>
      <c r="M46" s="122">
        <f t="shared" ref="M46:N46" si="7">L46+1</f>
        <v>2020</v>
      </c>
      <c r="N46" s="122">
        <f t="shared" si="7"/>
        <v>2021</v>
      </c>
    </row>
    <row r="47" spans="1:25" s="119" customFormat="1" ht="14" x14ac:dyDescent="0.15">
      <c r="A47" s="130" t="s">
        <v>126</v>
      </c>
      <c r="B47" s="126">
        <f>TESLA!B47/TESLA!B66</f>
        <v>0.83128452214821724</v>
      </c>
      <c r="C47" s="126">
        <f>TESLA!C47/TESLA!C66</f>
        <v>1.1346207931002157</v>
      </c>
      <c r="D47" s="126">
        <f>TESLA!D47/TESLA!D66</f>
        <v>1.8751403705783267</v>
      </c>
      <c r="E47" s="126">
        <f>TESLA!E47/TESLA!E66</f>
        <v>1.3752854605430094</v>
      </c>
      <c r="J47" s="130" t="s">
        <v>126</v>
      </c>
      <c r="K47" s="126">
        <f>(TESLA!B47-TESLA!B45)/TESLA!B66</f>
        <v>0.51969488805997022</v>
      </c>
      <c r="L47" s="126">
        <f>(TESLA!C47-TESLA!C45)/TESLA!C66</f>
        <v>0.80163119902503044</v>
      </c>
      <c r="M47" s="126">
        <f>(TESLA!D47-TESLA!D45)/TESLA!D66</f>
        <v>1.5873104997192589</v>
      </c>
      <c r="N47" s="126">
        <f>(TESLA!E47-TESLA!E45)/TESLA!E66</f>
        <v>1.0831261101243339</v>
      </c>
    </row>
    <row r="48" spans="1:25" s="119" customFormat="1" ht="14" x14ac:dyDescent="0.15">
      <c r="A48" s="120" t="s">
        <v>127</v>
      </c>
      <c r="B48" s="121">
        <f>'Ford Motors'!B47/'Ford Motors'!B62</f>
        <v>1.1996463288304784</v>
      </c>
      <c r="C48" s="121">
        <f>'Ford Motors'!C47/'Ford Motors'!C62</f>
        <v>1.1621795133086048</v>
      </c>
      <c r="D48" s="121">
        <f>'Ford Motors'!D47/'Ford Motors'!D62</f>
        <v>1.2011688204790518</v>
      </c>
      <c r="E48" s="121">
        <f>'Ford Motors'!E47/'Ford Motors'!E62</f>
        <v>1.2013623287444752</v>
      </c>
      <c r="J48" s="120" t="s">
        <v>127</v>
      </c>
      <c r="K48" s="121">
        <f>('Ford Motors'!B47-'Ford Motors'!B44)/'Ford Motors'!B62</f>
        <v>1.0822442423798513</v>
      </c>
      <c r="L48" s="121">
        <f>('Ford Motors'!C47-'Ford Motors'!C44)/'Ford Motors'!C62</f>
        <v>1.0522663351404231</v>
      </c>
      <c r="M48" s="121">
        <f>('Ford Motors'!D47-'Ford Motors'!D44)/'Ford Motors'!D62</f>
        <v>1.08996625236645</v>
      </c>
      <c r="N48" s="121">
        <f>('Ford Motors'!E47-'Ford Motors'!E44)/'Ford Motors'!E62</f>
        <v>1.0683809670770554</v>
      </c>
    </row>
    <row r="64" spans="1:25" s="113" customFormat="1" ht="16" x14ac:dyDescent="0.2">
      <c r="A64" s="142" t="s">
        <v>161</v>
      </c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3"/>
    </row>
    <row r="66" spans="1:17" s="113" customFormat="1" ht="16" x14ac:dyDescent="0.2">
      <c r="A66" s="141" t="s">
        <v>136</v>
      </c>
      <c r="B66" s="141"/>
      <c r="C66" s="141"/>
      <c r="D66" s="141"/>
      <c r="E66" s="141"/>
      <c r="G66" s="141" t="s">
        <v>137</v>
      </c>
      <c r="H66" s="141"/>
      <c r="I66" s="141"/>
      <c r="J66" s="141"/>
      <c r="K66" s="141"/>
      <c r="M66" s="141" t="s">
        <v>138</v>
      </c>
      <c r="N66" s="141"/>
      <c r="O66" s="141"/>
      <c r="P66" s="141"/>
      <c r="Q66" s="141"/>
    </row>
    <row r="67" spans="1:17" s="115" customFormat="1" ht="16" x14ac:dyDescent="0.2">
      <c r="B67" s="122">
        <v>2018</v>
      </c>
      <c r="C67" s="122">
        <f>B67+1</f>
        <v>2019</v>
      </c>
      <c r="D67" s="122">
        <f t="shared" ref="D67:E67" si="8">C67+1</f>
        <v>2020</v>
      </c>
      <c r="E67" s="122">
        <f t="shared" si="8"/>
        <v>2021</v>
      </c>
      <c r="H67" s="122">
        <v>2018</v>
      </c>
      <c r="I67" s="122">
        <f>H67+1</f>
        <v>2019</v>
      </c>
      <c r="J67" s="122">
        <f t="shared" ref="J67:K67" si="9">I67+1</f>
        <v>2020</v>
      </c>
      <c r="K67" s="122">
        <f t="shared" si="9"/>
        <v>2021</v>
      </c>
      <c r="N67" s="122">
        <v>2018</v>
      </c>
      <c r="O67" s="122">
        <f>N67+1</f>
        <v>2019</v>
      </c>
      <c r="P67" s="122">
        <f>O67+1</f>
        <v>2020</v>
      </c>
      <c r="Q67" s="122">
        <f t="shared" ref="Q67" si="10">P67+1</f>
        <v>2021</v>
      </c>
    </row>
    <row r="68" spans="1:17" s="119" customFormat="1" ht="14" x14ac:dyDescent="0.15">
      <c r="A68" s="130" t="s">
        <v>126</v>
      </c>
      <c r="B68" s="126">
        <f>(TESLA!B44/TESLA!B12)*365</f>
        <v>16.140380428593502</v>
      </c>
      <c r="C68" s="126">
        <f>(TESLA!C44/TESLA!C12)*365</f>
        <v>19.662299617544146</v>
      </c>
      <c r="D68" s="126">
        <f>(TESLA!D44/TESLA!D12)*365</f>
        <v>21.828703703703702</v>
      </c>
      <c r="E68" s="126">
        <f>(TESLA!E44/TESLA!E12)*365</f>
        <v>12.972985526633597</v>
      </c>
      <c r="G68" s="130" t="s">
        <v>126</v>
      </c>
      <c r="H68" s="126">
        <f>(TESLA!B60/-TESLA!B13)*365</f>
        <v>71.336299152311241</v>
      </c>
      <c r="I68" s="126">
        <f>(TESLA!C60/-TESLA!C13)*365</f>
        <v>67.112730996148031</v>
      </c>
      <c r="J68" s="126">
        <f>(TESLA!D60/-TESLA!D13)*365</f>
        <v>88.678029390508314</v>
      </c>
      <c r="K68" s="126">
        <f>(TESLA!E60/-TESLA!E13)*365</f>
        <v>90.984533903573123</v>
      </c>
      <c r="M68" s="130" t="s">
        <v>126</v>
      </c>
      <c r="N68" s="126">
        <f>(TESLA!B45/-TESLA!B13)*365</f>
        <v>65.238628856919021</v>
      </c>
      <c r="O68" s="126">
        <f>(TESLA!C45/-TESLA!C13)*365</f>
        <v>63.215173826125117</v>
      </c>
      <c r="P68" s="126">
        <f>(TESLA!D45/-TESLA!D13)*365</f>
        <v>60.100578173933989</v>
      </c>
      <c r="Q68" s="126">
        <f>(TESLA!E45/-TESLA!E13)*365</f>
        <v>52.249173235199038</v>
      </c>
    </row>
    <row r="69" spans="1:17" s="119" customFormat="1" ht="14" x14ac:dyDescent="0.15">
      <c r="A69" s="120" t="s">
        <v>127</v>
      </c>
      <c r="B69" s="121">
        <f>('Ford Motors'!B43/'Ford Motors'!B10)*365</f>
        <v>25.484757200414123</v>
      </c>
      <c r="C69" s="121">
        <f>('Ford Motors'!C43/'Ford Motors'!C10)*365</f>
        <v>21.626074406670945</v>
      </c>
      <c r="D69" s="121">
        <f>('Ford Motors'!D43/'Ford Motors'!D10)*365</f>
        <v>28.68751179764676</v>
      </c>
      <c r="E69" s="121">
        <f>('Ford Motors'!E43/'Ford Motors'!E10)*365</f>
        <v>30.438752832970273</v>
      </c>
      <c r="G69" s="120" t="s">
        <v>127</v>
      </c>
      <c r="H69" s="121">
        <f>('Ford Motors'!B56/'Ford Motors'!B11)*365</f>
        <v>57.641870124533099</v>
      </c>
      <c r="I69" s="121">
        <f>('Ford Motors'!C56/'Ford Motors'!C11)*365</f>
        <v>56.021062712984339</v>
      </c>
      <c r="J69" s="121">
        <f>('Ford Motors'!D56/'Ford Motors'!D11)*365</f>
        <v>71.878636299134385</v>
      </c>
      <c r="K69" s="121">
        <f>('Ford Motors'!E56/'Ford Motors'!E11)*365</f>
        <v>71.149706500597475</v>
      </c>
      <c r="M69" s="120" t="s">
        <v>127</v>
      </c>
      <c r="N69" s="121">
        <f>('Ford Motors'!B44/'Ford Motors'!B11)*365</f>
        <v>30.053056821434076</v>
      </c>
      <c r="O69" s="121">
        <f>('Ford Motors'!C44/'Ford Motors'!C11)*365</f>
        <v>29.228616186438792</v>
      </c>
      <c r="P69" s="121">
        <f>('Ford Motors'!D44/'Ford Motors'!D11)*365</f>
        <v>34.987583368809425</v>
      </c>
      <c r="Q69" s="121">
        <f>('Ford Motors'!E44/'Ford Motors'!E11)*365</f>
        <v>38.40982634255262</v>
      </c>
    </row>
    <row r="87" spans="1:25" s="113" customFormat="1" ht="16" x14ac:dyDescent="0.2">
      <c r="A87" s="142" t="s">
        <v>158</v>
      </c>
      <c r="B87" s="142" t="s">
        <v>139</v>
      </c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3"/>
    </row>
    <row r="88" spans="1:25" s="113" customFormat="1" ht="14" x14ac:dyDescent="0.15"/>
    <row r="89" spans="1:25" s="113" customFormat="1" ht="16" x14ac:dyDescent="0.2">
      <c r="A89" s="141" t="s">
        <v>165</v>
      </c>
      <c r="B89" s="141"/>
      <c r="C89" s="141"/>
      <c r="D89" s="141"/>
      <c r="E89" s="141"/>
      <c r="L89" s="141" t="s">
        <v>166</v>
      </c>
      <c r="M89" s="141"/>
      <c r="N89" s="141"/>
      <c r="O89" s="141"/>
      <c r="P89" s="141"/>
    </row>
    <row r="90" spans="1:25" s="113" customFormat="1" ht="16" x14ac:dyDescent="0.2">
      <c r="B90" s="122">
        <v>2018</v>
      </c>
      <c r="C90" s="122">
        <f>B90+1</f>
        <v>2019</v>
      </c>
      <c r="D90" s="122">
        <f t="shared" ref="D90:E90" si="11">C90+1</f>
        <v>2020</v>
      </c>
      <c r="E90" s="122">
        <f t="shared" si="11"/>
        <v>2021</v>
      </c>
      <c r="M90" s="122">
        <v>2018</v>
      </c>
      <c r="N90" s="122">
        <f>M90+1</f>
        <v>2019</v>
      </c>
      <c r="O90" s="122">
        <f>N90+1</f>
        <v>2020</v>
      </c>
      <c r="P90" s="122">
        <f>O90+1</f>
        <v>2021</v>
      </c>
    </row>
    <row r="91" spans="1:25" s="119" customFormat="1" ht="14" x14ac:dyDescent="0.15">
      <c r="A91" s="130" t="s">
        <v>126</v>
      </c>
      <c r="B91" s="126">
        <f>TESLA!B32</f>
        <v>-5.72</v>
      </c>
      <c r="C91" s="126">
        <f>TESLA!C32</f>
        <v>-4.92</v>
      </c>
      <c r="D91" s="126">
        <f>TESLA!D32</f>
        <v>0.74</v>
      </c>
      <c r="E91" s="126">
        <f>TESLA!E32</f>
        <v>5.6</v>
      </c>
      <c r="L91" s="130" t="s">
        <v>126</v>
      </c>
      <c r="M91" s="126">
        <f>TESLA!B33</f>
        <v>-5.72</v>
      </c>
      <c r="N91" s="126">
        <f>TESLA!C33</f>
        <v>-4.92</v>
      </c>
      <c r="O91" s="126">
        <f>TESLA!D33</f>
        <v>0.64</v>
      </c>
      <c r="P91" s="126">
        <f>TESLA!E33</f>
        <v>4.9000000000000004</v>
      </c>
    </row>
    <row r="92" spans="1:25" s="119" customFormat="1" ht="14" x14ac:dyDescent="0.15">
      <c r="A92" s="120" t="s">
        <v>127</v>
      </c>
      <c r="B92" s="121">
        <f>'Ford Motors'!B27:E27</f>
        <v>0.93</v>
      </c>
      <c r="C92" s="121">
        <f>'Ford Motors'!C27:F27</f>
        <v>0.01</v>
      </c>
      <c r="D92" s="121">
        <f>'Ford Motors'!D27:G27</f>
        <v>-0.32</v>
      </c>
      <c r="E92" s="121">
        <f>'Ford Motors'!E27:H27</f>
        <v>4.49</v>
      </c>
      <c r="L92" s="120" t="s">
        <v>127</v>
      </c>
      <c r="M92" s="121">
        <f>'Ford Motors'!B28</f>
        <v>0.92</v>
      </c>
      <c r="N92" s="121">
        <f>'Ford Motors'!C28</f>
        <v>0.01</v>
      </c>
      <c r="O92" s="121">
        <f>'Ford Motors'!D28</f>
        <v>-0.32</v>
      </c>
      <c r="P92" s="121">
        <f>'Ford Motors'!E28</f>
        <v>4.45</v>
      </c>
    </row>
    <row r="109" spans="1:25" s="113" customFormat="1" ht="16" x14ac:dyDescent="0.2">
      <c r="A109" s="142" t="s">
        <v>167</v>
      </c>
      <c r="B109" s="142" t="s">
        <v>139</v>
      </c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3"/>
    </row>
    <row r="110" spans="1:25" s="113" customFormat="1" ht="14" x14ac:dyDescent="0.15"/>
    <row r="111" spans="1:25" s="113" customFormat="1" ht="16" x14ac:dyDescent="0.2">
      <c r="A111" s="141" t="s">
        <v>168</v>
      </c>
      <c r="B111" s="141"/>
      <c r="C111" s="141"/>
      <c r="D111" s="141"/>
      <c r="E111" s="141"/>
      <c r="J111" s="144"/>
      <c r="K111" s="144"/>
      <c r="L111" s="145"/>
      <c r="M111" s="145"/>
      <c r="N111" s="145"/>
      <c r="O111" s="145"/>
      <c r="P111" s="145"/>
    </row>
    <row r="112" spans="1:25" s="113" customFormat="1" ht="16" x14ac:dyDescent="0.2">
      <c r="B112" s="122">
        <v>2018</v>
      </c>
      <c r="C112" s="122">
        <f>B112+1</f>
        <v>2019</v>
      </c>
      <c r="D112" s="122">
        <f t="shared" ref="D112" si="12">C112+1</f>
        <v>2020</v>
      </c>
      <c r="E112" s="122">
        <f t="shared" ref="E112" si="13">D112+1</f>
        <v>2021</v>
      </c>
      <c r="J112" s="144"/>
      <c r="K112" s="144"/>
      <c r="L112" s="144"/>
      <c r="M112" s="146"/>
      <c r="N112" s="146"/>
      <c r="O112" s="146"/>
      <c r="P112" s="146"/>
    </row>
    <row r="113" spans="1:16" s="119" customFormat="1" ht="14" x14ac:dyDescent="0.15">
      <c r="A113" s="130" t="s">
        <v>126</v>
      </c>
      <c r="B113" s="126">
        <v>0</v>
      </c>
      <c r="C113" s="126">
        <v>0</v>
      </c>
      <c r="D113" s="126">
        <v>0</v>
      </c>
      <c r="E113" s="126">
        <v>0</v>
      </c>
      <c r="J113" s="147"/>
      <c r="K113" s="147"/>
      <c r="L113" s="148"/>
      <c r="M113" s="149"/>
      <c r="N113" s="149"/>
      <c r="O113" s="149"/>
      <c r="P113" s="149"/>
    </row>
    <row r="114" spans="1:16" s="119" customFormat="1" ht="14" x14ac:dyDescent="0.15">
      <c r="A114" s="120" t="s">
        <v>127</v>
      </c>
      <c r="B114" s="121">
        <v>0.73</v>
      </c>
      <c r="C114" s="121">
        <v>0.6</v>
      </c>
      <c r="D114" s="121">
        <v>0.15</v>
      </c>
      <c r="E114" s="121">
        <v>0.1</v>
      </c>
      <c r="J114" s="147"/>
      <c r="K114" s="147"/>
      <c r="L114" s="148"/>
      <c r="M114" s="149"/>
      <c r="N114" s="149"/>
      <c r="O114" s="149"/>
      <c r="P114" s="149"/>
    </row>
    <row r="115" spans="1:16" x14ac:dyDescent="0.2">
      <c r="J115" s="150"/>
      <c r="K115" s="150"/>
      <c r="L115" s="150"/>
      <c r="M115" s="150"/>
      <c r="N115" s="150"/>
      <c r="O115" s="150"/>
      <c r="P115" s="150"/>
    </row>
    <row r="116" spans="1:16" x14ac:dyDescent="0.2">
      <c r="J116" s="150"/>
      <c r="K116" s="150"/>
      <c r="L116" s="150"/>
      <c r="M116" s="150"/>
      <c r="N116" s="150"/>
      <c r="O116" s="150"/>
      <c r="P116" s="150"/>
    </row>
    <row r="117" spans="1:16" x14ac:dyDescent="0.2">
      <c r="J117" s="150"/>
      <c r="K117" s="150"/>
      <c r="L117" s="150"/>
      <c r="M117" s="150"/>
      <c r="N117" s="150"/>
      <c r="O117" s="150"/>
      <c r="P117" s="150"/>
    </row>
    <row r="118" spans="1:16" x14ac:dyDescent="0.2">
      <c r="J118" s="150"/>
      <c r="K118" s="150"/>
      <c r="L118" s="150"/>
      <c r="M118" s="150"/>
      <c r="N118" s="150"/>
      <c r="O118" s="150"/>
      <c r="P118" s="150"/>
    </row>
    <row r="119" spans="1:16" x14ac:dyDescent="0.2">
      <c r="J119" s="150"/>
      <c r="K119" s="150"/>
      <c r="L119" s="150"/>
      <c r="M119" s="150"/>
      <c r="N119" s="150"/>
      <c r="O119" s="150"/>
      <c r="P119" s="150"/>
    </row>
    <row r="129" customFormat="1" x14ac:dyDescent="0.2"/>
    <row r="130" customFormat="1" x14ac:dyDescent="0.2"/>
  </sheetData>
  <mergeCells count="20">
    <mergeCell ref="A109:Y109"/>
    <mergeCell ref="A111:E111"/>
    <mergeCell ref="L111:P111"/>
    <mergeCell ref="A89:E89"/>
    <mergeCell ref="L89:P89"/>
    <mergeCell ref="A87:Y87"/>
    <mergeCell ref="M66:Q66"/>
    <mergeCell ref="A64:Y64"/>
    <mergeCell ref="A45:E45"/>
    <mergeCell ref="J45:N45"/>
    <mergeCell ref="A66:E66"/>
    <mergeCell ref="G66:K66"/>
    <mergeCell ref="A1:Y1"/>
    <mergeCell ref="A24:Y24"/>
    <mergeCell ref="A43:Y43"/>
    <mergeCell ref="A3:E3"/>
    <mergeCell ref="G3:K3"/>
    <mergeCell ref="M3:Q3"/>
    <mergeCell ref="S3:W3"/>
    <mergeCell ref="A26:E26"/>
  </mergeCells>
  <hyperlinks>
    <hyperlink ref="A91" location="TESLA!A1" display="Tesla " xr:uid="{00000000-0004-0000-0200-000000000000}"/>
    <hyperlink ref="A92" location="'Ford Motors'!A1" display="Ford" xr:uid="{00000000-0004-0000-0200-000001000000}"/>
    <hyperlink ref="M68" location="TESLA!A1" display="Tesla " xr:uid="{00000000-0004-0000-0200-000002000000}"/>
    <hyperlink ref="M69" location="'Ford Motors'!A1" display="Ford" xr:uid="{00000000-0004-0000-0200-000003000000}"/>
    <hyperlink ref="G68" location="TESLA!A1" display="Tesla " xr:uid="{00000000-0004-0000-0200-000004000000}"/>
    <hyperlink ref="G69" location="'Ford Motors'!A1" display="Ford" xr:uid="{00000000-0004-0000-0200-000005000000}"/>
    <hyperlink ref="A68" location="TESLA!A1" display="Tesla " xr:uid="{00000000-0004-0000-0200-000006000000}"/>
    <hyperlink ref="A69" location="'Ford Motors'!A1" display="Ford" xr:uid="{00000000-0004-0000-0200-000007000000}"/>
    <hyperlink ref="J47" location="TESLA!A1" display="Tesla " xr:uid="{00000000-0004-0000-0200-000008000000}"/>
    <hyperlink ref="J48" location="'Ford Motors'!A1" display="Ford" xr:uid="{00000000-0004-0000-0200-000009000000}"/>
    <hyperlink ref="A47" location="TESLA!A1" display="Tesla " xr:uid="{00000000-0004-0000-0200-00000A000000}"/>
    <hyperlink ref="A48" location="'Ford Motors'!A1" display="Ford" xr:uid="{00000000-0004-0000-0200-00000B000000}"/>
    <hyperlink ref="A28" location="TESLA!A1" display="Tesla " xr:uid="{00000000-0004-0000-0200-00000C000000}"/>
    <hyperlink ref="A29" location="'Ford Motors'!A1" display="Ford" xr:uid="{00000000-0004-0000-0200-00000D000000}"/>
    <hyperlink ref="M5" location="TESLA!A1" display="Tesla " xr:uid="{00000000-0004-0000-0200-00000E000000}"/>
    <hyperlink ref="M6" location="'Ford Motors'!A1" display="Ford" xr:uid="{00000000-0004-0000-0200-00000F000000}"/>
    <hyperlink ref="G5" location="TESLA!A1" display="Tesla " xr:uid="{00000000-0004-0000-0200-000010000000}"/>
    <hyperlink ref="G6" location="'Ford Motors'!A1" display="Ford" xr:uid="{00000000-0004-0000-0200-000011000000}"/>
    <hyperlink ref="A5" location="TESLA!A1" display="Tesla " xr:uid="{00000000-0004-0000-0200-000012000000}"/>
    <hyperlink ref="A6" location="'Ford Motors'!A1" display="Ford" xr:uid="{00000000-0004-0000-0200-000013000000}"/>
    <hyperlink ref="L91" location="TESLA!A1" display="Tesla " xr:uid="{00000000-0004-0000-0200-000014000000}"/>
    <hyperlink ref="L92" location="'Ford Motors'!A1" display="Ford" xr:uid="{00000000-0004-0000-0200-000015000000}"/>
    <hyperlink ref="S5" location="TESLA!A1" display="Tesla " xr:uid="{0B8F0176-C909-C647-A09A-83B1F356CC16}"/>
    <hyperlink ref="S6" location="'Ford Motors'!A1" display="Ford" xr:uid="{50D2E58F-620C-A44D-AC17-4A5F10955256}"/>
    <hyperlink ref="A113" location="TESLA!A1" display="Tesla " xr:uid="{45AE4B71-57E9-D64A-91D9-2A902A27AF74}"/>
    <hyperlink ref="A114" location="'Ford Motors'!A1" display="Ford" xr:uid="{7F759A77-2A59-804A-A3B1-9E5BEB7D357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TESLA</vt:lpstr>
      <vt:lpstr>Ford Motors</vt:lpstr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Kiani</dc:creator>
  <cp:lastModifiedBy>365 Pro Plus</cp:lastModifiedBy>
  <dcterms:created xsi:type="dcterms:W3CDTF">2021-07-31T16:44:09Z</dcterms:created>
  <dcterms:modified xsi:type="dcterms:W3CDTF">2022-09-14T09:30:27Z</dcterms:modified>
</cp:coreProperties>
</file>